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8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HYPERLINK("https://dl.dropboxusercontent.com/scl/fi/fk9a1ewlj4k1xov3aq8zs/austin-139222-tn.jpg?rlkey=yucz1jaezrua3ye6t2kf9g8za&amp;dl=0","Click to download Image")</f>
      </c>
      <c r="C2" s="0" t="inlineStr">
        <is>
          <t>Austin Men's Cap</t>
        </is>
      </c>
      <c r="D2" s="0" t="inlineStr">
        <is>
          <t>'139222</t>
        </is>
      </c>
      <c r="E2" s="0" t="inlineStr">
        <is>
          <t>UNO AUSTIN A BK:139222</t>
        </is>
      </c>
      <c r="F2" s="0" t="inlineStr">
        <is>
          <t>'709139222009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</v>
      </c>
    </row>
    <row r="3" spans="1:10" customHeight="0">
      <c r="A3" s="0">
        <f>HYPERLINK("https://dl.dropboxusercontent.com/scl/fi/adu0b6kerg3aonvyaloq3/wilder-142804-tn.jpg?rlkey=v6ye6k282s4fvtfpf7d10dlfo&amp;dl=0","Click to download Image")</f>
      </c>
      <c r="B3" s="0">
        <f>HYPERLINK("https://dl.dropboxusercontent.com/scl/fi/0w3178qq408n69dkktest/womens-t-shirt-size-chartswilder.jpg?rlkey=gk1kclxcr8v0cq4qhx4qdc8zx&amp;dl=0","Click to download SizeChart")</f>
      </c>
      <c r="C3" s="0" t="inlineStr">
        <is>
          <t>Wilder Women's Long Sleeve Shirt</t>
        </is>
      </c>
      <c r="D3" s="0" t="inlineStr">
        <is>
          <t>'142804</t>
        </is>
      </c>
      <c r="E3" s="0" t="inlineStr">
        <is>
          <t>ISU WILDER W CL:142804A-S</t>
        </is>
      </c>
      <c r="F3" s="0" t="inlineStr">
        <is>
          <t>'801142804040</t>
        </is>
      </c>
      <c r="G3" s="0" t="inlineStr">
        <is>
          <t>WOMENS</t>
        </is>
      </c>
      <c r="H3" s="0" t="inlineStr">
        <is>
          <t>S</t>
        </is>
      </c>
      <c r="I3" s="0">
        <v>34.99</v>
      </c>
      <c r="J3" s="0">
        <v>0</v>
      </c>
    </row>
    <row r="4" spans="1:10" customHeight="0">
      <c r="A4" s="0">
        <f>HYPERLINK("https://dl.dropboxusercontent.com/scl/fi/adu0b6kerg3aonvyaloq3/wilder-142804-tn.jpg?rlkey=v6ye6k282s4fvtfpf7d10dlfo&amp;dl=0","Click to download Image")</f>
      </c>
      <c r="B4" s="0">
        <f>HYPERLINK("https://dl.dropboxusercontent.com/scl/fi/0w3178qq408n69dkktest/womens-t-shirt-size-chartswilder.jpg?rlkey=gk1kclxcr8v0cq4qhx4qdc8zx&amp;dl=0","Click to download SizeChart")</f>
      </c>
      <c r="C4" s="0" t="inlineStr">
        <is>
          <t>Wilder Women's Long Sleeve Shirt</t>
        </is>
      </c>
      <c r="D4" s="0" t="inlineStr">
        <is>
          <t>'142804</t>
        </is>
      </c>
      <c r="E4" s="0" t="inlineStr">
        <is>
          <t>ISU WILDER W CL:142804B-M</t>
        </is>
      </c>
      <c r="F4" s="0" t="inlineStr">
        <is>
          <t>'801142804057</t>
        </is>
      </c>
      <c r="G4" s="0" t="inlineStr">
        <is>
          <t>WOMENS</t>
        </is>
      </c>
      <c r="H4" s="0" t="inlineStr">
        <is>
          <t>M</t>
        </is>
      </c>
      <c r="I4" s="0">
        <v>34.99</v>
      </c>
      <c r="J4" s="0">
        <v>0</v>
      </c>
    </row>
    <row r="5" spans="1:10" customHeight="0">
      <c r="A5" s="0">
        <f>HYPERLINK("https://dl.dropboxusercontent.com/scl/fi/adu0b6kerg3aonvyaloq3/wilder-142804-tn.jpg?rlkey=v6ye6k282s4fvtfpf7d10dlfo&amp;dl=0","Click to download Image")</f>
      </c>
      <c r="B5" s="0">
        <f>HYPERLINK("https://dl.dropboxusercontent.com/scl/fi/0w3178qq408n69dkktest/womens-t-shirt-size-chartswilder.jpg?rlkey=gk1kclxcr8v0cq4qhx4qdc8zx&amp;dl=0","Click to download SizeChart")</f>
      </c>
      <c r="C5" s="0" t="inlineStr">
        <is>
          <t>Wilder Women's Long Sleeve Shirt</t>
        </is>
      </c>
      <c r="D5" s="0" t="inlineStr">
        <is>
          <t>'142804</t>
        </is>
      </c>
      <c r="E5" s="0" t="inlineStr">
        <is>
          <t>ISU WILDER W CL:142804C-L</t>
        </is>
      </c>
      <c r="F5" s="0" t="inlineStr">
        <is>
          <t>'801142804064</t>
        </is>
      </c>
      <c r="G5" s="0" t="inlineStr">
        <is>
          <t>WOMENS</t>
        </is>
      </c>
      <c r="H5" s="0" t="inlineStr">
        <is>
          <t>L</t>
        </is>
      </c>
      <c r="I5" s="0">
        <v>34.99</v>
      </c>
      <c r="J5" s="0">
        <v>2</v>
      </c>
    </row>
    <row r="6" spans="1:10" customHeight="0">
      <c r="A6" s="0">
        <f>HYPERLINK("https://dl.dropboxusercontent.com/scl/fi/adu0b6kerg3aonvyaloq3/wilder-142804-tn.jpg?rlkey=v6ye6k282s4fvtfpf7d10dlfo&amp;dl=0","Click to download Image")</f>
      </c>
      <c r="B6" s="0">
        <f>HYPERLINK("https://dl.dropboxusercontent.com/scl/fi/0w3178qq408n69dkktest/womens-t-shirt-size-chartswilder.jpg?rlkey=gk1kclxcr8v0cq4qhx4qdc8zx&amp;dl=0","Click to download SizeChart")</f>
      </c>
      <c r="C6" s="0" t="inlineStr">
        <is>
          <t>Wilder Women's Long Sleeve Shirt</t>
        </is>
      </c>
      <c r="D6" s="0" t="inlineStr">
        <is>
          <t>'142804</t>
        </is>
      </c>
      <c r="E6" s="0" t="inlineStr">
        <is>
          <t>ISU WILDER W CL:142804D-XL</t>
        </is>
      </c>
      <c r="F6" s="0" t="inlineStr">
        <is>
          <t>'801142804071</t>
        </is>
      </c>
      <c r="G6" s="0" t="inlineStr">
        <is>
          <t>WOMENS</t>
        </is>
      </c>
      <c r="H6" s="0" t="inlineStr">
        <is>
          <t>XL</t>
        </is>
      </c>
      <c r="I6" s="0">
        <v>34.99</v>
      </c>
      <c r="J6" s="0">
        <v>0</v>
      </c>
    </row>
    <row r="7" spans="1:10" customHeight="0">
      <c r="A7" s="0">
        <f>HYPERLINK("https://dl.dropboxusercontent.com/scl/fi/adu0b6kerg3aonvyaloq3/wilder-142804-tn.jpg?rlkey=v6ye6k282s4fvtfpf7d10dlfo&amp;dl=0","Click to download Image")</f>
      </c>
      <c r="B7" s="0">
        <f>HYPERLINK("https://dl.dropboxusercontent.com/scl/fi/0w3178qq408n69dkktest/womens-t-shirt-size-chartswilder.jpg?rlkey=gk1kclxcr8v0cq4qhx4qdc8zx&amp;dl=0","Click to download SizeChart")</f>
      </c>
      <c r="C7" s="0" t="inlineStr">
        <is>
          <t>Wilder Women's Long Sleeve Shirt</t>
        </is>
      </c>
      <c r="D7" s="0" t="inlineStr">
        <is>
          <t>'142804</t>
        </is>
      </c>
      <c r="E7" s="0" t="inlineStr">
        <is>
          <t>ISU WILDER W CL:142804E-2XL</t>
        </is>
      </c>
      <c r="F7" s="0" t="inlineStr">
        <is>
          <t>'801142804088</t>
        </is>
      </c>
      <c r="G7" s="0" t="inlineStr">
        <is>
          <t>WOMENS</t>
        </is>
      </c>
      <c r="H7" s="0" t="inlineStr">
        <is>
          <t>2XL</t>
        </is>
      </c>
      <c r="I7" s="0">
        <v>34.99</v>
      </c>
      <c r="J7" s="0">
        <v>1</v>
      </c>
    </row>
    <row r="8" spans="1:10" customHeight="0">
      <c r="A8" s="0">
        <f>HYPERLINK("https://dl.dropboxusercontent.com/scl/fi/adu0b6kerg3aonvyaloq3/wilder-142804-tn.jpg?rlkey=v6ye6k282s4fvtfpf7d10dlfo&amp;dl=0","Click to download Image")</f>
      </c>
      <c r="B8" s="0">
        <f>HYPERLINK("https://dl.dropboxusercontent.com/scl/fi/0w3178qq408n69dkktest/womens-t-shirt-size-chartswilder.jpg?rlkey=gk1kclxcr8v0cq4qhx4qdc8zx&amp;dl=0","Click to download SizeChart")</f>
      </c>
      <c r="C8" s="0" t="inlineStr">
        <is>
          <t>Wilder Women's Long Sleeve Shirt</t>
        </is>
      </c>
      <c r="D8" s="0" t="inlineStr">
        <is>
          <t>'142804</t>
        </is>
      </c>
      <c r="E8" s="0" t="inlineStr">
        <is>
          <t>ISU WILDER W CL:142804F-3XL</t>
        </is>
      </c>
      <c r="F8" s="0" t="inlineStr">
        <is>
          <t>'801142804095</t>
        </is>
      </c>
      <c r="G8" s="0" t="inlineStr">
        <is>
          <t>WOMENS</t>
        </is>
      </c>
      <c r="H8" s="0" t="inlineStr">
        <is>
          <t>3XL</t>
        </is>
      </c>
      <c r="I8" s="0">
        <v>34.99</v>
      </c>
      <c r="J8" s="0">
        <v>0</v>
      </c>
    </row>
    <row r="9" spans="1:10" customHeight="0">
      <c r="A9" s="0">
        <f>HYPERLINK("https://dl.dropboxusercontent.com/scl/fi/adu0b6kerg3aonvyaloq3/wilder-142804-tn.jpg?rlkey=v6ye6k282s4fvtfpf7d10dlfo&amp;dl=0","Click to download Image")</f>
      </c>
      <c r="B9" s="0">
        <f>HYPERLINK("https://dl.dropboxusercontent.com/scl/fi/0w3178qq408n69dkktest/womens-t-shirt-size-chartswilder.jpg?rlkey=gk1kclxcr8v0cq4qhx4qdc8zx&amp;dl=0","Click to download SizeChart")</f>
      </c>
      <c r="C9" s="0" t="inlineStr">
        <is>
          <t>Wilder Women's Long Sleeve Shirt</t>
        </is>
      </c>
      <c r="D9" s="0" t="inlineStr">
        <is>
          <t>'142804</t>
        </is>
      </c>
      <c r="E9" s="0" t="inlineStr">
        <is>
          <t>ISU WILDER W CL:142804Z-12PK</t>
        </is>
      </c>
      <c r="F9" s="0" t="inlineStr">
        <is>
          <t>'801142804996</t>
        </is>
      </c>
      <c r="G9" s="0" t="inlineStr">
        <is>
          <t>WOMENS</t>
        </is>
      </c>
      <c r="H9" s="0" t="inlineStr">
        <is>
          <t>12 PACK</t>
        </is>
      </c>
      <c r="I9" s="0">
        <v>336</v>
      </c>
      <c r="J9" s="0">
        <v>0</v>
      </c>
    </row>
    <row r="10" spans="1:10" customHeight="0">
      <c r="A10" s="0">
        <f>HYPERLINK("https://dl.dropboxusercontent.com/scl/fi/tusc765h6lc3kt7thojw5/150707-fleet-tn.jpg?rlkey=9m5qrhh7ozmqd4ix0czcx55b7&amp;dl=0","Click to download Image")</f>
      </c>
      <c r="B10" s="0">
        <f>HYPERLINK("https://dl.dropboxusercontent.com/scl/fi/jmy2l8pzwvbdqrh6p4t40/mens-polo-size-chartsfleet.jpg?rlkey=hb3ytnajq76c6ffzae0kg5hfp&amp;dl=0","Click to download SizeChart")</f>
      </c>
      <c r="C10" s="0" t="inlineStr">
        <is>
          <t>Fleet Men's Polo</t>
        </is>
      </c>
      <c r="D10" s="0" t="inlineStr">
        <is>
          <t>'150707</t>
        </is>
      </c>
      <c r="E10" s="0" t="inlineStr">
        <is>
          <t>WAR FLEET M BK:150707A-S</t>
        </is>
      </c>
      <c r="F10" s="0" t="inlineStr">
        <is>
          <t>'824150707042</t>
        </is>
      </c>
      <c r="G10" s="0" t="inlineStr">
        <is>
          <t>MENS</t>
        </is>
      </c>
      <c r="H10" s="0" t="inlineStr">
        <is>
          <t>S</t>
        </is>
      </c>
      <c r="I10" s="0">
        <v>54.99</v>
      </c>
      <c r="J10" s="0">
        <v>2</v>
      </c>
    </row>
    <row r="11" spans="1:10" customHeight="0">
      <c r="A11" s="0">
        <f>HYPERLINK("https://dl.dropboxusercontent.com/scl/fi/tusc765h6lc3kt7thojw5/150707-fleet-tn.jpg?rlkey=9m5qrhh7ozmqd4ix0czcx55b7&amp;dl=0","Click to download Image")</f>
      </c>
      <c r="B11" s="0">
        <f>HYPERLINK("https://dl.dropboxusercontent.com/scl/fi/jmy2l8pzwvbdqrh6p4t40/mens-polo-size-chartsfleet.jpg?rlkey=hb3ytnajq76c6ffzae0kg5hfp&amp;dl=0","Click to download SizeChart")</f>
      </c>
      <c r="C11" s="0" t="inlineStr">
        <is>
          <t>Fleet Men's Polo</t>
        </is>
      </c>
      <c r="D11" s="0" t="inlineStr">
        <is>
          <t>'150707</t>
        </is>
      </c>
      <c r="E11" s="0" t="inlineStr">
        <is>
          <t>WAR FLEET M BK:150707B-M</t>
        </is>
      </c>
      <c r="F11" s="0" t="inlineStr">
        <is>
          <t>'824150707059</t>
        </is>
      </c>
      <c r="G11" s="0" t="inlineStr">
        <is>
          <t>MENS</t>
        </is>
      </c>
      <c r="H11" s="0" t="inlineStr">
        <is>
          <t>M</t>
        </is>
      </c>
      <c r="I11" s="0">
        <v>54.99</v>
      </c>
      <c r="J11" s="0">
        <v>3</v>
      </c>
    </row>
    <row r="12" spans="1:10" customHeight="0">
      <c r="A12" s="0">
        <f>HYPERLINK("https://dl.dropboxusercontent.com/scl/fi/tusc765h6lc3kt7thojw5/150707-fleet-tn.jpg?rlkey=9m5qrhh7ozmqd4ix0czcx55b7&amp;dl=0","Click to download Image")</f>
      </c>
      <c r="B12" s="0">
        <f>HYPERLINK("https://dl.dropboxusercontent.com/scl/fi/jmy2l8pzwvbdqrh6p4t40/mens-polo-size-chartsfleet.jpg?rlkey=hb3ytnajq76c6ffzae0kg5hfp&amp;dl=0","Click to download SizeChart")</f>
      </c>
      <c r="C12" s="0" t="inlineStr">
        <is>
          <t>Fleet Men's Polo</t>
        </is>
      </c>
      <c r="D12" s="0" t="inlineStr">
        <is>
          <t>'150707</t>
        </is>
      </c>
      <c r="E12" s="0" t="inlineStr">
        <is>
          <t>WAR FLEET M BK:150707C-L</t>
        </is>
      </c>
      <c r="F12" s="0" t="inlineStr">
        <is>
          <t>'824150707066</t>
        </is>
      </c>
      <c r="G12" s="0" t="inlineStr">
        <is>
          <t>MENS</t>
        </is>
      </c>
      <c r="H12" s="0" t="inlineStr">
        <is>
          <t>L</t>
        </is>
      </c>
      <c r="I12" s="0">
        <v>54.99</v>
      </c>
      <c r="J12" s="0">
        <v>0</v>
      </c>
    </row>
    <row r="13" spans="1:10" customHeight="0">
      <c r="A13" s="0">
        <f>HYPERLINK("https://dl.dropboxusercontent.com/scl/fi/tusc765h6lc3kt7thojw5/150707-fleet-tn.jpg?rlkey=9m5qrhh7ozmqd4ix0czcx55b7&amp;dl=0","Click to download Image")</f>
      </c>
      <c r="B13" s="0">
        <f>HYPERLINK("https://dl.dropboxusercontent.com/scl/fi/jmy2l8pzwvbdqrh6p4t40/mens-polo-size-chartsfleet.jpg?rlkey=hb3ytnajq76c6ffzae0kg5hfp&amp;dl=0","Click to download SizeChart")</f>
      </c>
      <c r="C13" s="0" t="inlineStr">
        <is>
          <t>Fleet Men's Polo</t>
        </is>
      </c>
      <c r="D13" s="0" t="inlineStr">
        <is>
          <t>'150707</t>
        </is>
      </c>
      <c r="E13" s="0" t="inlineStr">
        <is>
          <t>WAR FLEET M BK:150707D-XL</t>
        </is>
      </c>
      <c r="F13" s="0" t="inlineStr">
        <is>
          <t>'824150707073</t>
        </is>
      </c>
      <c r="G13" s="0" t="inlineStr">
        <is>
          <t>MENS</t>
        </is>
      </c>
      <c r="H13" s="0" t="inlineStr">
        <is>
          <t>XL</t>
        </is>
      </c>
      <c r="I13" s="0">
        <v>54.99</v>
      </c>
      <c r="J13" s="0">
        <v>1</v>
      </c>
    </row>
    <row r="14" spans="1:10" customHeight="0">
      <c r="A14" s="0">
        <f>HYPERLINK("https://dl.dropboxusercontent.com/scl/fi/tusc765h6lc3kt7thojw5/150707-fleet-tn.jpg?rlkey=9m5qrhh7ozmqd4ix0czcx55b7&amp;dl=0","Click to download Image")</f>
      </c>
      <c r="B14" s="0">
        <f>HYPERLINK("https://dl.dropboxusercontent.com/scl/fi/jmy2l8pzwvbdqrh6p4t40/mens-polo-size-chartsfleet.jpg?rlkey=hb3ytnajq76c6ffzae0kg5hfp&amp;dl=0","Click to download SizeChart")</f>
      </c>
      <c r="C14" s="0" t="inlineStr">
        <is>
          <t>Fleet Men's Polo</t>
        </is>
      </c>
      <c r="D14" s="0" t="inlineStr">
        <is>
          <t>'150707</t>
        </is>
      </c>
      <c r="E14" s="0" t="inlineStr">
        <is>
          <t>WAR FLEET M BK:150707E-2XL</t>
        </is>
      </c>
      <c r="F14" s="0" t="inlineStr">
        <is>
          <t>'824150707080</t>
        </is>
      </c>
      <c r="G14" s="0" t="inlineStr">
        <is>
          <t>MENS</t>
        </is>
      </c>
      <c r="H14" s="0" t="inlineStr">
        <is>
          <t>2XL</t>
        </is>
      </c>
      <c r="I14" s="0">
        <v>54.99</v>
      </c>
      <c r="J14" s="0">
        <v>2</v>
      </c>
    </row>
    <row r="15" spans="1:10" customHeight="0">
      <c r="A15" s="0">
        <f>HYPERLINK("https://dl.dropboxusercontent.com/scl/fi/tusc765h6lc3kt7thojw5/150707-fleet-tn.jpg?rlkey=9m5qrhh7ozmqd4ix0czcx55b7&amp;dl=0","Click to download Image")</f>
      </c>
      <c r="B15" s="0">
        <f>HYPERLINK("https://dl.dropboxusercontent.com/scl/fi/jmy2l8pzwvbdqrh6p4t40/mens-polo-size-chartsfleet.jpg?rlkey=hb3ytnajq76c6ffzae0kg5hfp&amp;dl=0","Click to download SizeChart")</f>
      </c>
      <c r="C15" s="0" t="inlineStr">
        <is>
          <t>Fleet Men's Polo</t>
        </is>
      </c>
      <c r="D15" s="0" t="inlineStr">
        <is>
          <t>'150707</t>
        </is>
      </c>
      <c r="E15" s="0" t="inlineStr">
        <is>
          <t>WAR FLEET M BK:150707F-3XL</t>
        </is>
      </c>
      <c r="F15" s="0" t="inlineStr">
        <is>
          <t>'824150707097</t>
        </is>
      </c>
      <c r="G15" s="0" t="inlineStr">
        <is>
          <t>MENS</t>
        </is>
      </c>
      <c r="H15" s="0" t="inlineStr">
        <is>
          <t>3XL</t>
        </is>
      </c>
      <c r="I15" s="0">
        <v>54.99</v>
      </c>
      <c r="J15" s="0">
        <v>2</v>
      </c>
    </row>
    <row r="16" spans="1:10" customHeight="0">
      <c r="A16" s="0">
        <f>HYPERLINK("https://dl.dropboxusercontent.com/scl/fi/tusc765h6lc3kt7thojw5/150707-fleet-tn.jpg?rlkey=9m5qrhh7ozmqd4ix0czcx55b7&amp;dl=0","Click to download Image")</f>
      </c>
      <c r="B16" s="0">
        <f>HYPERLINK("https://dl.dropboxusercontent.com/scl/fi/jmy2l8pzwvbdqrh6p4t40/mens-polo-size-chartsfleet.jpg?rlkey=hb3ytnajq76c6ffzae0kg5hfp&amp;dl=0","Click to download SizeChart")</f>
      </c>
      <c r="C16" s="0" t="inlineStr">
        <is>
          <t>Fleet Men's Polo</t>
        </is>
      </c>
      <c r="D16" s="0" t="inlineStr">
        <is>
          <t>'150707</t>
        </is>
      </c>
      <c r="E16" s="0" t="inlineStr">
        <is>
          <t>WAR FLEET M BK:150707Z-12PK</t>
        </is>
      </c>
      <c r="F16" s="0" t="inlineStr">
        <is>
          <t>'824150707998</t>
        </is>
      </c>
      <c r="G16" s="0" t="inlineStr">
        <is>
          <t>MENS</t>
        </is>
      </c>
      <c r="H16" s="0" t="inlineStr">
        <is>
          <t>12 PACK</t>
        </is>
      </c>
      <c r="I16" s="0">
        <v>534</v>
      </c>
      <c r="J16" s="0">
        <v>0</v>
      </c>
    </row>
    <row r="17" spans="1:10" customHeight="0">
      <c r="A17" s="0">
        <f>HYPERLINK("https://dl.dropboxusercontent.com/scl/fi/73ctmtftvq8nr6hy8ujgo/fleet-139367-tn.jpg?rlkey=wz9hac2n1hyy5e1j9o8mn3ibb&amp;dl=0","Click to download Image")</f>
      </c>
      <c r="B17" s="0">
        <f>HYPERLINK("https://dl.dropboxusercontent.com/scl/fi/d8vomaxff09wo850k860d/mens-polo-size-chartsfleet.jpg?rlkey=l8np6w1qgoutb31rhdh76451h&amp;dl=0","Click to download SizeChart")</f>
      </c>
      <c r="C17" s="0" t="inlineStr">
        <is>
          <t>Fleet Men's Polo</t>
        </is>
      </c>
      <c r="D17" s="0" t="inlineStr">
        <is>
          <t>'139367</t>
        </is>
      </c>
      <c r="E17" s="0" t="inlineStr">
        <is>
          <t>IOWA FLEET M BK:139367A-S</t>
        </is>
      </c>
      <c r="F17" s="0" t="inlineStr">
        <is>
          <t>'800139367049</t>
        </is>
      </c>
      <c r="G17" s="0" t="inlineStr">
        <is>
          <t>MENS</t>
        </is>
      </c>
      <c r="H17" s="0" t="inlineStr">
        <is>
          <t>S</t>
        </is>
      </c>
      <c r="I17" s="0">
        <v>49.99</v>
      </c>
      <c r="J17" s="0">
        <v>1</v>
      </c>
    </row>
    <row r="18" spans="1:10" customHeight="0">
      <c r="A18" s="0">
        <f>HYPERLINK("https://dl.dropboxusercontent.com/scl/fi/73ctmtftvq8nr6hy8ujgo/fleet-139367-tn.jpg?rlkey=wz9hac2n1hyy5e1j9o8mn3ibb&amp;dl=0","Click to download Image")</f>
      </c>
      <c r="B18" s="0">
        <f>HYPERLINK("https://dl.dropboxusercontent.com/scl/fi/d8vomaxff09wo850k860d/mens-polo-size-chartsfleet.jpg?rlkey=l8np6w1qgoutb31rhdh76451h&amp;dl=0","Click to download SizeChart")</f>
      </c>
      <c r="C18" s="0" t="inlineStr">
        <is>
          <t>Fleet Men's Polo</t>
        </is>
      </c>
      <c r="D18" s="0" t="inlineStr">
        <is>
          <t>'139367</t>
        </is>
      </c>
      <c r="E18" s="0" t="inlineStr">
        <is>
          <t>IOWA FLEET M BK:139367B-M</t>
        </is>
      </c>
      <c r="F18" s="0" t="inlineStr">
        <is>
          <t>'800139367056</t>
        </is>
      </c>
      <c r="G18" s="0" t="inlineStr">
        <is>
          <t>MENS</t>
        </is>
      </c>
      <c r="H18" s="0" t="inlineStr">
        <is>
          <t>M</t>
        </is>
      </c>
      <c r="I18" s="0">
        <v>49.99</v>
      </c>
      <c r="J18" s="0">
        <v>0</v>
      </c>
    </row>
    <row r="19" spans="1:10" customHeight="0">
      <c r="A19" s="0">
        <f>HYPERLINK("https://dl.dropboxusercontent.com/scl/fi/73ctmtftvq8nr6hy8ujgo/fleet-139367-tn.jpg?rlkey=wz9hac2n1hyy5e1j9o8mn3ibb&amp;dl=0","Click to download Image")</f>
      </c>
      <c r="B19" s="0">
        <f>HYPERLINK("https://dl.dropboxusercontent.com/scl/fi/d8vomaxff09wo850k860d/mens-polo-size-chartsfleet.jpg?rlkey=l8np6w1qgoutb31rhdh76451h&amp;dl=0","Click to download SizeChart")</f>
      </c>
      <c r="C19" s="0" t="inlineStr">
        <is>
          <t>Fleet Men's Polo</t>
        </is>
      </c>
      <c r="D19" s="0" t="inlineStr">
        <is>
          <t>'139367</t>
        </is>
      </c>
      <c r="E19" s="0" t="inlineStr">
        <is>
          <t>IOWA FLEET M BK:139367C-L</t>
        </is>
      </c>
      <c r="F19" s="0" t="inlineStr">
        <is>
          <t>'800139367063</t>
        </is>
      </c>
      <c r="G19" s="0" t="inlineStr">
        <is>
          <t>MENS</t>
        </is>
      </c>
      <c r="H19" s="0" t="inlineStr">
        <is>
          <t>L</t>
        </is>
      </c>
      <c r="I19" s="0">
        <v>49.99</v>
      </c>
      <c r="J19" s="0">
        <v>0</v>
      </c>
    </row>
    <row r="20" spans="1:10" customHeight="0">
      <c r="A20" s="0">
        <f>HYPERLINK("https://dl.dropboxusercontent.com/scl/fi/73ctmtftvq8nr6hy8ujgo/fleet-139367-tn.jpg?rlkey=wz9hac2n1hyy5e1j9o8mn3ibb&amp;dl=0","Click to download Image")</f>
      </c>
      <c r="B20" s="0">
        <f>HYPERLINK("https://dl.dropboxusercontent.com/scl/fi/d8vomaxff09wo850k860d/mens-polo-size-chartsfleet.jpg?rlkey=l8np6w1qgoutb31rhdh76451h&amp;dl=0","Click to download SizeChart")</f>
      </c>
      <c r="C20" s="0" t="inlineStr">
        <is>
          <t>Fleet Men's Polo</t>
        </is>
      </c>
      <c r="D20" s="0" t="inlineStr">
        <is>
          <t>'139367</t>
        </is>
      </c>
      <c r="E20" s="0" t="inlineStr">
        <is>
          <t>IOWA FLEET M BK:139367D-XL</t>
        </is>
      </c>
      <c r="F20" s="0" t="inlineStr">
        <is>
          <t>'800139367070</t>
        </is>
      </c>
      <c r="G20" s="0" t="inlineStr">
        <is>
          <t>MENS</t>
        </is>
      </c>
      <c r="H20" s="0" t="inlineStr">
        <is>
          <t>XL</t>
        </is>
      </c>
      <c r="I20" s="0">
        <v>49.99</v>
      </c>
      <c r="J20" s="0">
        <v>0</v>
      </c>
    </row>
    <row r="21" spans="1:10" customHeight="0">
      <c r="A21" s="0">
        <f>HYPERLINK("https://dl.dropboxusercontent.com/scl/fi/73ctmtftvq8nr6hy8ujgo/fleet-139367-tn.jpg?rlkey=wz9hac2n1hyy5e1j9o8mn3ibb&amp;dl=0","Click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'139367</t>
        </is>
      </c>
      <c r="E21" s="0" t="inlineStr">
        <is>
          <t>IOWA FLEET M BK:139367E-2XL</t>
        </is>
      </c>
      <c r="F21" s="0" t="inlineStr">
        <is>
          <t>'800139367087</t>
        </is>
      </c>
      <c r="G21" s="0" t="inlineStr">
        <is>
          <t>MENS</t>
        </is>
      </c>
      <c r="H21" s="0" t="inlineStr">
        <is>
          <t>2XL</t>
        </is>
      </c>
      <c r="I21" s="0">
        <v>51.99</v>
      </c>
      <c r="J21" s="0">
        <v>0</v>
      </c>
    </row>
    <row r="22" spans="1:10" customHeight="0">
      <c r="A22" s="0">
        <f>HYPERLINK("https://dl.dropboxusercontent.com/scl/fi/73ctmtftvq8nr6hy8ujgo/fleet-139367-tn.jpg?rlkey=wz9hac2n1hyy5e1j9o8mn3ibb&amp;dl=0","Click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'139367</t>
        </is>
      </c>
      <c r="E22" s="0" t="inlineStr">
        <is>
          <t>IOWA FLEET M BK:139367F-3XL</t>
        </is>
      </c>
      <c r="F22" s="0" t="inlineStr">
        <is>
          <t>'800139367094</t>
        </is>
      </c>
      <c r="G22" s="0" t="inlineStr">
        <is>
          <t>MENS</t>
        </is>
      </c>
      <c r="H22" s="0" t="inlineStr">
        <is>
          <t>3XL</t>
        </is>
      </c>
      <c r="I22" s="0">
        <v>51.99</v>
      </c>
      <c r="J22" s="0">
        <v>0</v>
      </c>
    </row>
    <row r="23" spans="1:10" customHeight="0">
      <c r="A23" s="0">
        <f>HYPERLINK("https://dl.dropboxusercontent.com/scl/fi/73ctmtftvq8nr6hy8ujgo/fleet-139367-tn.jpg?rlkey=wz9hac2n1hyy5e1j9o8mn3ibb&amp;dl=0","Click to download Image")</f>
      </c>
      <c r="B23" s="0">
        <f>HYPERLINK("https://dl.dropboxusercontent.com/scl/fi/d8vomaxff09wo850k860d/mens-polo-size-chartsfleet.jpg?rlkey=l8np6w1qgoutb31rhdh76451h&amp;dl=0","Click to download SizeChart")</f>
      </c>
      <c r="C23" s="0" t="inlineStr">
        <is>
          <t>Fleet Men's Polo</t>
        </is>
      </c>
      <c r="D23" s="0" t="inlineStr">
        <is>
          <t>'139367</t>
        </is>
      </c>
      <c r="E23" s="0" t="inlineStr">
        <is>
          <t>IOWA FLEET M BK:139367Z-12PK</t>
        </is>
      </c>
      <c r="F23" s="0" t="inlineStr">
        <is>
          <t>'800139367995</t>
        </is>
      </c>
      <c r="G23" s="0" t="inlineStr">
        <is>
          <t>MENS</t>
        </is>
      </c>
      <c r="H23" s="0" t="inlineStr">
        <is>
          <t>12 PACK</t>
        </is>
      </c>
      <c r="I23" s="0">
        <v>486</v>
      </c>
      <c r="J23" s="0">
        <v>0</v>
      </c>
    </row>
    <row r="24" spans="1:10" customHeight="0">
      <c r="A24" s="0">
        <f>HYPERLINK("https://dl.dropboxusercontent.com/scl/fi/xu3697b6lrfojj5zsu3b6/fleet-139366-tn.jpg?rlkey=o2q9c1loqhcp6iu2l30f0hh0n&amp;dl=0","Click to download Image")</f>
      </c>
      <c r="B24" s="0">
        <f>HYPERLINK("https://dl.dropboxusercontent.com/scl/fi/d8vomaxff09wo850k860d/mens-polo-size-chartsfleet.jpg?rlkey=l8np6w1qgoutb31rhdh76451h&amp;dl=0","Click to download SizeChart")</f>
      </c>
      <c r="C24" s="0" t="inlineStr">
        <is>
          <t>Fleet Men's Polo</t>
        </is>
      </c>
      <c r="D24" s="0" t="inlineStr">
        <is>
          <t>'139366</t>
        </is>
      </c>
      <c r="E24" s="0" t="inlineStr">
        <is>
          <t>IOWA FLEET M GD:139366A-S</t>
        </is>
      </c>
      <c r="F24" s="0" t="inlineStr">
        <is>
          <t>'800139366042</t>
        </is>
      </c>
      <c r="G24" s="0" t="inlineStr">
        <is>
          <t>MENS</t>
        </is>
      </c>
      <c r="H24" s="0" t="inlineStr">
        <is>
          <t>S</t>
        </is>
      </c>
      <c r="I24" s="0">
        <v>49.99</v>
      </c>
      <c r="J24" s="0">
        <v>3</v>
      </c>
    </row>
    <row r="25" spans="1:10" customHeight="0">
      <c r="A25" s="0">
        <f>HYPERLINK("https://dl.dropboxusercontent.com/scl/fi/xu3697b6lrfojj5zsu3b6/fleet-139366-tn.jpg?rlkey=o2q9c1loqhcp6iu2l30f0hh0n&amp;dl=0","Click to download Image")</f>
      </c>
      <c r="B25" s="0">
        <f>HYPERLINK("https://dl.dropboxusercontent.com/scl/fi/d8vomaxff09wo850k860d/mens-polo-size-chartsfleet.jpg?rlkey=l8np6w1qgoutb31rhdh76451h&amp;dl=0","Click to download SizeChart")</f>
      </c>
      <c r="C25" s="0" t="inlineStr">
        <is>
          <t>Fleet Men's Polo</t>
        </is>
      </c>
      <c r="D25" s="0" t="inlineStr">
        <is>
          <t>'139366</t>
        </is>
      </c>
      <c r="E25" s="0" t="inlineStr">
        <is>
          <t>IOWA FLEET M GD:139366B-M</t>
        </is>
      </c>
      <c r="F25" s="0" t="inlineStr">
        <is>
          <t>'800139366059</t>
        </is>
      </c>
      <c r="G25" s="0" t="inlineStr">
        <is>
          <t>MENS</t>
        </is>
      </c>
      <c r="H25" s="0" t="inlineStr">
        <is>
          <t>M</t>
        </is>
      </c>
      <c r="I25" s="0">
        <v>49.99</v>
      </c>
      <c r="J25" s="0">
        <v>0</v>
      </c>
    </row>
    <row r="26" spans="1:10" customHeight="0">
      <c r="A26" s="0">
        <f>HYPERLINK("https://dl.dropboxusercontent.com/scl/fi/xu3697b6lrfojj5zsu3b6/fleet-139366-tn.jpg?rlkey=o2q9c1loqhcp6iu2l30f0hh0n&amp;dl=0","Click to download Image")</f>
      </c>
      <c r="B26" s="0">
        <f>HYPERLINK("https://dl.dropboxusercontent.com/scl/fi/d8vomaxff09wo850k860d/mens-polo-size-chartsfleet.jpg?rlkey=l8np6w1qgoutb31rhdh76451h&amp;dl=0","Click to download SizeChart")</f>
      </c>
      <c r="C26" s="0" t="inlineStr">
        <is>
          <t>Fleet Men's Polo</t>
        </is>
      </c>
      <c r="D26" s="0" t="inlineStr">
        <is>
          <t>'139366</t>
        </is>
      </c>
      <c r="E26" s="0" t="inlineStr">
        <is>
          <t>IOWA FLEET M GD:139366C-L</t>
        </is>
      </c>
      <c r="F26" s="0" t="inlineStr">
        <is>
          <t>'800139366066</t>
        </is>
      </c>
      <c r="G26" s="0" t="inlineStr">
        <is>
          <t>MENS</t>
        </is>
      </c>
      <c r="H26" s="0" t="inlineStr">
        <is>
          <t>L</t>
        </is>
      </c>
      <c r="I26" s="0">
        <v>49.99</v>
      </c>
      <c r="J26" s="0">
        <v>0</v>
      </c>
    </row>
    <row r="27" spans="1:10" customHeight="0">
      <c r="A27" s="0">
        <f>HYPERLINK("https://dl.dropboxusercontent.com/scl/fi/xu3697b6lrfojj5zsu3b6/fleet-139366-tn.jpg?rlkey=o2q9c1loqhcp6iu2l30f0hh0n&amp;dl=0","Click to download Image")</f>
      </c>
      <c r="B27" s="0">
        <f>HYPERLINK("https://dl.dropboxusercontent.com/scl/fi/d8vomaxff09wo850k860d/mens-polo-size-chartsfleet.jpg?rlkey=l8np6w1qgoutb31rhdh76451h&amp;dl=0","Click to download SizeChart")</f>
      </c>
      <c r="C27" s="0" t="inlineStr">
        <is>
          <t>Fleet Men's Polo</t>
        </is>
      </c>
      <c r="D27" s="0" t="inlineStr">
        <is>
          <t>'139366</t>
        </is>
      </c>
      <c r="E27" s="0" t="inlineStr">
        <is>
          <t>IOWA FLEET M GD:139366D-XL</t>
        </is>
      </c>
      <c r="F27" s="0" t="inlineStr">
        <is>
          <t>'800139366073</t>
        </is>
      </c>
      <c r="G27" s="0" t="inlineStr">
        <is>
          <t>MENS</t>
        </is>
      </c>
      <c r="H27" s="0" t="inlineStr">
        <is>
          <t>XL</t>
        </is>
      </c>
      <c r="I27" s="0">
        <v>49.99</v>
      </c>
      <c r="J27" s="0">
        <v>0</v>
      </c>
    </row>
    <row r="28" spans="1:10" customHeight="0">
      <c r="A28" s="0">
        <f>HYPERLINK("https://dl.dropboxusercontent.com/scl/fi/xu3697b6lrfojj5zsu3b6/fleet-139366-tn.jpg?rlkey=o2q9c1loqhcp6iu2l30f0hh0n&amp;dl=0","Click to download Image")</f>
      </c>
      <c r="B28" s="0">
        <f>HYPERLINK("https://dl.dropboxusercontent.com/scl/fi/d8vomaxff09wo850k860d/mens-polo-size-chartsfleet.jpg?rlkey=l8np6w1qgoutb31rhdh76451h&amp;dl=0","Click to download SizeChart")</f>
      </c>
      <c r="C28" s="0" t="inlineStr">
        <is>
          <t>Fleet Men's Polo</t>
        </is>
      </c>
      <c r="D28" s="0" t="inlineStr">
        <is>
          <t>'139366</t>
        </is>
      </c>
      <c r="E28" s="0" t="inlineStr">
        <is>
          <t>IOWA FLEET M GD:139366E-2XL</t>
        </is>
      </c>
      <c r="F28" s="0" t="inlineStr">
        <is>
          <t>'800139366080</t>
        </is>
      </c>
      <c r="G28" s="0" t="inlineStr">
        <is>
          <t>MENS</t>
        </is>
      </c>
      <c r="H28" s="0" t="inlineStr">
        <is>
          <t>2XL</t>
        </is>
      </c>
      <c r="I28" s="0">
        <v>51.99</v>
      </c>
      <c r="J28" s="0">
        <v>0</v>
      </c>
    </row>
    <row r="29" spans="1:10" customHeight="0">
      <c r="A29" s="0">
        <f>HYPERLINK("https://dl.dropboxusercontent.com/scl/fi/xu3697b6lrfojj5zsu3b6/fleet-139366-tn.jpg?rlkey=o2q9c1loqhcp6iu2l30f0hh0n&amp;dl=0","Click to download Image")</f>
      </c>
      <c r="B29" s="0">
        <f>HYPERLINK("https://dl.dropboxusercontent.com/scl/fi/d8vomaxff09wo850k860d/mens-polo-size-chartsfleet.jpg?rlkey=l8np6w1qgoutb31rhdh76451h&amp;dl=0","Click to download SizeChart")</f>
      </c>
      <c r="C29" s="0" t="inlineStr">
        <is>
          <t>Fleet Men's Polo</t>
        </is>
      </c>
      <c r="D29" s="0" t="inlineStr">
        <is>
          <t>'139366</t>
        </is>
      </c>
      <c r="E29" s="0" t="inlineStr">
        <is>
          <t>IOWA FLEET M GD:139366F-3XL</t>
        </is>
      </c>
      <c r="F29" s="0" t="inlineStr">
        <is>
          <t>'800139366097</t>
        </is>
      </c>
      <c r="G29" s="0" t="inlineStr">
        <is>
          <t>MENS</t>
        </is>
      </c>
      <c r="H29" s="0" t="inlineStr">
        <is>
          <t>3XL</t>
        </is>
      </c>
      <c r="I29" s="0">
        <v>51.99</v>
      </c>
      <c r="J29" s="0">
        <v>0</v>
      </c>
    </row>
    <row r="30" spans="1:10" customHeight="0">
      <c r="A30" s="0">
        <f>HYPERLINK("https://dl.dropboxusercontent.com/scl/fi/xu3697b6lrfojj5zsu3b6/fleet-139366-tn.jpg?rlkey=o2q9c1loqhcp6iu2l30f0hh0n&amp;dl=0","Click to download Image")</f>
      </c>
      <c r="B30" s="0">
        <f>HYPERLINK("https://dl.dropboxusercontent.com/scl/fi/d8vomaxff09wo850k860d/mens-polo-size-chartsfleet.jpg?rlkey=l8np6w1qgoutb31rhdh76451h&amp;dl=0","Click to download SizeChart")</f>
      </c>
      <c r="C30" s="0" t="inlineStr">
        <is>
          <t>Fleet Men's Polo</t>
        </is>
      </c>
      <c r="D30" s="0" t="inlineStr">
        <is>
          <t>'139366</t>
        </is>
      </c>
      <c r="E30" s="0" t="inlineStr">
        <is>
          <t>IOWA FLEET M GD:139366Z-12PK</t>
        </is>
      </c>
      <c r="F30" s="0" t="inlineStr">
        <is>
          <t>'800139366073</t>
        </is>
      </c>
      <c r="G30" s="0" t="inlineStr">
        <is>
          <t>MENS</t>
        </is>
      </c>
      <c r="H30" s="0" t="inlineStr">
        <is>
          <t>12 PACK</t>
        </is>
      </c>
      <c r="I30" s="0">
        <v>486</v>
      </c>
      <c r="J30" s="0">
        <v>0</v>
      </c>
    </row>
    <row r="31" spans="1:10" customHeight="0">
      <c r="A31" s="0">
        <f>HYPERLINK("https://dl.dropboxusercontent.com/scl/fi/o9km6s7luehevaz93uvdt/144383f.png?rlkey=l3f8jgo4a3y6mtambkvkr7qtn&amp;dl=0","Click to download Image")</f>
      </c>
      <c r="B31" s="0">
        <f>HYPERLINK("https://dl.dropboxusercontent.com/scl/fi/d8vomaxff09wo850k860d/mens-polo-size-chartsfleet.jpg?rlkey=l8np6w1qgoutb31rhdh76451h&amp;dl=0","Click to download SizeChart")</f>
      </c>
      <c r="C31" s="0" t="inlineStr">
        <is>
          <t>Fleet Men's Polo</t>
        </is>
      </c>
      <c r="D31" s="0" t="inlineStr">
        <is>
          <t>'144383</t>
        </is>
      </c>
      <c r="E31" s="0" t="inlineStr">
        <is>
          <t>IOWA FLEET M GY:144383A-S</t>
        </is>
      </c>
      <c r="F31" s="0" t="inlineStr">
        <is>
          <t>'800144383041</t>
        </is>
      </c>
      <c r="G31" s="0" t="inlineStr">
        <is>
          <t>MENS</t>
        </is>
      </c>
      <c r="H31" s="0" t="inlineStr">
        <is>
          <t>S</t>
        </is>
      </c>
      <c r="I31" s="0">
        <v>49.99</v>
      </c>
      <c r="J31" s="0">
        <v>2</v>
      </c>
    </row>
    <row r="32" spans="1:10" customHeight="0">
      <c r="A32" s="0">
        <f>HYPERLINK("https://dl.dropboxusercontent.com/scl/fi/o9km6s7luehevaz93uvdt/144383f.png?rlkey=l3f8jgo4a3y6mtambkvkr7qtn&amp;dl=0","Click to download Image")</f>
      </c>
      <c r="B32" s="0">
        <f>HYPERLINK("https://dl.dropboxusercontent.com/scl/fi/d8vomaxff09wo850k860d/mens-polo-size-chartsfleet.jpg?rlkey=l8np6w1qgoutb31rhdh76451h&amp;dl=0","Click to download SizeChart")</f>
      </c>
      <c r="C32" s="0" t="inlineStr">
        <is>
          <t>Fleet Men's Polo</t>
        </is>
      </c>
      <c r="D32" s="0" t="inlineStr">
        <is>
          <t>'144383</t>
        </is>
      </c>
      <c r="E32" s="0" t="inlineStr">
        <is>
          <t>IOWA FLEET M GY:144383B-M</t>
        </is>
      </c>
      <c r="F32" s="0" t="inlineStr">
        <is>
          <t>'800144383058</t>
        </is>
      </c>
      <c r="G32" s="0" t="inlineStr">
        <is>
          <t>MENS</t>
        </is>
      </c>
      <c r="H32" s="0" t="inlineStr">
        <is>
          <t>M</t>
        </is>
      </c>
      <c r="I32" s="0">
        <v>49.99</v>
      </c>
      <c r="J32" s="0">
        <v>0</v>
      </c>
    </row>
    <row r="33" spans="1:10" customHeight="0">
      <c r="A33" s="0">
        <f>HYPERLINK("https://dl.dropboxusercontent.com/scl/fi/o9km6s7luehevaz93uvdt/144383f.png?rlkey=l3f8jgo4a3y6mtambkvkr7qtn&amp;dl=0","Click to download Image")</f>
      </c>
      <c r="B33" s="0">
        <f>HYPERLINK("https://dl.dropboxusercontent.com/scl/fi/d8vomaxff09wo850k860d/mens-polo-size-chartsfleet.jpg?rlkey=l8np6w1qgoutb31rhdh76451h&amp;dl=0","Click to download SizeChart")</f>
      </c>
      <c r="C33" s="0" t="inlineStr">
        <is>
          <t>Fleet Men's Polo</t>
        </is>
      </c>
      <c r="D33" s="0" t="inlineStr">
        <is>
          <t>'144383</t>
        </is>
      </c>
      <c r="E33" s="0" t="inlineStr">
        <is>
          <t>IOWA FLEET M GY:144383C-L</t>
        </is>
      </c>
      <c r="F33" s="0" t="inlineStr">
        <is>
          <t>'800144383065</t>
        </is>
      </c>
      <c r="G33" s="0" t="inlineStr">
        <is>
          <t>MENS</t>
        </is>
      </c>
      <c r="H33" s="0" t="inlineStr">
        <is>
          <t>L</t>
        </is>
      </c>
      <c r="I33" s="0">
        <v>49.99</v>
      </c>
      <c r="J33" s="0">
        <v>0</v>
      </c>
    </row>
    <row r="34" spans="1:10" customHeight="0">
      <c r="A34" s="0">
        <f>HYPERLINK("https://dl.dropboxusercontent.com/scl/fi/o9km6s7luehevaz93uvdt/144383f.png?rlkey=l3f8jgo4a3y6mtambkvkr7qtn&amp;dl=0","Click to download Image")</f>
      </c>
      <c r="B34" s="0">
        <f>HYPERLINK("https://dl.dropboxusercontent.com/scl/fi/d8vomaxff09wo850k860d/mens-polo-size-chartsfleet.jpg?rlkey=l8np6w1qgoutb31rhdh76451h&amp;dl=0","Click to download SizeChart")</f>
      </c>
      <c r="C34" s="0" t="inlineStr">
        <is>
          <t>Fleet Men's Polo</t>
        </is>
      </c>
      <c r="D34" s="0" t="inlineStr">
        <is>
          <t>'144383</t>
        </is>
      </c>
      <c r="E34" s="0" t="inlineStr">
        <is>
          <t>IOWA FLEET M GY:144383D-XL</t>
        </is>
      </c>
      <c r="F34" s="0" t="inlineStr">
        <is>
          <t>'800144383072</t>
        </is>
      </c>
      <c r="G34" s="0" t="inlineStr">
        <is>
          <t>MENS</t>
        </is>
      </c>
      <c r="H34" s="0" t="inlineStr">
        <is>
          <t>XL</t>
        </is>
      </c>
      <c r="I34" s="0">
        <v>49.99</v>
      </c>
      <c r="J34" s="0">
        <v>0</v>
      </c>
    </row>
    <row r="35" spans="1:10" customHeight="0">
      <c r="A35" s="0">
        <f>HYPERLINK("https://dl.dropboxusercontent.com/scl/fi/o9km6s7luehevaz93uvdt/144383f.png?rlkey=l3f8jgo4a3y6mtambkvkr7qtn&amp;dl=0","Click to download Image")</f>
      </c>
      <c r="B35" s="0">
        <f>HYPERLINK("https://dl.dropboxusercontent.com/scl/fi/d8vomaxff09wo850k860d/mens-polo-size-chartsfleet.jpg?rlkey=l8np6w1qgoutb31rhdh76451h&amp;dl=0","Click to download SizeChart")</f>
      </c>
      <c r="C35" s="0" t="inlineStr">
        <is>
          <t>Fleet Men's Polo</t>
        </is>
      </c>
      <c r="D35" s="0" t="inlineStr">
        <is>
          <t>'144383</t>
        </is>
      </c>
      <c r="E35" s="0" t="inlineStr">
        <is>
          <t>IOWA FLEET M GY:144383E-2XL</t>
        </is>
      </c>
      <c r="F35" s="0" t="inlineStr">
        <is>
          <t>'800144383089</t>
        </is>
      </c>
      <c r="G35" s="0" t="inlineStr">
        <is>
          <t>MENS</t>
        </is>
      </c>
      <c r="H35" s="0" t="inlineStr">
        <is>
          <t>2XL</t>
        </is>
      </c>
      <c r="I35" s="0">
        <v>51.99</v>
      </c>
      <c r="J35" s="0">
        <v>0</v>
      </c>
    </row>
    <row r="36" spans="1:10" customHeight="0">
      <c r="A36" s="0">
        <f>HYPERLINK("https://dl.dropboxusercontent.com/scl/fi/o9km6s7luehevaz93uvdt/144383f.png?rlkey=l3f8jgo4a3y6mtambkvkr7qtn&amp;dl=0","Click to download Image")</f>
      </c>
      <c r="B36" s="0">
        <f>HYPERLINK("https://dl.dropboxusercontent.com/scl/fi/d8vomaxff09wo850k860d/mens-polo-size-chartsfleet.jpg?rlkey=l8np6w1qgoutb31rhdh76451h&amp;dl=0","Click to download SizeChart")</f>
      </c>
      <c r="C36" s="0" t="inlineStr">
        <is>
          <t>Fleet Men's Polo</t>
        </is>
      </c>
      <c r="D36" s="0" t="inlineStr">
        <is>
          <t>'144383</t>
        </is>
      </c>
      <c r="E36" s="0" t="inlineStr">
        <is>
          <t>IOWA FLEET M GY:144383F-3XL</t>
        </is>
      </c>
      <c r="F36" s="0" t="inlineStr">
        <is>
          <t>'800144383096</t>
        </is>
      </c>
      <c r="G36" s="0" t="inlineStr">
        <is>
          <t>MENS</t>
        </is>
      </c>
      <c r="H36" s="0" t="inlineStr">
        <is>
          <t>3XL</t>
        </is>
      </c>
      <c r="I36" s="0">
        <v>51.99</v>
      </c>
      <c r="J36" s="0">
        <v>0</v>
      </c>
    </row>
    <row r="37" spans="1:10" customHeight="0">
      <c r="A37" s="0">
        <f>HYPERLINK("https://dl.dropboxusercontent.com/scl/fi/o9km6s7luehevaz93uvdt/144383f.png?rlkey=l3f8jgo4a3y6mtambkvkr7qtn&amp;dl=0","Click to download Image")</f>
      </c>
      <c r="B37" s="0">
        <f>HYPERLINK("https://dl.dropboxusercontent.com/scl/fi/d8vomaxff09wo850k860d/mens-polo-size-chartsfleet.jpg?rlkey=l8np6w1qgoutb31rhdh76451h&amp;dl=0","Click to download SizeChart")</f>
      </c>
      <c r="C37" s="0" t="inlineStr">
        <is>
          <t>Fleet Men's Polo</t>
        </is>
      </c>
      <c r="D37" s="0" t="inlineStr">
        <is>
          <t>'144383</t>
        </is>
      </c>
      <c r="F37" s="0" t="inlineStr">
        <is>
          <t>'000000000000</t>
        </is>
      </c>
      <c r="G37" s="0" t="inlineStr">
        <is>
          <t>MENS</t>
        </is>
      </c>
      <c r="I37" s="0">
        <v>49.99</v>
      </c>
      <c r="J37" s="0">
        <v>0</v>
      </c>
    </row>
    <row r="38" spans="1:10" customHeight="0">
      <c r="A38" s="0">
        <f>HYPERLINK("https://dl.dropboxusercontent.com/scl/fi/xjysfmiot1fo4ktamm7lt/harlow-139273-tn.jpg?rlkey=wtankb20wv99ym2hfsby8bp0w&amp;dl=0","Click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'139273</t>
        </is>
      </c>
      <c r="E38" s="0" t="inlineStr">
        <is>
          <t>ISU HARLOW W BK:139273A-S</t>
        </is>
      </c>
      <c r="F38" s="0" t="inlineStr">
        <is>
          <t>'801139273040</t>
        </is>
      </c>
      <c r="G38" s="0" t="inlineStr">
        <is>
          <t>WOMENS</t>
        </is>
      </c>
      <c r="H38" s="0" t="inlineStr">
        <is>
          <t>S</t>
        </is>
      </c>
      <c r="I38" s="0">
        <v>89.99</v>
      </c>
      <c r="J38" s="0">
        <v>2</v>
      </c>
    </row>
    <row r="39" spans="1:10" customHeight="0">
      <c r="A39" s="0">
        <f>HYPERLINK("https://dl.dropboxusercontent.com/scl/fi/xjysfmiot1fo4ktamm7lt/harlow-139273-tn.jpg?rlkey=wtankb20wv99ym2hfsby8bp0w&amp;dl=0","Click to download Image")</f>
      </c>
      <c r="B39" s="0">
        <f>HYPERLINK("https://dl.dropboxusercontent.com/scl/fi/e7db3s8v5nepsb39zvrtt/womens-size-chartsharlow.jpg?rlkey=2a9jeuxmk0wp93d4817zkiuwa&amp;dl=0","Click to download SizeChart")</f>
      </c>
      <c r="C39" s="0" t="inlineStr">
        <is>
          <t>Harlow Women's Puffer Vest</t>
        </is>
      </c>
      <c r="D39" s="0" t="inlineStr">
        <is>
          <t>'139273</t>
        </is>
      </c>
      <c r="E39" s="0" t="inlineStr">
        <is>
          <t>ISU HARLOW W BK:139273B-M</t>
        </is>
      </c>
      <c r="F39" s="0" t="inlineStr">
        <is>
          <t>'801139273057</t>
        </is>
      </c>
      <c r="G39" s="0" t="inlineStr">
        <is>
          <t>WOMENS</t>
        </is>
      </c>
      <c r="H39" s="0" t="inlineStr">
        <is>
          <t>M</t>
        </is>
      </c>
      <c r="I39" s="0">
        <v>89.99</v>
      </c>
      <c r="J39" s="0">
        <v>2</v>
      </c>
    </row>
    <row r="40" spans="1:10" customHeight="0">
      <c r="A40" s="0">
        <f>HYPERLINK("https://dl.dropboxusercontent.com/scl/fi/xjysfmiot1fo4ktamm7lt/harlow-139273-tn.jpg?rlkey=wtankb20wv99ym2hfsby8bp0w&amp;dl=0","Click to download Image")</f>
      </c>
      <c r="B40" s="0">
        <f>HYPERLINK("https://dl.dropboxusercontent.com/scl/fi/e7db3s8v5nepsb39zvrtt/womens-size-chartsharlow.jpg?rlkey=2a9jeuxmk0wp93d4817zkiuwa&amp;dl=0","Click to download SizeChart")</f>
      </c>
      <c r="C40" s="0" t="inlineStr">
        <is>
          <t>Harlow Women's Puffer Vest</t>
        </is>
      </c>
      <c r="D40" s="0" t="inlineStr">
        <is>
          <t>'139273</t>
        </is>
      </c>
      <c r="E40" s="0" t="inlineStr">
        <is>
          <t>ISU HARLOW W BK:139273C-L</t>
        </is>
      </c>
      <c r="F40" s="0" t="inlineStr">
        <is>
          <t>'801139273064</t>
        </is>
      </c>
      <c r="G40" s="0" t="inlineStr">
        <is>
          <t>WOMENS</t>
        </is>
      </c>
      <c r="H40" s="0" t="inlineStr">
        <is>
          <t>L</t>
        </is>
      </c>
      <c r="I40" s="0">
        <v>89.99</v>
      </c>
      <c r="J40" s="0">
        <v>0</v>
      </c>
    </row>
    <row r="41" spans="1:10" customHeight="0">
      <c r="A41" s="0">
        <f>HYPERLINK("https://dl.dropboxusercontent.com/scl/fi/xjysfmiot1fo4ktamm7lt/harlow-139273-tn.jpg?rlkey=wtankb20wv99ym2hfsby8bp0w&amp;dl=0","Click to download Image")</f>
      </c>
      <c r="B41" s="0">
        <f>HYPERLINK("https://dl.dropboxusercontent.com/scl/fi/e7db3s8v5nepsb39zvrtt/womens-size-chartsharlow.jpg?rlkey=2a9jeuxmk0wp93d4817zkiuwa&amp;dl=0","Click to download SizeChart")</f>
      </c>
      <c r="C41" s="0" t="inlineStr">
        <is>
          <t>Harlow Women's Puffer Vest</t>
        </is>
      </c>
      <c r="D41" s="0" t="inlineStr">
        <is>
          <t>'139273</t>
        </is>
      </c>
      <c r="E41" s="0" t="inlineStr">
        <is>
          <t>ISU HARLOW W BK:139273D-XL</t>
        </is>
      </c>
      <c r="F41" s="0" t="inlineStr">
        <is>
          <t>'801139273071</t>
        </is>
      </c>
      <c r="G41" s="0" t="inlineStr">
        <is>
          <t>WOMENS</t>
        </is>
      </c>
      <c r="H41" s="0" t="inlineStr">
        <is>
          <t>XL</t>
        </is>
      </c>
      <c r="I41" s="0">
        <v>89.99</v>
      </c>
      <c r="J41" s="0">
        <v>0</v>
      </c>
    </row>
    <row r="42" spans="1:10" customHeight="0">
      <c r="A42" s="0">
        <f>HYPERLINK("https://dl.dropboxusercontent.com/scl/fi/xjysfmiot1fo4ktamm7lt/harlow-139273-tn.jpg?rlkey=wtankb20wv99ym2hfsby8bp0w&amp;dl=0","Click to download Image")</f>
      </c>
      <c r="B42" s="0">
        <f>HYPERLINK("https://dl.dropboxusercontent.com/scl/fi/e7db3s8v5nepsb39zvrtt/womens-size-chartsharlow.jpg?rlkey=2a9jeuxmk0wp93d4817zkiuwa&amp;dl=0","Click to download SizeChart")</f>
      </c>
      <c r="C42" s="0" t="inlineStr">
        <is>
          <t>Harlow Women's Puffer Vest</t>
        </is>
      </c>
      <c r="D42" s="0" t="inlineStr">
        <is>
          <t>'139273</t>
        </is>
      </c>
      <c r="E42" s="0" t="inlineStr">
        <is>
          <t>ISU HARLOW W BK:139273E-2XL</t>
        </is>
      </c>
      <c r="F42" s="0" t="inlineStr">
        <is>
          <t>'801139273088</t>
        </is>
      </c>
      <c r="G42" s="0" t="inlineStr">
        <is>
          <t>WOMENS</t>
        </is>
      </c>
      <c r="H42" s="0" t="inlineStr">
        <is>
          <t>2XL</t>
        </is>
      </c>
      <c r="I42" s="0">
        <v>89.99</v>
      </c>
      <c r="J42" s="0">
        <v>5</v>
      </c>
    </row>
    <row r="43" spans="1:10" customHeight="0">
      <c r="A43" s="0">
        <f>HYPERLINK("https://dl.dropboxusercontent.com/scl/fi/xjysfmiot1fo4ktamm7lt/harlow-139273-tn.jpg?rlkey=wtankb20wv99ym2hfsby8bp0w&amp;dl=0","Click to download Image")</f>
      </c>
      <c r="B43" s="0">
        <f>HYPERLINK("https://dl.dropboxusercontent.com/scl/fi/e7db3s8v5nepsb39zvrtt/womens-size-chartsharlow.jpg?rlkey=2a9jeuxmk0wp93d4817zkiuwa&amp;dl=0","Click to download SizeChart")</f>
      </c>
      <c r="C43" s="0" t="inlineStr">
        <is>
          <t>Harlow Women's Puffer Vest</t>
        </is>
      </c>
      <c r="D43" s="0" t="inlineStr">
        <is>
          <t>'139273</t>
        </is>
      </c>
      <c r="E43" s="0" t="inlineStr">
        <is>
          <t>ISU HARLOW W BK:139273F-3XL</t>
        </is>
      </c>
      <c r="F43" s="0" t="inlineStr">
        <is>
          <t>'801139273095</t>
        </is>
      </c>
      <c r="G43" s="0" t="inlineStr">
        <is>
          <t>WOMENS</t>
        </is>
      </c>
      <c r="H43" s="0" t="inlineStr">
        <is>
          <t>3XL</t>
        </is>
      </c>
      <c r="I43" s="0">
        <v>89.99</v>
      </c>
      <c r="J43" s="0">
        <v>1</v>
      </c>
    </row>
    <row r="44" spans="1:10" customHeight="0">
      <c r="A44" s="0">
        <f>HYPERLINK("https://dl.dropboxusercontent.com/scl/fi/xjysfmiot1fo4ktamm7lt/harlow-139273-tn.jpg?rlkey=wtankb20wv99ym2hfsby8bp0w&amp;dl=0","Click to download Image")</f>
      </c>
      <c r="B44" s="0">
        <f>HYPERLINK("https://dl.dropboxusercontent.com/scl/fi/e7db3s8v5nepsb39zvrtt/womens-size-chartsharlow.jpg?rlkey=2a9jeuxmk0wp93d4817zkiuwa&amp;dl=0","Click to download SizeChart")</f>
      </c>
      <c r="C44" s="0" t="inlineStr">
        <is>
          <t>Harlow Women's Puffer Vest</t>
        </is>
      </c>
      <c r="D44" s="0" t="inlineStr">
        <is>
          <t>'139273</t>
        </is>
      </c>
      <c r="E44" s="0" t="inlineStr">
        <is>
          <t>ISU HARLOW W BK:139273Z-12PK</t>
        </is>
      </c>
      <c r="F44" s="0" t="inlineStr">
        <is>
          <t>'801139273996</t>
        </is>
      </c>
      <c r="G44" s="0" t="inlineStr">
        <is>
          <t>WOMENS</t>
        </is>
      </c>
      <c r="H44" s="0" t="inlineStr">
        <is>
          <t>12 PACK</t>
        </is>
      </c>
      <c r="I44" s="0">
        <v>864</v>
      </c>
      <c r="J44" s="0">
        <v>0</v>
      </c>
    </row>
    <row r="45" spans="1:10" customHeight="0">
      <c r="A45" s="0">
        <f>HYPERLINK("https://dl.dropboxusercontent.com/scl/fi/vogoskfexq8huqmfza4h1/w5x3a892478845.jpg?rlkey=cr4k88n66vokq0rpshxq4pax9&amp;dl=0","Click to download Image")</f>
      </c>
      <c r="B45" s="0">
        <f>HYPERLINK("https://dl.dropboxusercontent.com/scl/fi/juu9tn2gsrgb40iits3he/womens-hoodie-and-sweatshirt-size-chartsbria.jpg?rlkey=q1wweoe4v3n8q4t2fbhny2g7c&amp;dl=0","Click to download SizeChart")</f>
      </c>
      <c r="C45" s="0" t="inlineStr">
        <is>
          <t>Bria Women's Sweatshirt</t>
        </is>
      </c>
      <c r="D45" s="0" t="inlineStr">
        <is>
          <t>'136122</t>
        </is>
      </c>
      <c r="E45" s="0" t="inlineStr">
        <is>
          <t>ISU BRIA W CL:136122C-L</t>
        </is>
      </c>
      <c r="F45" s="0" t="inlineStr">
        <is>
          <t>'801136122068</t>
        </is>
      </c>
      <c r="G45" s="0" t="inlineStr">
        <is>
          <t>WOMENS</t>
        </is>
      </c>
      <c r="H45" s="0" t="inlineStr">
        <is>
          <t>L</t>
        </is>
      </c>
      <c r="I45" s="0">
        <v>49.99</v>
      </c>
      <c r="J45" s="0">
        <v>0</v>
      </c>
    </row>
    <row r="46" spans="1:10" customHeight="0">
      <c r="A46" s="0">
        <f>HYPERLINK("https://dl.dropboxusercontent.com/scl/fi/vogoskfexq8huqmfza4h1/w5x3a892478845.jpg?rlkey=cr4k88n66vokq0rpshxq4pax9&amp;dl=0","Click to download Image")</f>
      </c>
      <c r="B46" s="0">
        <f>HYPERLINK("https://dl.dropboxusercontent.com/scl/fi/juu9tn2gsrgb40iits3he/womens-hoodie-and-sweatshirt-size-chartsbria.jpg?rlkey=q1wweoe4v3n8q4t2fbhny2g7c&amp;dl=0","Click to download SizeChart")</f>
      </c>
      <c r="C46" s="0" t="inlineStr">
        <is>
          <t>Bria Women's Sweatshirt</t>
        </is>
      </c>
      <c r="D46" s="0" t="inlineStr">
        <is>
          <t>'136122</t>
        </is>
      </c>
      <c r="E46" s="0" t="inlineStr">
        <is>
          <t>ISU BRIA W CL:136122E-2XL</t>
        </is>
      </c>
      <c r="F46" s="0" t="inlineStr">
        <is>
          <t>'801136122082</t>
        </is>
      </c>
      <c r="G46" s="0" t="inlineStr">
        <is>
          <t>WOMENS</t>
        </is>
      </c>
      <c r="H46" s="0" t="inlineStr">
        <is>
          <t>2XL</t>
        </is>
      </c>
      <c r="I46" s="0">
        <v>49.99</v>
      </c>
      <c r="J46" s="0">
        <v>3</v>
      </c>
    </row>
    <row r="47" spans="1:10" customHeight="0">
      <c r="A47" s="0">
        <f>HYPERLINK("https://dl.dropboxusercontent.com/scl/fi/vogoskfexq8huqmfza4h1/w5x3a892478845.jpg?rlkey=cr4k88n66vokq0rpshxq4pax9&amp;dl=0","Click to download Image")</f>
      </c>
      <c r="B47" s="0">
        <f>HYPERLINK("https://dl.dropboxusercontent.com/scl/fi/juu9tn2gsrgb40iits3he/womens-hoodie-and-sweatshirt-size-chartsbria.jpg?rlkey=q1wweoe4v3n8q4t2fbhny2g7c&amp;dl=0","Click to download SizeChart")</f>
      </c>
      <c r="C47" s="0" t="inlineStr">
        <is>
          <t>Bria Women's Sweatshirt</t>
        </is>
      </c>
      <c r="D47" s="0" t="inlineStr">
        <is>
          <t>'136122</t>
        </is>
      </c>
      <c r="E47" s="0" t="inlineStr">
        <is>
          <t>ISU BRIA W CL:136122F-3XL</t>
        </is>
      </c>
      <c r="F47" s="0" t="inlineStr">
        <is>
          <t>'801136122099</t>
        </is>
      </c>
      <c r="G47" s="0" t="inlineStr">
        <is>
          <t>WOMENS</t>
        </is>
      </c>
      <c r="H47" s="0" t="inlineStr">
        <is>
          <t>3XL</t>
        </is>
      </c>
      <c r="I47" s="0">
        <v>49.99</v>
      </c>
      <c r="J47" s="0">
        <v>1</v>
      </c>
    </row>
    <row r="48" spans="1:10" customHeight="0">
      <c r="A48" s="0">
        <f>HYPERLINK("https://dl.dropboxusercontent.com/scl/fi/9onggjx3yvp3tsb3r55ni/julia73691.jpg?rlkey=poug8onjm9cku5l1y77c69y7p&amp;dl=0","Click to download Image")</f>
      </c>
      <c r="B48" s="0">
        <f>HYPERLINK("https://dl.dropboxusercontent.com/scl/fi/uepf1tzmsi98fc1eyqv0q/graphic-update2022-womens.jpg?rlkey=lzcr2tj4smogak67tszto3b3y&amp;dl=0","Click to download SizeChart")</f>
      </c>
      <c r="C48" s="0" t="inlineStr">
        <is>
          <t>Julia Women's Hoodie</t>
        </is>
      </c>
      <c r="D48" s="0" t="inlineStr">
        <is>
          <t>'137379</t>
        </is>
      </c>
      <c r="E48" s="0" t="inlineStr">
        <is>
          <t>IND JULIA W CL:137379A-S</t>
        </is>
      </c>
      <c r="F48" s="0" t="inlineStr">
        <is>
          <t>'806137379046</t>
        </is>
      </c>
      <c r="G48" s="0" t="inlineStr">
        <is>
          <t>WOMENS</t>
        </is>
      </c>
      <c r="H48" s="0" t="inlineStr">
        <is>
          <t>S</t>
        </is>
      </c>
      <c r="I48" s="0">
        <v>49.99</v>
      </c>
      <c r="J48" s="0">
        <v>2</v>
      </c>
    </row>
    <row r="49" spans="1:10" customHeight="0">
      <c r="A49" s="0">
        <f>HYPERLINK("https://dl.dropboxusercontent.com/scl/fi/9onggjx3yvp3tsb3r55ni/julia73691.jpg?rlkey=poug8onjm9cku5l1y77c69y7p&amp;dl=0","Click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'137379</t>
        </is>
      </c>
      <c r="E49" s="0" t="inlineStr">
        <is>
          <t>IND JULIA W CL:137379B-M</t>
        </is>
      </c>
      <c r="F49" s="0" t="inlineStr">
        <is>
          <t>'806137379053</t>
        </is>
      </c>
      <c r="G49" s="0" t="inlineStr">
        <is>
          <t>WOMENS</t>
        </is>
      </c>
      <c r="H49" s="0" t="inlineStr">
        <is>
          <t>M</t>
        </is>
      </c>
      <c r="I49" s="0">
        <v>49.99</v>
      </c>
      <c r="J49" s="0">
        <v>2</v>
      </c>
    </row>
    <row r="50" spans="1:10" customHeight="0">
      <c r="A50" s="0">
        <f>HYPERLINK("https://dl.dropboxusercontent.com/scl/fi/9onggjx3yvp3tsb3r55ni/julia73691.jpg?rlkey=poug8onjm9cku5l1y77c69y7p&amp;dl=0","Click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'137379</t>
        </is>
      </c>
      <c r="E50" s="0" t="inlineStr">
        <is>
          <t>IND JULIA W CL:137379C-L</t>
        </is>
      </c>
      <c r="F50" s="0" t="inlineStr">
        <is>
          <t>'806137379060</t>
        </is>
      </c>
      <c r="G50" s="0" t="inlineStr">
        <is>
          <t>WOMENS</t>
        </is>
      </c>
      <c r="H50" s="0" t="inlineStr">
        <is>
          <t>L</t>
        </is>
      </c>
      <c r="I50" s="0">
        <v>49.99</v>
      </c>
      <c r="J50" s="0">
        <v>3</v>
      </c>
    </row>
    <row r="51" spans="1:10" customHeight="0">
      <c r="A51" s="0">
        <f>HYPERLINK("https://dl.dropboxusercontent.com/scl/fi/9onggjx3yvp3tsb3r55ni/julia73691.jpg?rlkey=poug8onjm9cku5l1y77c69y7p&amp;dl=0","Click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'137379</t>
        </is>
      </c>
      <c r="E51" s="0" t="inlineStr">
        <is>
          <t>IND JULIA W CL:137379D-XL</t>
        </is>
      </c>
      <c r="F51" s="0" t="inlineStr">
        <is>
          <t>'806137379077</t>
        </is>
      </c>
      <c r="G51" s="0" t="inlineStr">
        <is>
          <t>WOMENS</t>
        </is>
      </c>
      <c r="H51" s="0" t="inlineStr">
        <is>
          <t>XL</t>
        </is>
      </c>
      <c r="I51" s="0">
        <v>49.99</v>
      </c>
      <c r="J51" s="0">
        <v>2</v>
      </c>
    </row>
    <row r="52" spans="1:10" customHeight="0">
      <c r="A52" s="0">
        <f>HYPERLINK("https://dl.dropboxusercontent.com/scl/fi/9onggjx3yvp3tsb3r55ni/julia73691.jpg?rlkey=poug8onjm9cku5l1y77c69y7p&amp;dl=0","Click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'137379</t>
        </is>
      </c>
      <c r="E52" s="0" t="inlineStr">
        <is>
          <t>IND JULIA W CL:137379E-2XL</t>
        </is>
      </c>
      <c r="F52" s="0" t="inlineStr">
        <is>
          <t>'806137379084</t>
        </is>
      </c>
      <c r="G52" s="0" t="inlineStr">
        <is>
          <t>WOMENS</t>
        </is>
      </c>
      <c r="H52" s="0" t="inlineStr">
        <is>
          <t>2XL</t>
        </is>
      </c>
      <c r="I52" s="0">
        <v>49.99</v>
      </c>
      <c r="J52" s="0">
        <v>2</v>
      </c>
    </row>
    <row r="53" spans="1:10" customHeight="0">
      <c r="A53" s="0">
        <f>HYPERLINK("https://dl.dropboxusercontent.com/scl/fi/9onggjx3yvp3tsb3r55ni/julia73691.jpg?rlkey=poug8onjm9cku5l1y77c69y7p&amp;dl=0","Click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'137379</t>
        </is>
      </c>
      <c r="E53" s="0" t="inlineStr">
        <is>
          <t>IND JULIA W CL:137379F-3XL</t>
        </is>
      </c>
      <c r="F53" s="0" t="inlineStr">
        <is>
          <t>'806137379091</t>
        </is>
      </c>
      <c r="G53" s="0" t="inlineStr">
        <is>
          <t>WOMENS</t>
        </is>
      </c>
      <c r="H53" s="0" t="inlineStr">
        <is>
          <t>3XL</t>
        </is>
      </c>
      <c r="I53" s="0">
        <v>49.99</v>
      </c>
      <c r="J53" s="0">
        <v>1</v>
      </c>
    </row>
    <row r="54" spans="1:10" customHeight="0">
      <c r="A54" s="0">
        <f>HYPERLINK("https://dl.dropboxusercontent.com/scl/fi/9onggjx3yvp3tsb3r55ni/julia73691.jpg?rlkey=poug8onjm9cku5l1y77c69y7p&amp;dl=0","Click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'137379</t>
        </is>
      </c>
      <c r="E54" s="0" t="inlineStr">
        <is>
          <t>IND JULIA W CL:137379Z-12PK</t>
        </is>
      </c>
      <c r="F54" s="0" t="inlineStr">
        <is>
          <t>'806137379992</t>
        </is>
      </c>
      <c r="G54" s="0" t="inlineStr">
        <is>
          <t>WOMENS</t>
        </is>
      </c>
      <c r="H54" s="0" t="inlineStr">
        <is>
          <t>12 PACK</t>
        </is>
      </c>
      <c r="I54" s="0">
        <v>479.9</v>
      </c>
      <c r="J54" s="0">
        <v>0</v>
      </c>
    </row>
    <row r="55" spans="1:10" customHeight="0">
      <c r="A55" s="0">
        <f>HYPERLINK("https://dl.dropboxusercontent.com/scl/fi/a06wk3267lozfksmhd8mt/phelps-135186-tn.jpg?rlkey=zx8apzol1jigo2bucpv0f0f8l&amp;dl=0","Click to download Image")</f>
      </c>
      <c r="C55" s="0" t="inlineStr">
        <is>
          <t>Phelps Men's Cap</t>
        </is>
      </c>
      <c r="D55" s="0" t="inlineStr">
        <is>
          <t>'135186</t>
        </is>
      </c>
      <c r="E55" s="0" t="inlineStr">
        <is>
          <t>UNI PHELPS A DG:135186</t>
        </is>
      </c>
      <c r="F55" s="0" t="inlineStr">
        <is>
          <t>'702135186009</t>
        </is>
      </c>
      <c r="G55" s="0" t="inlineStr">
        <is>
          <t>MENS</t>
        </is>
      </c>
      <c r="H55" s="0" t="inlineStr">
        <is>
          <t>STANDARD MENS</t>
        </is>
      </c>
      <c r="I55" s="0">
        <v>24.99</v>
      </c>
      <c r="J55" s="0">
        <v>11</v>
      </c>
    </row>
    <row r="56" spans="1:10" customHeight="0">
      <c r="A56" s="0">
        <f>HYPERLINK("https://dl.dropboxusercontent.com/scl/fi/rneo40gas1o8qrtu4vmyn/emmeline-134298-t.jpg?rlkey=v0n8x6kt5978904buza418h7x&amp;dl=0","Click to download Image")</f>
      </c>
      <c r="B56" s="0">
        <f>HYPERLINK("https://dl.dropboxusercontent.com/scl/fi/ip4sixqhn2pi9xjst3stm/infant-2023standard-onesie-christer-emmeline.jpg?rlkey=3gx0yt5a12dtet6fc0iy0ebcg&amp;dl=0","Click to download SizeChart")</f>
      </c>
      <c r="C56" s="0" t="inlineStr">
        <is>
          <t>Emmeline Infant Bodysuit</t>
        </is>
      </c>
      <c r="D56" s="0" t="inlineStr">
        <is>
          <t>'134298</t>
        </is>
      </c>
      <c r="E56" s="0" t="inlineStr">
        <is>
          <t>ISU EMMELI I CL:134298A-0-3M</t>
        </is>
      </c>
      <c r="F56" s="0" t="inlineStr">
        <is>
          <t>'813134303004</t>
        </is>
      </c>
      <c r="G56" s="0" t="inlineStr">
        <is>
          <t>INFANT</t>
        </is>
      </c>
      <c r="H56" s="0" t="inlineStr">
        <is>
          <t>0-3M</t>
        </is>
      </c>
      <c r="I56" s="0">
        <v>24.99</v>
      </c>
      <c r="J56" s="0">
        <v>0</v>
      </c>
    </row>
    <row r="57" spans="1:10" customHeight="0">
      <c r="A57" s="0">
        <f>HYPERLINK("https://dl.dropboxusercontent.com/scl/fi/rneo40gas1o8qrtu4vmyn/emmeline-134298-t.jpg?rlkey=v0n8x6kt5978904buza418h7x&amp;dl=0","Click to download Image")</f>
      </c>
      <c r="B57" s="0">
        <f>HYPERLINK("https://dl.dropboxusercontent.com/scl/fi/ip4sixqhn2pi9xjst3stm/infant-2023standard-onesie-christer-emmeline.jpg?rlkey=3gx0yt5a12dtet6fc0iy0ebcg&amp;dl=0","Click to download SizeChart")</f>
      </c>
      <c r="C57" s="0" t="inlineStr">
        <is>
          <t>Emmeline Infant Bodysuit</t>
        </is>
      </c>
      <c r="D57" s="0" t="inlineStr">
        <is>
          <t>'134298</t>
        </is>
      </c>
      <c r="E57" s="0" t="inlineStr">
        <is>
          <t>ISU EMMELI I CL:134298B-3-6M</t>
        </is>
      </c>
      <c r="F57" s="0" t="inlineStr">
        <is>
          <t>'813134303011</t>
        </is>
      </c>
      <c r="G57" s="0" t="inlineStr">
        <is>
          <t>INFANT</t>
        </is>
      </c>
      <c r="H57" s="0" t="inlineStr">
        <is>
          <t>3-6M</t>
        </is>
      </c>
      <c r="I57" s="0">
        <v>24.99</v>
      </c>
      <c r="J57" s="0">
        <v>0</v>
      </c>
    </row>
    <row r="58" spans="1:10" customHeight="0">
      <c r="A58" s="0">
        <f>HYPERLINK("https://dl.dropboxusercontent.com/scl/fi/rneo40gas1o8qrtu4vmyn/emmeline-134298-t.jpg?rlkey=v0n8x6kt5978904buza418h7x&amp;dl=0","Click to download Image")</f>
      </c>
      <c r="B58" s="0">
        <f>HYPERLINK("https://dl.dropboxusercontent.com/scl/fi/ip4sixqhn2pi9xjst3stm/infant-2023standard-onesie-christer-emmeline.jpg?rlkey=3gx0yt5a12dtet6fc0iy0ebcg&amp;dl=0","Click to download SizeChart")</f>
      </c>
      <c r="C58" s="0" t="inlineStr">
        <is>
          <t>Emmeline Infant Bodysuit</t>
        </is>
      </c>
      <c r="D58" s="0" t="inlineStr">
        <is>
          <t>'134298</t>
        </is>
      </c>
      <c r="E58" s="0" t="inlineStr">
        <is>
          <t>ISU EMMELI I CL:134298C-6-9M</t>
        </is>
      </c>
      <c r="F58" s="0" t="inlineStr">
        <is>
          <t>'813134303028</t>
        </is>
      </c>
      <c r="G58" s="0" t="inlineStr">
        <is>
          <t>INFANT</t>
        </is>
      </c>
      <c r="H58" s="0" t="inlineStr">
        <is>
          <t>6-9M</t>
        </is>
      </c>
      <c r="I58" s="0">
        <v>24.99</v>
      </c>
      <c r="J58" s="0">
        <v>1</v>
      </c>
    </row>
    <row r="59" spans="1:10" customHeight="0">
      <c r="A59" s="0">
        <f>HYPERLINK("https://dl.dropboxusercontent.com/scl/fi/rneo40gas1o8qrtu4vmyn/emmeline-134298-t.jpg?rlkey=v0n8x6kt5978904buza418h7x&amp;dl=0","Click to download Image")</f>
      </c>
      <c r="B59" s="0">
        <f>HYPERLINK("https://dl.dropboxusercontent.com/scl/fi/ip4sixqhn2pi9xjst3stm/infant-2023standard-onesie-christer-emmeline.jpg?rlkey=3gx0yt5a12dtet6fc0iy0ebcg&amp;dl=0","Click to download SizeChart")</f>
      </c>
      <c r="C59" s="0" t="inlineStr">
        <is>
          <t>Emmeline Infant Bodysuit</t>
        </is>
      </c>
      <c r="D59" s="0" t="inlineStr">
        <is>
          <t>'134298</t>
        </is>
      </c>
      <c r="E59" s="0" t="inlineStr">
        <is>
          <t>ISU EMMELI I CL:134298F-12M</t>
        </is>
      </c>
      <c r="F59" s="0" t="inlineStr">
        <is>
          <t>'813134303035</t>
        </is>
      </c>
      <c r="G59" s="0" t="inlineStr">
        <is>
          <t>INFANT</t>
        </is>
      </c>
      <c r="H59" s="0" t="inlineStr">
        <is>
          <t>12M</t>
        </is>
      </c>
      <c r="I59" s="0">
        <v>24.99</v>
      </c>
      <c r="J59" s="0">
        <v>0</v>
      </c>
    </row>
    <row r="60" spans="1:10" customHeight="0">
      <c r="A60" s="0">
        <f>HYPERLINK("https://dl.dropboxusercontent.com/scl/fi/rneo40gas1o8qrtu4vmyn/emmeline-134298-t.jpg?rlkey=v0n8x6kt5978904buza418h7x&amp;dl=0","Click to download Image")</f>
      </c>
      <c r="B60" s="0">
        <f>HYPERLINK("https://dl.dropboxusercontent.com/scl/fi/ip4sixqhn2pi9xjst3stm/infant-2023standard-onesie-christer-emmeline.jpg?rlkey=3gx0yt5a12dtet6fc0iy0ebcg&amp;dl=0","Click to download SizeChart")</f>
      </c>
      <c r="C60" s="0" t="inlineStr">
        <is>
          <t>Emmeline Infant Bodysuit</t>
        </is>
      </c>
      <c r="D60" s="0" t="inlineStr">
        <is>
          <t>'134298</t>
        </is>
      </c>
      <c r="E60" s="0" t="inlineStr">
        <is>
          <t>ISU EMMELI I CL:134298Z-12PK</t>
        </is>
      </c>
      <c r="F60" s="0" t="inlineStr">
        <is>
          <t>'801134298994</t>
        </is>
      </c>
      <c r="G60" s="0" t="inlineStr">
        <is>
          <t>INFANT</t>
        </is>
      </c>
      <c r="H60" s="0" t="inlineStr">
        <is>
          <t>12 PACK</t>
        </is>
      </c>
      <c r="I60" s="0">
        <v>240</v>
      </c>
      <c r="J60" s="0">
        <v>1</v>
      </c>
    </row>
    <row r="61" spans="1:10" customHeight="0">
      <c r="A61" s="0">
        <f>HYPERLINK("https://dl.dropboxusercontent.com/scl/fi/q4nt1r356fzi3vs2pn7ll/christer-134461-tn.jpg?rlkey=2rmb64xn2mjg28cyrm8wa5ktg&amp;dl=0","Click to download Image")</f>
      </c>
      <c r="B61" s="0">
        <f>HYPERLINK("https://dl.dropboxusercontent.com/scl/fi/9f75ccpkpgk19dx02jx96/infant-2023standard-onesie-christer-emmeline.jpg?rlkey=l763fqjv59zkol2rts3xsg72j&amp;dl=0","Click to download SizeChart")</f>
      </c>
      <c r="C61" s="0" t="inlineStr">
        <is>
          <t>Christer Infant Bodysuit</t>
        </is>
      </c>
      <c r="D61" s="0" t="inlineStr">
        <is>
          <t>'134461</t>
        </is>
      </c>
      <c r="E61" s="0" t="inlineStr">
        <is>
          <t>NDSU CHRIST I GN:134461A-0-3M</t>
        </is>
      </c>
      <c r="F61" s="0" t="inlineStr">
        <is>
          <t>'813134461001</t>
        </is>
      </c>
      <c r="G61" s="0" t="inlineStr">
        <is>
          <t>INFANT</t>
        </is>
      </c>
      <c r="H61" s="0" t="inlineStr">
        <is>
          <t>0-3M</t>
        </is>
      </c>
      <c r="I61" s="0">
        <v>24.99</v>
      </c>
      <c r="J61" s="0">
        <v>0</v>
      </c>
    </row>
    <row r="62" spans="1:10" customHeight="0">
      <c r="A62" s="0">
        <f>HYPERLINK("https://dl.dropboxusercontent.com/scl/fi/q4nt1r356fzi3vs2pn7ll/christer-134461-tn.jpg?rlkey=2rmb64xn2mjg28cyrm8wa5ktg&amp;dl=0","Click to download Image")</f>
      </c>
      <c r="B62" s="0">
        <f>HYPERLINK("https://dl.dropboxusercontent.com/scl/fi/9f75ccpkpgk19dx02jx96/infant-2023standard-onesie-christer-emmeline.jpg?rlkey=l763fqjv59zkol2rts3xsg72j&amp;dl=0","Click to download SizeChart")</f>
      </c>
      <c r="C62" s="0" t="inlineStr">
        <is>
          <t>Christer Infant Bodysuit</t>
        </is>
      </c>
      <c r="D62" s="0" t="inlineStr">
        <is>
          <t>'134461</t>
        </is>
      </c>
      <c r="E62" s="0" t="inlineStr">
        <is>
          <t>NDSU CHRIST I GN:134461B-3-6M</t>
        </is>
      </c>
      <c r="F62" s="0" t="inlineStr">
        <is>
          <t>'813134461018</t>
        </is>
      </c>
      <c r="G62" s="0" t="inlineStr">
        <is>
          <t>INFANT</t>
        </is>
      </c>
      <c r="H62" s="0" t="inlineStr">
        <is>
          <t>3-6M</t>
        </is>
      </c>
      <c r="I62" s="0">
        <v>24.99</v>
      </c>
      <c r="J62" s="0">
        <v>0</v>
      </c>
    </row>
    <row r="63" spans="1:10" customHeight="0">
      <c r="A63" s="0">
        <f>HYPERLINK("https://dl.dropboxusercontent.com/scl/fi/q4nt1r356fzi3vs2pn7ll/christer-134461-tn.jpg?rlkey=2rmb64xn2mjg28cyrm8wa5ktg&amp;dl=0","Click to download Image")</f>
      </c>
      <c r="B63" s="0">
        <f>HYPERLINK("https://dl.dropboxusercontent.com/scl/fi/9f75ccpkpgk19dx02jx96/infant-2023standard-onesie-christer-emmeline.jpg?rlkey=l763fqjv59zkol2rts3xsg72j&amp;dl=0","Click to download SizeChart")</f>
      </c>
      <c r="C63" s="0" t="inlineStr">
        <is>
          <t>Christer Infant Bodysuit</t>
        </is>
      </c>
      <c r="D63" s="0" t="inlineStr">
        <is>
          <t>'134461</t>
        </is>
      </c>
      <c r="E63" s="0" t="inlineStr">
        <is>
          <t>NDSU CHRIST I GN:134461C-6-9M</t>
        </is>
      </c>
      <c r="F63" s="0" t="inlineStr">
        <is>
          <t>'813134461025</t>
        </is>
      </c>
      <c r="G63" s="0" t="inlineStr">
        <is>
          <t>INFANT</t>
        </is>
      </c>
      <c r="H63" s="0" t="inlineStr">
        <is>
          <t>6-9M</t>
        </is>
      </c>
      <c r="I63" s="0">
        <v>24.99</v>
      </c>
      <c r="J63" s="0">
        <v>1</v>
      </c>
    </row>
    <row r="64" spans="1:10" customHeight="0">
      <c r="A64" s="0">
        <f>HYPERLINK("https://dl.dropboxusercontent.com/scl/fi/q4nt1r356fzi3vs2pn7ll/christer-134461-tn.jpg?rlkey=2rmb64xn2mjg28cyrm8wa5ktg&amp;dl=0","Click to download Image")</f>
      </c>
      <c r="B64" s="0">
        <f>HYPERLINK("https://dl.dropboxusercontent.com/scl/fi/9f75ccpkpgk19dx02jx96/infant-2023standard-onesie-christer-emmeline.jpg?rlkey=l763fqjv59zkol2rts3xsg72j&amp;dl=0","Click to download SizeChart")</f>
      </c>
      <c r="C64" s="0" t="inlineStr">
        <is>
          <t>Christer Infant Bodysuit</t>
        </is>
      </c>
      <c r="D64" s="0" t="inlineStr">
        <is>
          <t>'134461</t>
        </is>
      </c>
      <c r="E64" s="0" t="inlineStr">
        <is>
          <t>NDSU CHRIST I GN:134461F-12M</t>
        </is>
      </c>
      <c r="F64" s="0" t="inlineStr">
        <is>
          <t>'813134461032</t>
        </is>
      </c>
      <c r="G64" s="0" t="inlineStr">
        <is>
          <t>INFANT</t>
        </is>
      </c>
      <c r="H64" s="0" t="inlineStr">
        <is>
          <t>12M</t>
        </is>
      </c>
      <c r="I64" s="0">
        <v>24.99</v>
      </c>
      <c r="J64" s="0">
        <v>0</v>
      </c>
    </row>
    <row r="65" spans="1:10" customHeight="0">
      <c r="A65" s="0">
        <f>HYPERLINK("https://dl.dropboxusercontent.com/scl/fi/q4nt1r356fzi3vs2pn7ll/christer-134461-tn.jpg?rlkey=2rmb64xn2mjg28cyrm8wa5ktg&amp;dl=0","Click to download Image")</f>
      </c>
      <c r="B65" s="0">
        <f>HYPERLINK("https://dl.dropboxusercontent.com/scl/fi/9f75ccpkpgk19dx02jx96/infant-2023standard-onesie-christer-emmeline.jpg?rlkey=l763fqjv59zkol2rts3xsg72j&amp;dl=0","Click to download SizeChart")</f>
      </c>
      <c r="C65" s="0" t="inlineStr">
        <is>
          <t>Christer Infant Bodysuit</t>
        </is>
      </c>
      <c r="D65" s="0" t="inlineStr">
        <is>
          <t>'134461</t>
        </is>
      </c>
      <c r="E65" s="0" t="inlineStr">
        <is>
          <t>NDSU CHRIST I GN:134461Z-12PK</t>
        </is>
      </c>
      <c r="F65" s="0" t="inlineStr">
        <is>
          <t>'813134461995</t>
        </is>
      </c>
      <c r="G65" s="0" t="inlineStr">
        <is>
          <t>INFANT</t>
        </is>
      </c>
      <c r="H65" s="0" t="inlineStr">
        <is>
          <t>12 PACK</t>
        </is>
      </c>
      <c r="I65" s="0">
        <v>240</v>
      </c>
      <c r="J65" s="0">
        <v>0</v>
      </c>
    </row>
    <row r="66" spans="1:10" customHeight="0">
      <c r="A66" s="0">
        <f>HYPERLINK("https://dl.dropboxusercontent.com/scl/fi/90906dnfv2ptc2gq8cyr0/banks136353tn20473.jpg?rlkey=gv6j2661jzaqxmmpdpzdu2eti&amp;dl=0","Click to download Image")</f>
      </c>
      <c r="C66" s="0" t="inlineStr">
        <is>
          <t>Banks Infant Romper</t>
        </is>
      </c>
      <c r="D66" s="0" t="inlineStr">
        <is>
          <t>'136353</t>
        </is>
      </c>
      <c r="E66" s="0" t="inlineStr">
        <is>
          <t>IND BANKS I GY:136353A-0-3M</t>
        </is>
      </c>
      <c r="F66" s="0" t="inlineStr">
        <is>
          <t>'806136353009</t>
        </is>
      </c>
      <c r="G66" s="0" t="inlineStr">
        <is>
          <t>INFANT</t>
        </is>
      </c>
      <c r="H66" s="0" t="inlineStr">
        <is>
          <t>0-3M</t>
        </is>
      </c>
      <c r="I66" s="0">
        <v>29.99</v>
      </c>
      <c r="J66" s="0">
        <v>0</v>
      </c>
    </row>
    <row r="67" spans="1:10" customHeight="0">
      <c r="A67" s="0">
        <f>HYPERLINK("https://dl.dropboxusercontent.com/scl/fi/90906dnfv2ptc2gq8cyr0/banks136353tn20473.jpg?rlkey=gv6j2661jzaqxmmpdpzdu2eti&amp;dl=0","Click to download Image")</f>
      </c>
      <c r="C67" s="0" t="inlineStr">
        <is>
          <t>Banks Infant Romper</t>
        </is>
      </c>
      <c r="D67" s="0" t="inlineStr">
        <is>
          <t>'136353</t>
        </is>
      </c>
      <c r="E67" s="0" t="inlineStr">
        <is>
          <t>IND BANKS I GY:136353B-3-6M</t>
        </is>
      </c>
      <c r="F67" s="0" t="inlineStr">
        <is>
          <t>'806136353016</t>
        </is>
      </c>
      <c r="G67" s="0" t="inlineStr">
        <is>
          <t>INFANT</t>
        </is>
      </c>
      <c r="H67" s="0" t="inlineStr">
        <is>
          <t>3-6M</t>
        </is>
      </c>
      <c r="I67" s="0">
        <v>29.99</v>
      </c>
      <c r="J67" s="0">
        <v>0</v>
      </c>
    </row>
    <row r="68" spans="1:10" customHeight="0">
      <c r="A68" s="0">
        <f>HYPERLINK("https://dl.dropboxusercontent.com/scl/fi/90906dnfv2ptc2gq8cyr0/banks136353tn20473.jpg?rlkey=gv6j2661jzaqxmmpdpzdu2eti&amp;dl=0","Click to download Image")</f>
      </c>
      <c r="C68" s="0" t="inlineStr">
        <is>
          <t>Banks Infant Romper</t>
        </is>
      </c>
      <c r="D68" s="0" t="inlineStr">
        <is>
          <t>'136353</t>
        </is>
      </c>
      <c r="E68" s="0" t="inlineStr">
        <is>
          <t>IND BANKS I GY:136353C-6-9M</t>
        </is>
      </c>
      <c r="F68" s="0" t="inlineStr">
        <is>
          <t>'806136353023</t>
        </is>
      </c>
      <c r="G68" s="0" t="inlineStr">
        <is>
          <t>INFANT</t>
        </is>
      </c>
      <c r="H68" s="0" t="inlineStr">
        <is>
          <t>6-9M</t>
        </is>
      </c>
      <c r="I68" s="0">
        <v>29.99</v>
      </c>
      <c r="J68" s="0">
        <v>1</v>
      </c>
    </row>
    <row r="69" spans="1:10" customHeight="0">
      <c r="A69" s="0">
        <f>HYPERLINK("https://dl.dropboxusercontent.com/scl/fi/90906dnfv2ptc2gq8cyr0/banks136353tn20473.jpg?rlkey=gv6j2661jzaqxmmpdpzdu2eti&amp;dl=0","Click to download Image")</f>
      </c>
      <c r="C69" s="0" t="inlineStr">
        <is>
          <t>Banks Infant Romper</t>
        </is>
      </c>
      <c r="D69" s="0" t="inlineStr">
        <is>
          <t>'136353</t>
        </is>
      </c>
      <c r="E69" s="0" t="inlineStr">
        <is>
          <t>IND BANKS I GY:136353F-12M</t>
        </is>
      </c>
      <c r="F69" s="0" t="inlineStr">
        <is>
          <t>'806136353030</t>
        </is>
      </c>
      <c r="G69" s="0" t="inlineStr">
        <is>
          <t>INFANT</t>
        </is>
      </c>
      <c r="H69" s="0" t="inlineStr">
        <is>
          <t>12M</t>
        </is>
      </c>
      <c r="I69" s="0">
        <v>29.99</v>
      </c>
      <c r="J69" s="0">
        <v>0</v>
      </c>
    </row>
    <row r="70" spans="1:10" customHeight="0">
      <c r="A70" s="0">
        <f>HYPERLINK("https://dl.dropboxusercontent.com/scl/fi/90906dnfv2ptc2gq8cyr0/banks136353tn20473.jpg?rlkey=gv6j2661jzaqxmmpdpzdu2eti&amp;dl=0","Click to download Image")</f>
      </c>
      <c r="C70" s="0" t="inlineStr">
        <is>
          <t>Banks Infant Romper</t>
        </is>
      </c>
      <c r="D70" s="0" t="inlineStr">
        <is>
          <t>'136353</t>
        </is>
      </c>
      <c r="E70" s="0" t="inlineStr">
        <is>
          <t>IND BANKS I GY:136353Z-12PK</t>
        </is>
      </c>
      <c r="F70" s="0" t="inlineStr">
        <is>
          <t>'806136353993</t>
        </is>
      </c>
      <c r="G70" s="0" t="inlineStr">
        <is>
          <t>INFANT</t>
        </is>
      </c>
      <c r="H70" s="0" t="inlineStr">
        <is>
          <t>12 PACK</t>
        </is>
      </c>
      <c r="I70" s="0">
        <v>288</v>
      </c>
      <c r="J70" s="0">
        <v>0</v>
      </c>
    </row>
    <row r="71" spans="1:10" customHeight="0">
      <c r="A71" s="0">
        <f>HYPERLINK("https://dl.dropboxusercontent.com/scl/fi/axbn72pt6aud4e80wzlfw/guardian-134813-tn.jpg?rlkey=2f422vkjxl3gaftnb90atyg1p&amp;dl=0","Click to download Image")</f>
      </c>
      <c r="B71" s="0">
        <f>HYPERLINK("https://dl.dropboxusercontent.com/scl/fi/in8aqjkye1buvjq8ytwsd/graphic-update2022-mens.jpg?rlkey=mf40rzg8ufi0f2ok1123i0xxf&amp;dl=0","Click to download SizeChart")</f>
      </c>
      <c r="C71" s="0" t="inlineStr">
        <is>
          <t>Guardian Mens Short Sleeve Shirt</t>
        </is>
      </c>
      <c r="D71" s="0" t="inlineStr">
        <is>
          <t>'134813</t>
        </is>
      </c>
      <c r="E71" s="0" t="inlineStr">
        <is>
          <t>DRK GUARDI M RL:134813A-S</t>
        </is>
      </c>
      <c r="F71" s="0" t="inlineStr">
        <is>
          <t>'817134813044</t>
        </is>
      </c>
      <c r="G71" s="0" t="inlineStr">
        <is>
          <t>MENS</t>
        </is>
      </c>
      <c r="H71" s="0" t="inlineStr">
        <is>
          <t>S</t>
        </is>
      </c>
      <c r="I71" s="0">
        <v>29.99</v>
      </c>
      <c r="J71" s="0">
        <v>0</v>
      </c>
    </row>
    <row r="72" spans="1:10" customHeight="0">
      <c r="A72" s="0">
        <f>HYPERLINK("https://dl.dropboxusercontent.com/scl/fi/axbn72pt6aud4e80wzlfw/guardian-134813-tn.jpg?rlkey=2f422vkjxl3gaftnb90atyg1p&amp;dl=0","Click to download Image")</f>
      </c>
      <c r="B72" s="0">
        <f>HYPERLINK("https://dl.dropboxusercontent.com/scl/fi/in8aqjkye1buvjq8ytwsd/graphic-update2022-mens.jpg?rlkey=mf40rzg8ufi0f2ok1123i0xxf&amp;dl=0","Click to download SizeChart")</f>
      </c>
      <c r="C72" s="0" t="inlineStr">
        <is>
          <t>Guardian Mens Short Sleeve Shirt</t>
        </is>
      </c>
      <c r="D72" s="0" t="inlineStr">
        <is>
          <t>'134813</t>
        </is>
      </c>
      <c r="E72" s="0" t="inlineStr">
        <is>
          <t>DRK GUARDI M RL:134813B-M</t>
        </is>
      </c>
      <c r="F72" s="0" t="inlineStr">
        <is>
          <t>'817134813051</t>
        </is>
      </c>
      <c r="G72" s="0" t="inlineStr">
        <is>
          <t>MENS</t>
        </is>
      </c>
      <c r="H72" s="0" t="inlineStr">
        <is>
          <t>M</t>
        </is>
      </c>
      <c r="I72" s="0">
        <v>29.99</v>
      </c>
      <c r="J72" s="0">
        <v>0</v>
      </c>
    </row>
    <row r="73" spans="1:10" customHeight="0">
      <c r="A73" s="0">
        <f>HYPERLINK("https://dl.dropboxusercontent.com/scl/fi/axbn72pt6aud4e80wzlfw/guardian-134813-tn.jpg?rlkey=2f422vkjxl3gaftnb90atyg1p&amp;dl=0","Click to download Image")</f>
      </c>
      <c r="B73" s="0">
        <f>HYPERLINK("https://dl.dropboxusercontent.com/scl/fi/in8aqjkye1buvjq8ytwsd/graphic-update2022-mens.jpg?rlkey=mf40rzg8ufi0f2ok1123i0xxf&amp;dl=0","Click to download SizeChart")</f>
      </c>
      <c r="C73" s="0" t="inlineStr">
        <is>
          <t>Guardian Mens Short Sleeve Shirt</t>
        </is>
      </c>
      <c r="D73" s="0" t="inlineStr">
        <is>
          <t>'134813</t>
        </is>
      </c>
      <c r="E73" s="0" t="inlineStr">
        <is>
          <t>DRK GUARDI M RL:134813C-L</t>
        </is>
      </c>
      <c r="F73" s="0" t="inlineStr">
        <is>
          <t>'817134813068</t>
        </is>
      </c>
      <c r="G73" s="0" t="inlineStr">
        <is>
          <t>MENS</t>
        </is>
      </c>
      <c r="H73" s="0" t="inlineStr">
        <is>
          <t>L</t>
        </is>
      </c>
      <c r="I73" s="0">
        <v>29.99</v>
      </c>
      <c r="J73" s="0">
        <v>0</v>
      </c>
    </row>
    <row r="74" spans="1:10" customHeight="0">
      <c r="A74" s="0">
        <f>HYPERLINK("https://dl.dropboxusercontent.com/scl/fi/axbn72pt6aud4e80wzlfw/guardian-134813-tn.jpg?rlkey=2f422vkjxl3gaftnb90atyg1p&amp;dl=0","Click to download Image")</f>
      </c>
      <c r="B74" s="0">
        <f>HYPERLINK("https://dl.dropboxusercontent.com/scl/fi/in8aqjkye1buvjq8ytwsd/graphic-update2022-mens.jpg?rlkey=mf40rzg8ufi0f2ok1123i0xxf&amp;dl=0","Click to download SizeChart")</f>
      </c>
      <c r="C74" s="0" t="inlineStr">
        <is>
          <t>Guardian Mens Short Sleeve Shirt</t>
        </is>
      </c>
      <c r="D74" s="0" t="inlineStr">
        <is>
          <t>'134813</t>
        </is>
      </c>
      <c r="E74" s="0" t="inlineStr">
        <is>
          <t>DRK GUARDI M RL:134813D-XL</t>
        </is>
      </c>
      <c r="F74" s="0" t="inlineStr">
        <is>
          <t>'817134813075</t>
        </is>
      </c>
      <c r="G74" s="0" t="inlineStr">
        <is>
          <t>MENS</t>
        </is>
      </c>
      <c r="H74" s="0" t="inlineStr">
        <is>
          <t>XL</t>
        </is>
      </c>
      <c r="I74" s="0">
        <v>29.99</v>
      </c>
      <c r="J74" s="0">
        <v>1</v>
      </c>
    </row>
    <row r="75" spans="1:10" customHeight="0">
      <c r="A75" s="0">
        <f>HYPERLINK("https://dl.dropboxusercontent.com/scl/fi/axbn72pt6aud4e80wzlfw/guardian-134813-tn.jpg?rlkey=2f422vkjxl3gaftnb90atyg1p&amp;dl=0","Click to download Image")</f>
      </c>
      <c r="B75" s="0">
        <f>HYPERLINK("https://dl.dropboxusercontent.com/scl/fi/in8aqjkye1buvjq8ytwsd/graphic-update2022-mens.jpg?rlkey=mf40rzg8ufi0f2ok1123i0xxf&amp;dl=0","Click to download SizeChart")</f>
      </c>
      <c r="C75" s="0" t="inlineStr">
        <is>
          <t>Guardian Mens Short Sleeve Shirt</t>
        </is>
      </c>
      <c r="D75" s="0" t="inlineStr">
        <is>
          <t>'134813</t>
        </is>
      </c>
      <c r="E75" s="0" t="inlineStr">
        <is>
          <t>DRK GUARDI M RL:134813E-2XL</t>
        </is>
      </c>
      <c r="F75" s="0" t="inlineStr">
        <is>
          <t>'817134813082</t>
        </is>
      </c>
      <c r="G75" s="0" t="inlineStr">
        <is>
          <t>MENS</t>
        </is>
      </c>
      <c r="H75" s="0" t="inlineStr">
        <is>
          <t>2XL</t>
        </is>
      </c>
      <c r="I75" s="0">
        <v>29.99</v>
      </c>
      <c r="J75" s="0">
        <v>2</v>
      </c>
    </row>
    <row r="76" spans="1:10" customHeight="0">
      <c r="A76" s="0">
        <f>HYPERLINK("https://dl.dropboxusercontent.com/scl/fi/axbn72pt6aud4e80wzlfw/guardian-134813-tn.jpg?rlkey=2f422vkjxl3gaftnb90atyg1p&amp;dl=0","Click to download Image")</f>
      </c>
      <c r="B76" s="0">
        <f>HYPERLINK("https://dl.dropboxusercontent.com/scl/fi/in8aqjkye1buvjq8ytwsd/graphic-update2022-mens.jpg?rlkey=mf40rzg8ufi0f2ok1123i0xxf&amp;dl=0","Click to download SizeChart")</f>
      </c>
      <c r="C76" s="0" t="inlineStr">
        <is>
          <t>Guardian Mens Short Sleeve Shirt</t>
        </is>
      </c>
      <c r="D76" s="0" t="inlineStr">
        <is>
          <t>'134813</t>
        </is>
      </c>
      <c r="E76" s="0" t="inlineStr">
        <is>
          <t>DRK GUARDI M RL:134813F-3XL</t>
        </is>
      </c>
      <c r="F76" s="0" t="inlineStr">
        <is>
          <t>'817134813099</t>
        </is>
      </c>
      <c r="G76" s="0" t="inlineStr">
        <is>
          <t>MENS</t>
        </is>
      </c>
      <c r="H76" s="0" t="inlineStr">
        <is>
          <t>3XL</t>
        </is>
      </c>
      <c r="I76" s="0">
        <v>29.99</v>
      </c>
      <c r="J76" s="0">
        <v>0</v>
      </c>
    </row>
    <row r="77" spans="1:10" customHeight="0">
      <c r="A77" s="0">
        <f>HYPERLINK("https://dl.dropboxusercontent.com/scl/fi/axbn72pt6aud4e80wzlfw/guardian-134813-tn.jpg?rlkey=2f422vkjxl3gaftnb90atyg1p&amp;dl=0","Click to download Image")</f>
      </c>
      <c r="B77" s="0">
        <f>HYPERLINK("https://dl.dropboxusercontent.com/scl/fi/in8aqjkye1buvjq8ytwsd/graphic-update2022-mens.jpg?rlkey=mf40rzg8ufi0f2ok1123i0xxf&amp;dl=0","Click to download SizeChart")</f>
      </c>
      <c r="C77" s="0" t="inlineStr">
        <is>
          <t>Guardian Mens Short Sleeve Shirt</t>
        </is>
      </c>
      <c r="D77" s="0" t="inlineStr">
        <is>
          <t>'134813</t>
        </is>
      </c>
      <c r="E77" s="0" t="inlineStr">
        <is>
          <t>DRK GUARDI M RL 12PK:134813Z-12PK</t>
        </is>
      </c>
      <c r="F77" s="0" t="inlineStr">
        <is>
          <t>'817134813990</t>
        </is>
      </c>
      <c r="G77" s="0" t="inlineStr">
        <is>
          <t>MENS</t>
        </is>
      </c>
      <c r="H77" s="0" t="inlineStr">
        <is>
          <t>12 PACK</t>
        </is>
      </c>
      <c r="I77" s="0">
        <v>294</v>
      </c>
      <c r="J77" s="0">
        <v>0</v>
      </c>
    </row>
    <row r="78" spans="1:10" customHeight="0">
      <c r="A78" s="0">
        <f>HYPERLINK("https://dl.dropboxusercontent.com/scl/fi/ynccuy7j2jt3eerjsr7qy/flag.jpg?rlkey=caawio0fng8vvj9zqxan6acbk&amp;dl=0","Click to download Image")</f>
      </c>
      <c r="C78" s="0" t="inlineStr">
        <is>
          <t>Patriotic Reusable Face Mask</t>
        </is>
      </c>
      <c r="D78" s="0" t="inlineStr">
        <is>
          <t>'117906</t>
        </is>
      </c>
      <c r="E78" s="0" t="inlineStr">
        <is>
          <t>BLACK AND GREY FLAG:117906</t>
        </is>
      </c>
      <c r="F78" s="0" t="inlineStr">
        <is>
          <t>'000000000000</t>
        </is>
      </c>
      <c r="H78" s="0" t="inlineStr">
        <is>
          <t>ADULT</t>
        </is>
      </c>
      <c r="I78" s="0">
        <v>14.99</v>
      </c>
      <c r="J78" s="0">
        <v>27</v>
      </c>
    </row>
    <row r="79" spans="1:10" customHeight="0">
      <c r="A79" s="0">
        <f>HYPERLINK("https://dl.dropboxusercontent.com/scl/fi/6bjg08vgsfw8enztk26fl/plaid.jpg?rlkey=sluzt0ijainerdtf5yyz3k7g4&amp;dl=0","Click to download Image")</f>
      </c>
      <c r="C79" s="0" t="inlineStr">
        <is>
          <t>Patriotic Reusable Face Mask</t>
        </is>
      </c>
      <c r="D79" s="0" t="inlineStr">
        <is>
          <t>'117907</t>
        </is>
      </c>
      <c r="E79" s="0" t="inlineStr">
        <is>
          <t>PLAID:117907</t>
        </is>
      </c>
      <c r="F79" s="0" t="inlineStr">
        <is>
          <t>'000000000000</t>
        </is>
      </c>
      <c r="H79" s="0" t="inlineStr">
        <is>
          <t>ADULT</t>
        </is>
      </c>
      <c r="I79" s="0">
        <v>14.99</v>
      </c>
      <c r="J79" s="0">
        <v>1787</v>
      </c>
    </row>
    <row r="80" spans="1:10" customHeight="0">
      <c r="A80" s="0">
        <f>HYPERLINK("https://dl.dropboxusercontent.com/scl/fi/1z4ick0olabnndyk97mn0/vintage.jpg?rlkey=8uzitqz2wos9i9wa2b0jdfs63&amp;dl=0","Click to download Image")</f>
      </c>
      <c r="C80" s="0" t="inlineStr">
        <is>
          <t>Patriotic Reusable Face Mask</t>
        </is>
      </c>
      <c r="D80" s="0" t="inlineStr">
        <is>
          <t>'117908</t>
        </is>
      </c>
      <c r="E80" s="0" t="inlineStr">
        <is>
          <t>VINTAGE STARS:117908</t>
        </is>
      </c>
      <c r="F80" s="0" t="inlineStr">
        <is>
          <t>'000000000000</t>
        </is>
      </c>
      <c r="H80" s="0" t="inlineStr">
        <is>
          <t>ADULT</t>
        </is>
      </c>
      <c r="I80" s="0">
        <v>14.99</v>
      </c>
      <c r="J80" s="0">
        <v>1780</v>
      </c>
    </row>
    <row r="81" spans="1:10" customHeight="0">
      <c r="A81" s="0">
        <f>HYPERLINK("https://dl.dropboxusercontent.com/scl/fi/52tz2agtw7xgacdjd9zgn/days.jpg?rlkey=fxkm5fvl40eztvvp5l1h6acf0&amp;dl=0","Click to download Image")</f>
      </c>
      <c r="C81" s="0" t="inlineStr">
        <is>
          <t>Patriotic Reusable Face Mask</t>
        </is>
      </c>
      <c r="D81" s="0" t="inlineStr">
        <is>
          <t>'117905</t>
        </is>
      </c>
      <c r="E81" s="0" t="inlineStr">
        <is>
          <t>FOURTH OF JULY DAYS:117905</t>
        </is>
      </c>
      <c r="F81" s="0" t="inlineStr">
        <is>
          <t>'000000000000</t>
        </is>
      </c>
      <c r="H81" s="0" t="inlineStr">
        <is>
          <t>ADULT</t>
        </is>
      </c>
      <c r="I81" s="0">
        <v>14.99</v>
      </c>
      <c r="J81" s="0">
        <v>1779</v>
      </c>
    </row>
    <row r="82" spans="1:10" customHeight="0">
      <c r="A82" s="0">
        <f>HYPERLINK("https://dl.dropboxusercontent.com/scl/fi/hpng4lsaqls8zjhw6q7y2/patriotic.jpg?rlkey=0o423n3nwt2uf297e6wm30jlp&amp;dl=0","Click to download Image")</f>
      </c>
      <c r="C82" s="0" t="inlineStr">
        <is>
          <t>Patriotic Reusable Face Mask</t>
        </is>
      </c>
      <c r="D82" s="0" t="inlineStr">
        <is>
          <t>'117904</t>
        </is>
      </c>
      <c r="E82" s="0" t="inlineStr">
        <is>
          <t>AMERICAN FLAG:117904</t>
        </is>
      </c>
      <c r="F82" s="0" t="inlineStr">
        <is>
          <t>'000000000000</t>
        </is>
      </c>
      <c r="H82" s="0" t="inlineStr">
        <is>
          <t>ADULT</t>
        </is>
      </c>
      <c r="I82" s="0">
        <v>14.99</v>
      </c>
      <c r="J82" s="0">
        <v>1773</v>
      </c>
    </row>
    <row r="83" spans="1:10" customHeight="0">
      <c r="A83" s="0">
        <f>HYPERLINK("https://dl.dropboxusercontent.com/scl/fi/9myjzkmgpsiiv221jq4un/star.jpg?rlkey=5lpq5dy0zjgy8bo66s1dylqqq&amp;dl=0","Click to download Image")</f>
      </c>
      <c r="C83" s="0" t="inlineStr">
        <is>
          <t>Patriotic Reusable Face Mask</t>
        </is>
      </c>
      <c r="D83" s="0" t="inlineStr">
        <is>
          <t>'117903</t>
        </is>
      </c>
      <c r="E83" s="0" t="inlineStr">
        <is>
          <t>STARS:117903</t>
        </is>
      </c>
      <c r="F83" s="0" t="inlineStr">
        <is>
          <t>'000000000000</t>
        </is>
      </c>
      <c r="H83" s="0" t="inlineStr">
        <is>
          <t>ADULT</t>
        </is>
      </c>
      <c r="I83" s="0">
        <v>14.99</v>
      </c>
      <c r="J83" s="0">
        <v>1771</v>
      </c>
    </row>
    <row r="84" spans="1:10" customHeight="0">
      <c r="A84" s="0">
        <f>HYPERLINK("https://dl.dropboxusercontent.com/scl/fi/kbappfspyj6ygd3i67em4/patriotic2..jpg?rlkey=jp3l7no3st36vuipajpon2h53&amp;dl=0","Click to download Image")</f>
      </c>
      <c r="C84" s="0" t="inlineStr">
        <is>
          <t>Patriotic Solid Reusable Masks 3pk</t>
        </is>
      </c>
      <c r="D84" s="0" t="inlineStr">
        <is>
          <t>'117998</t>
        </is>
      </c>
      <c r="E84" s="0" t="inlineStr">
        <is>
          <t>PATRIOTIC SOLD FACE MASK:117998</t>
        </is>
      </c>
      <c r="F84" s="0" t="inlineStr">
        <is>
          <t>'000000000000</t>
        </is>
      </c>
      <c r="H84" s="0" t="inlineStr">
        <is>
          <t>ADULT</t>
        </is>
      </c>
      <c r="I84" s="0">
        <v>479.99</v>
      </c>
      <c r="J84" s="0">
        <v>4320</v>
      </c>
    </row>
    <row r="85" spans="1:10" customHeight="0">
      <c r="A85" s="0">
        <f>HYPERLINK("https://dl.dropboxusercontent.com/scl/fi/wdlt6a6lnybpxxonzq8uo/ezra-130922-af.jpg?rlkey=k8k7va1ljn9y45ym9b2mp0z0o&amp;dl=0","Click to download Image")</f>
      </c>
      <c r="C85" s="0" t="inlineStr">
        <is>
          <t>Ezra Men's Cap</t>
        </is>
      </c>
      <c r="D85" s="0" t="inlineStr">
        <is>
          <t>'130922</t>
        </is>
      </c>
      <c r="E85" s="0" t="inlineStr">
        <is>
          <t>KSU EZRA A BK:130922</t>
        </is>
      </c>
      <c r="F85" s="0" t="inlineStr">
        <is>
          <t>'705130922009</t>
        </is>
      </c>
      <c r="G85" s="0" t="inlineStr">
        <is>
          <t>MENS</t>
        </is>
      </c>
      <c r="I85" s="0">
        <v>34.99</v>
      </c>
      <c r="J85" s="0">
        <v>10</v>
      </c>
    </row>
    <row r="86" spans="1:10" customHeight="0">
      <c r="A86" s="0">
        <f>HYPERLINK("https://dl.dropboxusercontent.com/scl/fi/8z2f2qrrhyyrcfziv6ezp/116451-af.jpg?rlkey=yk1yxoxt7gyk2zhhx1if86vcz&amp;dl=0","Click to download Image")</f>
      </c>
      <c r="B86" s="0">
        <f>HYPERLINK("https://dl.dropboxusercontent.com/scl/fi/y5ktpm2ojkabm7qi8cvih/mens-jackets-size-chartsrigby.jpg?rlkey=iawnvj58x1ksk92xjmxwvlfmg&amp;dl=0","Click to download SizeChart")</f>
      </c>
      <c r="C86" s="0" t="inlineStr">
        <is>
          <t>Rigby Men's Windbreaker</t>
        </is>
      </c>
      <c r="D86" s="0" t="inlineStr">
        <is>
          <t>'116451</t>
        </is>
      </c>
      <c r="E86" s="0" t="inlineStr">
        <is>
          <t>IOWA RIGBY M BLACK:116451A-S</t>
        </is>
      </c>
      <c r="F86" s="0" t="inlineStr">
        <is>
          <t>'800116451044</t>
        </is>
      </c>
      <c r="G86" s="0" t="inlineStr">
        <is>
          <t>MENS</t>
        </is>
      </c>
      <c r="H86" s="0" t="inlineStr">
        <is>
          <t>S</t>
        </is>
      </c>
      <c r="I86" s="0">
        <v>59.99</v>
      </c>
      <c r="J86" s="0">
        <v>0</v>
      </c>
    </row>
    <row r="87" spans="1:10" customHeight="0">
      <c r="A87" s="0">
        <f>HYPERLINK("https://dl.dropboxusercontent.com/scl/fi/8z2f2qrrhyyrcfziv6ezp/116451-af.jpg?rlkey=yk1yxoxt7gyk2zhhx1if86vcz&amp;dl=0","Click to download Image")</f>
      </c>
      <c r="B87" s="0">
        <f>HYPERLINK("https://dl.dropboxusercontent.com/scl/fi/y5ktpm2ojkabm7qi8cvih/mens-jackets-size-chartsrigby.jpg?rlkey=iawnvj58x1ksk92xjmxwvlfmg&amp;dl=0","Click to download SizeChart")</f>
      </c>
      <c r="C87" s="0" t="inlineStr">
        <is>
          <t>Rigby Men's Windbreaker</t>
        </is>
      </c>
      <c r="D87" s="0" t="inlineStr">
        <is>
          <t>'116451</t>
        </is>
      </c>
      <c r="E87" s="0" t="inlineStr">
        <is>
          <t>IOWA RIGBY M BLACK:116451B-M</t>
        </is>
      </c>
      <c r="F87" s="0" t="inlineStr">
        <is>
          <t>'800116451051</t>
        </is>
      </c>
      <c r="G87" s="0" t="inlineStr">
        <is>
          <t>MENS</t>
        </is>
      </c>
      <c r="H87" s="0" t="inlineStr">
        <is>
          <t>M</t>
        </is>
      </c>
      <c r="I87" s="0">
        <v>59.99</v>
      </c>
      <c r="J87" s="0">
        <v>0</v>
      </c>
    </row>
    <row r="88" spans="1:10" customHeight="0">
      <c r="A88" s="0">
        <f>HYPERLINK("https://dl.dropboxusercontent.com/scl/fi/8z2f2qrrhyyrcfziv6ezp/116451-af.jpg?rlkey=yk1yxoxt7gyk2zhhx1if86vcz&amp;dl=0","Click to download Image")</f>
      </c>
      <c r="B88" s="0">
        <f>HYPERLINK("https://dl.dropboxusercontent.com/scl/fi/y5ktpm2ojkabm7qi8cvih/mens-jackets-size-chartsrigby.jpg?rlkey=iawnvj58x1ksk92xjmxwvlfmg&amp;dl=0","Click to download SizeChart")</f>
      </c>
      <c r="C88" s="0" t="inlineStr">
        <is>
          <t>Rigby Men's Windbreaker</t>
        </is>
      </c>
      <c r="D88" s="0" t="inlineStr">
        <is>
          <t>'116451</t>
        </is>
      </c>
      <c r="E88" s="0" t="inlineStr">
        <is>
          <t>IOWA RIGBY M BLACK:116451C-L</t>
        </is>
      </c>
      <c r="F88" s="0" t="inlineStr">
        <is>
          <t>'800116451068</t>
        </is>
      </c>
      <c r="G88" s="0" t="inlineStr">
        <is>
          <t>MENS</t>
        </is>
      </c>
      <c r="H88" s="0" t="inlineStr">
        <is>
          <t>L</t>
        </is>
      </c>
      <c r="I88" s="0">
        <v>59.99</v>
      </c>
      <c r="J88" s="0">
        <v>0</v>
      </c>
    </row>
    <row r="89" spans="1:10" customHeight="0">
      <c r="A89" s="0">
        <f>HYPERLINK("https://dl.dropboxusercontent.com/scl/fi/8z2f2qrrhyyrcfziv6ezp/116451-af.jpg?rlkey=yk1yxoxt7gyk2zhhx1if86vcz&amp;dl=0","Click to download Image")</f>
      </c>
      <c r="B89" s="0">
        <f>HYPERLINK("https://dl.dropboxusercontent.com/scl/fi/y5ktpm2ojkabm7qi8cvih/mens-jackets-size-chartsrigby.jpg?rlkey=iawnvj58x1ksk92xjmxwvlfmg&amp;dl=0","Click to download SizeChart")</f>
      </c>
      <c r="C89" s="0" t="inlineStr">
        <is>
          <t>Rigby Men's Windbreaker</t>
        </is>
      </c>
      <c r="D89" s="0" t="inlineStr">
        <is>
          <t>'116451</t>
        </is>
      </c>
      <c r="E89" s="0" t="inlineStr">
        <is>
          <t>IOWA RIGBY M BLACK:116451D-XL</t>
        </is>
      </c>
      <c r="F89" s="0" t="inlineStr">
        <is>
          <t>'800116451075</t>
        </is>
      </c>
      <c r="G89" s="0" t="inlineStr">
        <is>
          <t>MENS</t>
        </is>
      </c>
      <c r="H89" s="0" t="inlineStr">
        <is>
          <t>XL</t>
        </is>
      </c>
      <c r="I89" s="0">
        <v>59.99</v>
      </c>
      <c r="J89" s="0">
        <v>0</v>
      </c>
    </row>
    <row r="90" spans="1:10" customHeight="0">
      <c r="A90" s="0">
        <f>HYPERLINK("https://dl.dropboxusercontent.com/scl/fi/8z2f2qrrhyyrcfziv6ezp/116451-af.jpg?rlkey=yk1yxoxt7gyk2zhhx1if86vcz&amp;dl=0","Click to download Image")</f>
      </c>
      <c r="B90" s="0">
        <f>HYPERLINK("https://dl.dropboxusercontent.com/scl/fi/y5ktpm2ojkabm7qi8cvih/mens-jackets-size-chartsrigby.jpg?rlkey=iawnvj58x1ksk92xjmxwvlfmg&amp;dl=0","Click to download SizeChart")</f>
      </c>
      <c r="C90" s="0" t="inlineStr">
        <is>
          <t>Rigby Men's Windbreaker</t>
        </is>
      </c>
      <c r="D90" s="0" t="inlineStr">
        <is>
          <t>'116451</t>
        </is>
      </c>
      <c r="E90" s="0" t="inlineStr">
        <is>
          <t>IOWA RIGBY M BLACK:116451E-2XL</t>
        </is>
      </c>
      <c r="F90" s="0" t="inlineStr">
        <is>
          <t>'800116451082</t>
        </is>
      </c>
      <c r="G90" s="0" t="inlineStr">
        <is>
          <t>MENS</t>
        </is>
      </c>
      <c r="H90" s="0" t="inlineStr">
        <is>
          <t>2XL</t>
        </is>
      </c>
      <c r="I90" s="0">
        <v>59.99</v>
      </c>
      <c r="J90" s="0">
        <v>1</v>
      </c>
    </row>
    <row r="91" spans="1:10" customHeight="0">
      <c r="A91" s="0">
        <f>HYPERLINK("https://dl.dropboxusercontent.com/scl/fi/8z2f2qrrhyyrcfziv6ezp/116451-af.jpg?rlkey=yk1yxoxt7gyk2zhhx1if86vcz&amp;dl=0","Click to download Image")</f>
      </c>
      <c r="B91" s="0">
        <f>HYPERLINK("https://dl.dropboxusercontent.com/scl/fi/y5ktpm2ojkabm7qi8cvih/mens-jackets-size-chartsrigby.jpg?rlkey=iawnvj58x1ksk92xjmxwvlfmg&amp;dl=0","Click to download SizeChart")</f>
      </c>
      <c r="C91" s="0" t="inlineStr">
        <is>
          <t>Rigby Men's Windbreaker</t>
        </is>
      </c>
      <c r="D91" s="0" t="inlineStr">
        <is>
          <t>'116451</t>
        </is>
      </c>
      <c r="E91" s="0" t="inlineStr">
        <is>
          <t>IOWA RIGBY M BLACK:116451F-3XL</t>
        </is>
      </c>
      <c r="F91" s="0" t="inlineStr">
        <is>
          <t>'800116451099</t>
        </is>
      </c>
      <c r="G91" s="0" t="inlineStr">
        <is>
          <t>MENS</t>
        </is>
      </c>
      <c r="H91" s="0" t="inlineStr">
        <is>
          <t>3XL</t>
        </is>
      </c>
      <c r="I91" s="0">
        <v>59.99</v>
      </c>
      <c r="J91" s="0">
        <v>4</v>
      </c>
    </row>
    <row r="92" spans="1:10" customHeight="0">
      <c r="A92" s="0">
        <f>HYPERLINK("https://dl.dropboxusercontent.com/scl/fi/8z2f2qrrhyyrcfziv6ezp/116451-af.jpg?rlkey=yk1yxoxt7gyk2zhhx1if86vcz&amp;dl=0","Click to download Image")</f>
      </c>
      <c r="B92" s="0">
        <f>HYPERLINK("https://dl.dropboxusercontent.com/scl/fi/y5ktpm2ojkabm7qi8cvih/mens-jackets-size-chartsrigby.jpg?rlkey=iawnvj58x1ksk92xjmxwvlfmg&amp;dl=0","Click to download SizeChart")</f>
      </c>
      <c r="C92" s="0" t="inlineStr">
        <is>
          <t>Rigby Men's Windbreaker</t>
        </is>
      </c>
      <c r="D92" s="0" t="inlineStr">
        <is>
          <t>'116451</t>
        </is>
      </c>
      <c r="E92" s="0" t="inlineStr">
        <is>
          <t>IOWA RIGBY M BLACK 12 PACK:116451Z-12PK</t>
        </is>
      </c>
      <c r="F92" s="0" t="inlineStr">
        <is>
          <t>'800116451990</t>
        </is>
      </c>
      <c r="G92" s="0" t="inlineStr">
        <is>
          <t>MENS</t>
        </is>
      </c>
      <c r="H92" s="0" t="inlineStr">
        <is>
          <t>12 PACK</t>
        </is>
      </c>
      <c r="I92" s="0">
        <v>582</v>
      </c>
      <c r="J92" s="0">
        <v>0</v>
      </c>
    </row>
    <row r="93" spans="1:10" customHeight="0">
      <c r="A93" s="0">
        <f>HYPERLINK("https://dl.dropboxusercontent.com/scl/fi/ytbw51e97oldhy182mfsi/129986-af.jpg?rlkey=tujljimnd66zthjrf2zo7iujy&amp;dl=0","Click to download Image")</f>
      </c>
      <c r="C93" s="0" t="inlineStr">
        <is>
          <t>Fletcher Men's Camo Microfiber Cap</t>
        </is>
      </c>
      <c r="D93" s="0" t="inlineStr">
        <is>
          <t>'129986</t>
        </is>
      </c>
      <c r="E93" s="0" t="inlineStr">
        <is>
          <t>DRK FLETCH A CO:129986</t>
        </is>
      </c>
      <c r="F93" s="0" t="inlineStr">
        <is>
          <t>'717129986008</t>
        </is>
      </c>
      <c r="G93" s="0" t="inlineStr">
        <is>
          <t>MENS</t>
        </is>
      </c>
      <c r="H93" s="0" t="inlineStr">
        <is>
          <t>STANDARD:58CM</t>
        </is>
      </c>
      <c r="I93" s="0">
        <v>29.99</v>
      </c>
      <c r="J93" s="0">
        <v>3</v>
      </c>
    </row>
    <row r="94" spans="1:10" customHeight="0">
      <c r="A94" s="0">
        <f>HYPERLINK("https://dl.dropboxusercontent.com/scl/fi/p2n9205gork6ekik5gioa/131112-af.jpg?rlkey=i57ri7bxw9wzvzdbm057ppgtp&amp;dl=0","Click to download Image")</f>
      </c>
      <c r="C94" s="0" t="inlineStr">
        <is>
          <t>Miles Youth Cap</t>
        </is>
      </c>
      <c r="D94" s="0" t="inlineStr">
        <is>
          <t>'131112</t>
        </is>
      </c>
      <c r="E94" s="0" t="inlineStr">
        <is>
          <t>NDSU MILES Y BC:131112</t>
        </is>
      </c>
      <c r="F94" s="0" t="inlineStr">
        <is>
          <t>'713131112039</t>
        </is>
      </c>
      <c r="G94" s="0" t="inlineStr">
        <is>
          <t>YOUTH</t>
        </is>
      </c>
      <c r="H94" s="0" t="inlineStr">
        <is>
          <t>STANDARD:55CM</t>
        </is>
      </c>
      <c r="I94" s="0">
        <v>29.99</v>
      </c>
      <c r="J94" s="0">
        <v>7</v>
      </c>
    </row>
    <row r="95" spans="1:10" customHeight="0">
      <c r="A95" s="0">
        <f>HYPERLINK("https://dl.dropboxusercontent.com/scl/fi/6vk28tgp5o1qhc94kj1ii/torin-130583-f.jpg?rlkey=trbob9i0fftkbn8ud5omd1jh6&amp;dl=0","Click to download Image")</f>
      </c>
      <c r="C95" s="0" t="inlineStr">
        <is>
          <t>Torin Men's Hoodie</t>
        </is>
      </c>
      <c r="D95" s="0" t="inlineStr">
        <is>
          <t>'130583</t>
        </is>
      </c>
      <c r="E95" s="0" t="inlineStr">
        <is>
          <t>IND TORIN M BK:130583A-S</t>
        </is>
      </c>
      <c r="F95" s="0" t="inlineStr">
        <is>
          <t>'806130583044</t>
        </is>
      </c>
      <c r="G95" s="0" t="inlineStr">
        <is>
          <t>MENS</t>
        </is>
      </c>
      <c r="H95" s="0" t="inlineStr">
        <is>
          <t>S</t>
        </is>
      </c>
      <c r="I95" s="0">
        <v>59.99</v>
      </c>
      <c r="J95" s="0">
        <v>0</v>
      </c>
    </row>
    <row r="96" spans="1:10" customHeight="0">
      <c r="A96" s="0">
        <f>HYPERLINK("https://dl.dropboxusercontent.com/scl/fi/6vk28tgp5o1qhc94kj1ii/torin-130583-f.jpg?rlkey=trbob9i0fftkbn8ud5omd1jh6&amp;dl=0","Click to download Image")</f>
      </c>
      <c r="C96" s="0" t="inlineStr">
        <is>
          <t>Torin Men's Hoodie</t>
        </is>
      </c>
      <c r="D96" s="0" t="inlineStr">
        <is>
          <t>'130583</t>
        </is>
      </c>
      <c r="E96" s="0" t="inlineStr">
        <is>
          <t>IND TORIN M BK:130583B-M</t>
        </is>
      </c>
      <c r="F96" s="0" t="inlineStr">
        <is>
          <t>'806130583051</t>
        </is>
      </c>
      <c r="G96" s="0" t="inlineStr">
        <is>
          <t>MENS</t>
        </is>
      </c>
      <c r="H96" s="0" t="inlineStr">
        <is>
          <t>M</t>
        </is>
      </c>
      <c r="I96" s="0">
        <v>59.99</v>
      </c>
      <c r="J96" s="0">
        <v>0</v>
      </c>
    </row>
    <row r="97" spans="1:10" customHeight="0">
      <c r="A97" s="0">
        <f>HYPERLINK("https://dl.dropboxusercontent.com/scl/fi/6vk28tgp5o1qhc94kj1ii/torin-130583-f.jpg?rlkey=trbob9i0fftkbn8ud5omd1jh6&amp;dl=0","Click to download Image")</f>
      </c>
      <c r="C97" s="0" t="inlineStr">
        <is>
          <t>Torin Men's Hoodie</t>
        </is>
      </c>
      <c r="D97" s="0" t="inlineStr">
        <is>
          <t>'130583</t>
        </is>
      </c>
      <c r="E97" s="0" t="inlineStr">
        <is>
          <t>IND TORIN M BK:130583C-L</t>
        </is>
      </c>
      <c r="F97" s="0" t="inlineStr">
        <is>
          <t>'806130583068</t>
        </is>
      </c>
      <c r="G97" s="0" t="inlineStr">
        <is>
          <t>MENS</t>
        </is>
      </c>
      <c r="H97" s="0" t="inlineStr">
        <is>
          <t>L</t>
        </is>
      </c>
      <c r="I97" s="0">
        <v>59.99</v>
      </c>
      <c r="J97" s="0">
        <v>2</v>
      </c>
    </row>
    <row r="98" spans="1:10" customHeight="0">
      <c r="A98" s="0">
        <f>HYPERLINK("https://dl.dropboxusercontent.com/scl/fi/6vk28tgp5o1qhc94kj1ii/torin-130583-f.jpg?rlkey=trbob9i0fftkbn8ud5omd1jh6&amp;dl=0","Click to download Image")</f>
      </c>
      <c r="C98" s="0" t="inlineStr">
        <is>
          <t>Torin Men's Hoodie</t>
        </is>
      </c>
      <c r="D98" s="0" t="inlineStr">
        <is>
          <t>'130583</t>
        </is>
      </c>
      <c r="E98" s="0" t="inlineStr">
        <is>
          <t>IND TORIN M BK:130583D-XL</t>
        </is>
      </c>
      <c r="F98" s="0" t="inlineStr">
        <is>
          <t>'806130583075</t>
        </is>
      </c>
      <c r="G98" s="0" t="inlineStr">
        <is>
          <t>MENS</t>
        </is>
      </c>
      <c r="H98" s="0" t="inlineStr">
        <is>
          <t>XL</t>
        </is>
      </c>
      <c r="I98" s="0">
        <v>59.99</v>
      </c>
      <c r="J98" s="0">
        <v>0</v>
      </c>
    </row>
    <row r="99" spans="1:10" customHeight="0">
      <c r="A99" s="0">
        <f>HYPERLINK("https://dl.dropboxusercontent.com/scl/fi/6vk28tgp5o1qhc94kj1ii/torin-130583-f.jpg?rlkey=trbob9i0fftkbn8ud5omd1jh6&amp;dl=0","Click to download Image")</f>
      </c>
      <c r="C99" s="0" t="inlineStr">
        <is>
          <t>Torin Men's Hoodie</t>
        </is>
      </c>
      <c r="D99" s="0" t="inlineStr">
        <is>
          <t>'130583</t>
        </is>
      </c>
      <c r="E99" s="0" t="inlineStr">
        <is>
          <t>IND TORIN M BK:130583E-2XL</t>
        </is>
      </c>
      <c r="F99" s="0" t="inlineStr">
        <is>
          <t>'806130583082</t>
        </is>
      </c>
      <c r="G99" s="0" t="inlineStr">
        <is>
          <t>MENS</t>
        </is>
      </c>
      <c r="H99" s="0" t="inlineStr">
        <is>
          <t>2XL</t>
        </is>
      </c>
      <c r="I99" s="0">
        <v>59.99</v>
      </c>
      <c r="J99" s="0">
        <v>0</v>
      </c>
    </row>
    <row r="100" spans="1:10" customHeight="0">
      <c r="A100" s="0">
        <f>HYPERLINK("https://dl.dropboxusercontent.com/scl/fi/6vk28tgp5o1qhc94kj1ii/torin-130583-f.jpg?rlkey=trbob9i0fftkbn8ud5omd1jh6&amp;dl=0","Click to download Image")</f>
      </c>
      <c r="C100" s="0" t="inlineStr">
        <is>
          <t>Torin Men's Hoodie</t>
        </is>
      </c>
      <c r="D100" s="0" t="inlineStr">
        <is>
          <t>'130583</t>
        </is>
      </c>
      <c r="E100" s="0" t="inlineStr">
        <is>
          <t>IND TORIN M BK:130583F-3XL</t>
        </is>
      </c>
      <c r="F100" s="0" t="inlineStr">
        <is>
          <t>'806130583099</t>
        </is>
      </c>
      <c r="G100" s="0" t="inlineStr">
        <is>
          <t>MENS</t>
        </is>
      </c>
      <c r="H100" s="0" t="inlineStr">
        <is>
          <t>3XL</t>
        </is>
      </c>
      <c r="I100" s="0">
        <v>59.99</v>
      </c>
      <c r="J100" s="0">
        <v>0</v>
      </c>
    </row>
    <row r="101" spans="1:10" customHeight="0">
      <c r="A101" s="0">
        <f>HYPERLINK("https://dl.dropboxusercontent.com/scl/fi/6vk28tgp5o1qhc94kj1ii/torin-130583-f.jpg?rlkey=trbob9i0fftkbn8ud5omd1jh6&amp;dl=0","Click to download Image")</f>
      </c>
      <c r="C101" s="0" t="inlineStr">
        <is>
          <t>Torin Men's Hoodie</t>
        </is>
      </c>
      <c r="D101" s="0" t="inlineStr">
        <is>
          <t>'130583</t>
        </is>
      </c>
      <c r="E101" s="0" t="inlineStr">
        <is>
          <t>IND TORIN M BK 12PK:130583Z-12PK</t>
        </is>
      </c>
      <c r="F101" s="0" t="inlineStr">
        <is>
          <t>'806130583990</t>
        </is>
      </c>
      <c r="G101" s="0" t="inlineStr">
        <is>
          <t>MENS</t>
        </is>
      </c>
      <c r="H101" s="0" t="inlineStr">
        <is>
          <t>12 PACK</t>
        </is>
      </c>
      <c r="I101" s="0">
        <v>582</v>
      </c>
      <c r="J101" s="0">
        <v>0</v>
      </c>
    </row>
    <row r="102" spans="1:10" customHeight="0">
      <c r="A102" s="0">
        <f>HYPERLINK("https://dl.dropboxusercontent.com/scl/fi/ms3wraybnefiq1ejjdfob/126920-f.jpg?rlkey=4y3z9gayyqqcyhr4lvlavjgs8&amp;dl=0","Click to download Image")</f>
      </c>
      <c r="B102" s="0">
        <f>HYPERLINK("https://dl.dropboxusercontent.com/scl/fi/qxwmdndm6aqpb1qybbkkq/womens-hoodie-and-sweatshirt-size-chartssutton.jpg?rlkey=bhpxneenpjbvumipdfag9aa3o&amp;dl=0","Click to download SizeChart")</f>
      </c>
      <c r="C102" s="0" t="inlineStr">
        <is>
          <t>Sutton Womens Pullover</t>
        </is>
      </c>
      <c r="D102" s="0" t="inlineStr">
        <is>
          <t>'126920</t>
        </is>
      </c>
      <c r="E102" s="0" t="inlineStr">
        <is>
          <t>IOWA SUTTON W ND:126920A-S</t>
        </is>
      </c>
      <c r="F102" s="0" t="inlineStr">
        <is>
          <t>'800126920042</t>
        </is>
      </c>
      <c r="G102" s="0" t="inlineStr">
        <is>
          <t>WOMENS</t>
        </is>
      </c>
      <c r="H102" s="0" t="inlineStr">
        <is>
          <t>S</t>
        </is>
      </c>
      <c r="I102" s="0">
        <v>49.99</v>
      </c>
      <c r="J102" s="0">
        <v>0</v>
      </c>
    </row>
    <row r="103" spans="1:10" customHeight="0">
      <c r="A103" s="0">
        <f>HYPERLINK("https://dl.dropboxusercontent.com/scl/fi/ms3wraybnefiq1ejjdfob/126920-f.jpg?rlkey=4y3z9gayyqqcyhr4lvlavjgs8&amp;dl=0","Click to download Image")</f>
      </c>
      <c r="B103" s="0">
        <f>HYPERLINK("https://dl.dropboxusercontent.com/scl/fi/qxwmdndm6aqpb1qybbkkq/womens-hoodie-and-sweatshirt-size-chartssutton.jpg?rlkey=bhpxneenpjbvumipdfag9aa3o&amp;dl=0","Click to download SizeChart")</f>
      </c>
      <c r="C103" s="0" t="inlineStr">
        <is>
          <t>Sutton Womens Pullover</t>
        </is>
      </c>
      <c r="D103" s="0" t="inlineStr">
        <is>
          <t>'126920</t>
        </is>
      </c>
      <c r="E103" s="0" t="inlineStr">
        <is>
          <t>IOWA SUTTON W ND:126920B-M</t>
        </is>
      </c>
      <c r="F103" s="0" t="inlineStr">
        <is>
          <t>'800126920059</t>
        </is>
      </c>
      <c r="G103" s="0" t="inlineStr">
        <is>
          <t>WOMENS</t>
        </is>
      </c>
      <c r="H103" s="0" t="inlineStr">
        <is>
          <t>M</t>
        </is>
      </c>
      <c r="I103" s="0">
        <v>49.99</v>
      </c>
      <c r="J103" s="0">
        <v>0</v>
      </c>
    </row>
    <row r="104" spans="1:10" customHeight="0">
      <c r="A104" s="0">
        <f>HYPERLINK("https://dl.dropboxusercontent.com/scl/fi/ms3wraybnefiq1ejjdfob/126920-f.jpg?rlkey=4y3z9gayyqqcyhr4lvlavjgs8&amp;dl=0","Click to download Image")</f>
      </c>
      <c r="B104" s="0">
        <f>HYPERLINK("https://dl.dropboxusercontent.com/scl/fi/qxwmdndm6aqpb1qybbkkq/womens-hoodie-and-sweatshirt-size-chartssutton.jpg?rlkey=bhpxneenpjbvumipdfag9aa3o&amp;dl=0","Click to download SizeChart")</f>
      </c>
      <c r="C104" s="0" t="inlineStr">
        <is>
          <t>Sutton Womens Pullover</t>
        </is>
      </c>
      <c r="D104" s="0" t="inlineStr">
        <is>
          <t>'126920</t>
        </is>
      </c>
      <c r="E104" s="0" t="inlineStr">
        <is>
          <t>IOWA SUTTON W ND:126920C-L</t>
        </is>
      </c>
      <c r="F104" s="0" t="inlineStr">
        <is>
          <t>'800126920066</t>
        </is>
      </c>
      <c r="G104" s="0" t="inlineStr">
        <is>
          <t>WOMENS</t>
        </is>
      </c>
      <c r="H104" s="0" t="inlineStr">
        <is>
          <t>L</t>
        </is>
      </c>
      <c r="I104" s="0">
        <v>49.99</v>
      </c>
      <c r="J104" s="0">
        <v>0</v>
      </c>
    </row>
    <row r="105" spans="1:10" customHeight="0">
      <c r="A105" s="0">
        <f>HYPERLINK("https://dl.dropboxusercontent.com/scl/fi/ms3wraybnefiq1ejjdfob/126920-f.jpg?rlkey=4y3z9gayyqqcyhr4lvlavjgs8&amp;dl=0","Click to download Image")</f>
      </c>
      <c r="B105" s="0">
        <f>HYPERLINK("https://dl.dropboxusercontent.com/scl/fi/qxwmdndm6aqpb1qybbkkq/womens-hoodie-and-sweatshirt-size-chartssutton.jpg?rlkey=bhpxneenpjbvumipdfag9aa3o&amp;dl=0","Click to download SizeChart")</f>
      </c>
      <c r="C105" s="0" t="inlineStr">
        <is>
          <t>Sutton Womens Pullover</t>
        </is>
      </c>
      <c r="D105" s="0" t="inlineStr">
        <is>
          <t>'126920</t>
        </is>
      </c>
      <c r="E105" s="0" t="inlineStr">
        <is>
          <t>IOWA SUTTON W ND:126920D-XL</t>
        </is>
      </c>
      <c r="F105" s="0" t="inlineStr">
        <is>
          <t>'800126920073</t>
        </is>
      </c>
      <c r="G105" s="0" t="inlineStr">
        <is>
          <t>WOMENS</t>
        </is>
      </c>
      <c r="H105" s="0" t="inlineStr">
        <is>
          <t>XL</t>
        </is>
      </c>
      <c r="I105" s="0">
        <v>49.99</v>
      </c>
      <c r="J105" s="0">
        <v>0</v>
      </c>
    </row>
    <row r="106" spans="1:10" customHeight="0">
      <c r="A106" s="0">
        <f>HYPERLINK("https://dl.dropboxusercontent.com/scl/fi/ms3wraybnefiq1ejjdfob/126920-f.jpg?rlkey=4y3z9gayyqqcyhr4lvlavjgs8&amp;dl=0","Click to download Image")</f>
      </c>
      <c r="B106" s="0">
        <f>HYPERLINK("https://dl.dropboxusercontent.com/scl/fi/qxwmdndm6aqpb1qybbkkq/womens-hoodie-and-sweatshirt-size-chartssutton.jpg?rlkey=bhpxneenpjbvumipdfag9aa3o&amp;dl=0","Click to download SizeChart")</f>
      </c>
      <c r="C106" s="0" t="inlineStr">
        <is>
          <t>Sutton Womens Pullover</t>
        </is>
      </c>
      <c r="D106" s="0" t="inlineStr">
        <is>
          <t>'126920</t>
        </is>
      </c>
      <c r="E106" s="0" t="inlineStr">
        <is>
          <t>IOWA SUTTON W ND:126920E-2XL</t>
        </is>
      </c>
      <c r="F106" s="0" t="inlineStr">
        <is>
          <t>'800126920080</t>
        </is>
      </c>
      <c r="G106" s="0" t="inlineStr">
        <is>
          <t>WOMENS</t>
        </is>
      </c>
      <c r="H106" s="0" t="inlineStr">
        <is>
          <t>2XL</t>
        </is>
      </c>
      <c r="I106" s="0">
        <v>51.99</v>
      </c>
      <c r="J106" s="0">
        <v>0</v>
      </c>
    </row>
    <row r="107" spans="1:10" customHeight="0">
      <c r="A107" s="0">
        <f>HYPERLINK("https://dl.dropboxusercontent.com/scl/fi/ms3wraybnefiq1ejjdfob/126920-f.jpg?rlkey=4y3z9gayyqqcyhr4lvlavjgs8&amp;dl=0","Click to download Image")</f>
      </c>
      <c r="B107" s="0">
        <f>HYPERLINK("https://dl.dropboxusercontent.com/scl/fi/qxwmdndm6aqpb1qybbkkq/womens-hoodie-and-sweatshirt-size-chartssutton.jpg?rlkey=bhpxneenpjbvumipdfag9aa3o&amp;dl=0","Click to download SizeChart")</f>
      </c>
      <c r="C107" s="0" t="inlineStr">
        <is>
          <t>Sutton Womens Pullover</t>
        </is>
      </c>
      <c r="D107" s="0" t="inlineStr">
        <is>
          <t>'126920</t>
        </is>
      </c>
      <c r="E107" s="0" t="inlineStr">
        <is>
          <t>IOWA SUTTON W ND:126920F-3XL</t>
        </is>
      </c>
      <c r="F107" s="0" t="inlineStr">
        <is>
          <t>'800126920097</t>
        </is>
      </c>
      <c r="G107" s="0" t="inlineStr">
        <is>
          <t>WOMENS</t>
        </is>
      </c>
      <c r="H107" s="0" t="inlineStr">
        <is>
          <t>3XL</t>
        </is>
      </c>
      <c r="I107" s="0">
        <v>51.99</v>
      </c>
      <c r="J107" s="0">
        <v>5</v>
      </c>
    </row>
    <row r="108" spans="1:10" customHeight="0">
      <c r="A108" s="0">
        <f>HYPERLINK("https://dl.dropboxusercontent.com/scl/fi/ms3wraybnefiq1ejjdfob/126920-f.jpg?rlkey=4y3z9gayyqqcyhr4lvlavjgs8&amp;dl=0","Click to download Image")</f>
      </c>
      <c r="B108" s="0">
        <f>HYPERLINK("https://dl.dropboxusercontent.com/scl/fi/qxwmdndm6aqpb1qybbkkq/womens-hoodie-and-sweatshirt-size-chartssutton.jpg?rlkey=bhpxneenpjbvumipdfag9aa3o&amp;dl=0","Click to download SizeChart")</f>
      </c>
      <c r="C108" s="0" t="inlineStr">
        <is>
          <t>Sutton Womens Pullover</t>
        </is>
      </c>
      <c r="D108" s="0" t="inlineStr">
        <is>
          <t>'126920</t>
        </is>
      </c>
      <c r="E108" s="0" t="inlineStr">
        <is>
          <t>IOWA SUTTON W ND 12PK:126920Z-12PK</t>
        </is>
      </c>
      <c r="F108" s="0" t="inlineStr">
        <is>
          <t>'800126920998</t>
        </is>
      </c>
      <c r="G108" s="0" t="inlineStr">
        <is>
          <t>WOMENS</t>
        </is>
      </c>
      <c r="H108" s="0" t="inlineStr">
        <is>
          <t>12 PACK</t>
        </is>
      </c>
      <c r="I108" s="0">
        <v>480</v>
      </c>
      <c r="J108" s="0">
        <v>0</v>
      </c>
    </row>
    <row r="109" spans="1:10" customHeight="0">
      <c r="A109" s="0">
        <f>HYPERLINK("https://dl.dropboxusercontent.com/scl/fi/x3o1p5eh1ldvqbgjx8w4c/129562-f.jpg?rlkey=ucfjlz54l3ubttzitry37ailw&amp;dl=0","Click to download Image")</f>
      </c>
      <c r="B109" s="0">
        <f>HYPERLINK("https://dl.dropboxusercontent.com/scl/fi/qxwmdndm6aqpb1qybbkkq/womens-hoodie-and-sweatshirt-size-chartssutton.jpg?rlkey=bhpxneenpjbvumipdfag9aa3o&amp;dl=0","Click to download SizeChart")</f>
      </c>
      <c r="C109" s="0" t="inlineStr">
        <is>
          <t>Sutton Womens Pullover</t>
        </is>
      </c>
      <c r="D109" s="0" t="inlineStr">
        <is>
          <t>'129562</t>
        </is>
      </c>
      <c r="E109" s="0" t="inlineStr">
        <is>
          <t>ISU SUTTON W ND:129562A-S</t>
        </is>
      </c>
      <c r="F109" s="0" t="inlineStr">
        <is>
          <t>'801129562048</t>
        </is>
      </c>
      <c r="G109" s="0" t="inlineStr">
        <is>
          <t>WOMENS</t>
        </is>
      </c>
      <c r="H109" s="0" t="inlineStr">
        <is>
          <t>S</t>
        </is>
      </c>
      <c r="I109" s="0">
        <v>49.99</v>
      </c>
      <c r="J109" s="0">
        <v>0</v>
      </c>
    </row>
    <row r="110" spans="1:10" customHeight="0">
      <c r="A110" s="0">
        <f>HYPERLINK("https://dl.dropboxusercontent.com/scl/fi/x3o1p5eh1ldvqbgjx8w4c/129562-f.jpg?rlkey=ucfjlz54l3ubttzitry37ailw&amp;dl=0","Click to download Image")</f>
      </c>
      <c r="B110" s="0">
        <f>HYPERLINK("https://dl.dropboxusercontent.com/scl/fi/qxwmdndm6aqpb1qybbkkq/womens-hoodie-and-sweatshirt-size-chartssutton.jpg?rlkey=bhpxneenpjbvumipdfag9aa3o&amp;dl=0","Click to download SizeChart")</f>
      </c>
      <c r="C110" s="0" t="inlineStr">
        <is>
          <t>Sutton Womens Pullover</t>
        </is>
      </c>
      <c r="D110" s="0" t="inlineStr">
        <is>
          <t>'129562</t>
        </is>
      </c>
      <c r="E110" s="0" t="inlineStr">
        <is>
          <t>ISU SUTTON W ND:129562B-M</t>
        </is>
      </c>
      <c r="F110" s="0" t="inlineStr">
        <is>
          <t>'801129562055</t>
        </is>
      </c>
      <c r="G110" s="0" t="inlineStr">
        <is>
          <t>WOMENS</t>
        </is>
      </c>
      <c r="H110" s="0" t="inlineStr">
        <is>
          <t>M</t>
        </is>
      </c>
      <c r="I110" s="0">
        <v>49.99</v>
      </c>
      <c r="J110" s="0">
        <v>0</v>
      </c>
    </row>
    <row r="111" spans="1:10" customHeight="0">
      <c r="A111" s="0">
        <f>HYPERLINK("https://dl.dropboxusercontent.com/scl/fi/x3o1p5eh1ldvqbgjx8w4c/129562-f.jpg?rlkey=ucfjlz54l3ubttzitry37ailw&amp;dl=0","Click to download Image")</f>
      </c>
      <c r="B111" s="0">
        <f>HYPERLINK("https://dl.dropboxusercontent.com/scl/fi/qxwmdndm6aqpb1qybbkkq/womens-hoodie-and-sweatshirt-size-chartssutton.jpg?rlkey=bhpxneenpjbvumipdfag9aa3o&amp;dl=0","Click to download SizeChart")</f>
      </c>
      <c r="C111" s="0" t="inlineStr">
        <is>
          <t>Sutton Womens Pullover</t>
        </is>
      </c>
      <c r="D111" s="0" t="inlineStr">
        <is>
          <t>'129562</t>
        </is>
      </c>
      <c r="E111" s="0" t="inlineStr">
        <is>
          <t>ISU SUTTON W ND:129562C-L</t>
        </is>
      </c>
      <c r="F111" s="0" t="inlineStr">
        <is>
          <t>'801129562062</t>
        </is>
      </c>
      <c r="G111" s="0" t="inlineStr">
        <is>
          <t>WOMENS</t>
        </is>
      </c>
      <c r="H111" s="0" t="inlineStr">
        <is>
          <t>L</t>
        </is>
      </c>
      <c r="I111" s="0">
        <v>49.99</v>
      </c>
      <c r="J111" s="0">
        <v>0</v>
      </c>
    </row>
    <row r="112" spans="1:10" customHeight="0">
      <c r="A112" s="0">
        <f>HYPERLINK("https://dl.dropboxusercontent.com/scl/fi/x3o1p5eh1ldvqbgjx8w4c/129562-f.jpg?rlkey=ucfjlz54l3ubttzitry37ailw&amp;dl=0","Click to download Image")</f>
      </c>
      <c r="B112" s="0">
        <f>HYPERLINK("https://dl.dropboxusercontent.com/scl/fi/qxwmdndm6aqpb1qybbkkq/womens-hoodie-and-sweatshirt-size-chartssutton.jpg?rlkey=bhpxneenpjbvumipdfag9aa3o&amp;dl=0","Click to download SizeChart")</f>
      </c>
      <c r="C112" s="0" t="inlineStr">
        <is>
          <t>Sutton Womens Pullover</t>
        </is>
      </c>
      <c r="D112" s="0" t="inlineStr">
        <is>
          <t>'129562</t>
        </is>
      </c>
      <c r="E112" s="0" t="inlineStr">
        <is>
          <t>ISU SUTTON W ND:129562D-XL</t>
        </is>
      </c>
      <c r="F112" s="0" t="inlineStr">
        <is>
          <t>'801129562079</t>
        </is>
      </c>
      <c r="G112" s="0" t="inlineStr">
        <is>
          <t>WOMENS</t>
        </is>
      </c>
      <c r="H112" s="0" t="inlineStr">
        <is>
          <t>XL</t>
        </is>
      </c>
      <c r="I112" s="0">
        <v>49.99</v>
      </c>
      <c r="J112" s="0">
        <v>0</v>
      </c>
    </row>
    <row r="113" spans="1:10" customHeight="0">
      <c r="A113" s="0">
        <f>HYPERLINK("https://dl.dropboxusercontent.com/scl/fi/x3o1p5eh1ldvqbgjx8w4c/129562-f.jpg?rlkey=ucfjlz54l3ubttzitry37ailw&amp;dl=0","Click to download Image")</f>
      </c>
      <c r="B113" s="0">
        <f>HYPERLINK("https://dl.dropboxusercontent.com/scl/fi/qxwmdndm6aqpb1qybbkkq/womens-hoodie-and-sweatshirt-size-chartssutton.jpg?rlkey=bhpxneenpjbvumipdfag9aa3o&amp;dl=0","Click to download SizeChart")</f>
      </c>
      <c r="C113" s="0" t="inlineStr">
        <is>
          <t>Sutton Womens Pullover</t>
        </is>
      </c>
      <c r="D113" s="0" t="inlineStr">
        <is>
          <t>'129562</t>
        </is>
      </c>
      <c r="E113" s="0" t="inlineStr">
        <is>
          <t>ISU SUTTON W ND:129562E-2XL</t>
        </is>
      </c>
      <c r="F113" s="0" t="inlineStr">
        <is>
          <t>'801129562086</t>
        </is>
      </c>
      <c r="G113" s="0" t="inlineStr">
        <is>
          <t>WOMENS</t>
        </is>
      </c>
      <c r="H113" s="0" t="inlineStr">
        <is>
          <t>2XL</t>
        </is>
      </c>
      <c r="I113" s="0">
        <v>51.99</v>
      </c>
      <c r="J113" s="0">
        <v>0</v>
      </c>
    </row>
    <row r="114" spans="1:10" customHeight="0">
      <c r="A114" s="0">
        <f>HYPERLINK("https://dl.dropboxusercontent.com/scl/fi/x3o1p5eh1ldvqbgjx8w4c/129562-f.jpg?rlkey=ucfjlz54l3ubttzitry37ailw&amp;dl=0","Click to download Image")</f>
      </c>
      <c r="B114" s="0">
        <f>HYPERLINK("https://dl.dropboxusercontent.com/scl/fi/qxwmdndm6aqpb1qybbkkq/womens-hoodie-and-sweatshirt-size-chartssutton.jpg?rlkey=bhpxneenpjbvumipdfag9aa3o&amp;dl=0","Click to download SizeChart")</f>
      </c>
      <c r="C114" s="0" t="inlineStr">
        <is>
          <t>Sutton Womens Pullover</t>
        </is>
      </c>
      <c r="D114" s="0" t="inlineStr">
        <is>
          <t>'129562</t>
        </is>
      </c>
      <c r="E114" s="0" t="inlineStr">
        <is>
          <t>ISU SUTTON W ND:129562F-3XL</t>
        </is>
      </c>
      <c r="F114" s="0" t="inlineStr">
        <is>
          <t>'801129562093</t>
        </is>
      </c>
      <c r="G114" s="0" t="inlineStr">
        <is>
          <t>WOMENS</t>
        </is>
      </c>
      <c r="H114" s="0" t="inlineStr">
        <is>
          <t>3XL</t>
        </is>
      </c>
      <c r="I114" s="0">
        <v>51.99</v>
      </c>
      <c r="J114" s="0">
        <v>1</v>
      </c>
    </row>
    <row r="115" spans="1:10" customHeight="0">
      <c r="A115" s="0">
        <f>HYPERLINK("https://dl.dropboxusercontent.com/scl/fi/x3o1p5eh1ldvqbgjx8w4c/129562-f.jpg?rlkey=ucfjlz54l3ubttzitry37ailw&amp;dl=0","Click to download Image")</f>
      </c>
      <c r="B115" s="0">
        <f>HYPERLINK("https://dl.dropboxusercontent.com/scl/fi/qxwmdndm6aqpb1qybbkkq/womens-hoodie-and-sweatshirt-size-chartssutton.jpg?rlkey=bhpxneenpjbvumipdfag9aa3o&amp;dl=0","Click to download SizeChart")</f>
      </c>
      <c r="C115" s="0" t="inlineStr">
        <is>
          <t>Sutton Womens Pullover</t>
        </is>
      </c>
      <c r="D115" s="0" t="inlineStr">
        <is>
          <t>'129562</t>
        </is>
      </c>
      <c r="E115" s="0" t="inlineStr">
        <is>
          <t>ISU SUTTON W ND 12PK:129562Z-12PK</t>
        </is>
      </c>
      <c r="F115" s="0" t="inlineStr">
        <is>
          <t>'801129562994</t>
        </is>
      </c>
      <c r="G115" s="0" t="inlineStr">
        <is>
          <t>WOMENS</t>
        </is>
      </c>
      <c r="H115" s="0" t="inlineStr">
        <is>
          <t>12 PACK</t>
        </is>
      </c>
      <c r="I115" s="0">
        <v>480</v>
      </c>
      <c r="J115" s="0">
        <v>0</v>
      </c>
    </row>
    <row r="116" spans="1:10" customHeight="0">
      <c r="A116" s="0">
        <f>HYPERLINK("https://dl.dropboxusercontent.com/scl/fi/cfa16fvo29w2t3stwx6c7/130731-f.jpg?rlkey=lmalnqzyss2hilu3zmv7kqkvp&amp;dl=0","Click to download Image")</f>
      </c>
      <c r="B116" s="0">
        <f>HYPERLINK("https://dl.dropboxusercontent.com/scl/fi/qxwmdndm6aqpb1qybbkkq/womens-hoodie-and-sweatshirt-size-chartssutton.jpg?rlkey=bhpxneenpjbvumipdfag9aa3o&amp;dl=0","Click to download SizeChart")</f>
      </c>
      <c r="C116" s="0" t="inlineStr">
        <is>
          <t>Sutton Womens Pullover</t>
        </is>
      </c>
      <c r="D116" s="0" t="inlineStr">
        <is>
          <t>'130731</t>
        </is>
      </c>
      <c r="E116" s="0" t="inlineStr">
        <is>
          <t>CU SUTTON W LG:130731A-S</t>
        </is>
      </c>
      <c r="F116" s="0" t="inlineStr">
        <is>
          <t>'810130731046</t>
        </is>
      </c>
      <c r="G116" s="0" t="inlineStr">
        <is>
          <t>WOMENS</t>
        </is>
      </c>
      <c r="H116" s="0" t="inlineStr">
        <is>
          <t>S</t>
        </is>
      </c>
      <c r="I116" s="0">
        <v>49.99</v>
      </c>
      <c r="J116" s="0">
        <v>0</v>
      </c>
    </row>
    <row r="117" spans="1:10" customHeight="0">
      <c r="A117" s="0">
        <f>HYPERLINK("https://dl.dropboxusercontent.com/scl/fi/cfa16fvo29w2t3stwx6c7/130731-f.jpg?rlkey=lmalnqzyss2hilu3zmv7kqkvp&amp;dl=0","Click to download Image")</f>
      </c>
      <c r="B117" s="0">
        <f>HYPERLINK("https://dl.dropboxusercontent.com/scl/fi/qxwmdndm6aqpb1qybbkkq/womens-hoodie-and-sweatshirt-size-chartssutton.jpg?rlkey=bhpxneenpjbvumipdfag9aa3o&amp;dl=0","Click to download SizeChart")</f>
      </c>
      <c r="C117" s="0" t="inlineStr">
        <is>
          <t>Sutton Womens Pullover</t>
        </is>
      </c>
      <c r="D117" s="0" t="inlineStr">
        <is>
          <t>'130731</t>
        </is>
      </c>
      <c r="E117" s="0" t="inlineStr">
        <is>
          <t>CU SUTTON W LG:130731B-M</t>
        </is>
      </c>
      <c r="F117" s="0" t="inlineStr">
        <is>
          <t>'810130731053</t>
        </is>
      </c>
      <c r="G117" s="0" t="inlineStr">
        <is>
          <t>WOMENS</t>
        </is>
      </c>
      <c r="H117" s="0" t="inlineStr">
        <is>
          <t>M</t>
        </is>
      </c>
      <c r="I117" s="0">
        <v>49.99</v>
      </c>
      <c r="J117" s="0">
        <v>1</v>
      </c>
    </row>
    <row r="118" spans="1:10" customHeight="0">
      <c r="A118" s="0">
        <f>HYPERLINK("https://dl.dropboxusercontent.com/scl/fi/cfa16fvo29w2t3stwx6c7/130731-f.jpg?rlkey=lmalnqzyss2hilu3zmv7kqkvp&amp;dl=0","Click to download Image")</f>
      </c>
      <c r="B118" s="0">
        <f>HYPERLINK("https://dl.dropboxusercontent.com/scl/fi/qxwmdndm6aqpb1qybbkkq/womens-hoodie-and-sweatshirt-size-chartssutton.jpg?rlkey=bhpxneenpjbvumipdfag9aa3o&amp;dl=0","Click to download SizeChart")</f>
      </c>
      <c r="C118" s="0" t="inlineStr">
        <is>
          <t>Sutton Womens Pullover</t>
        </is>
      </c>
      <c r="D118" s="0" t="inlineStr">
        <is>
          <t>'130731</t>
        </is>
      </c>
      <c r="E118" s="0" t="inlineStr">
        <is>
          <t>CU SUTTON W LG:130731C-L</t>
        </is>
      </c>
      <c r="F118" s="0" t="inlineStr">
        <is>
          <t>'810130731060</t>
        </is>
      </c>
      <c r="G118" s="0" t="inlineStr">
        <is>
          <t>WOMENS</t>
        </is>
      </c>
      <c r="H118" s="0" t="inlineStr">
        <is>
          <t>L</t>
        </is>
      </c>
      <c r="I118" s="0">
        <v>49.99</v>
      </c>
      <c r="J118" s="0">
        <v>0</v>
      </c>
    </row>
    <row r="119" spans="1:10" customHeight="0">
      <c r="A119" s="0">
        <f>HYPERLINK("https://dl.dropboxusercontent.com/scl/fi/cfa16fvo29w2t3stwx6c7/130731-f.jpg?rlkey=lmalnqzyss2hilu3zmv7kqkvp&amp;dl=0","Click to download Image")</f>
      </c>
      <c r="B119" s="0">
        <f>HYPERLINK("https://dl.dropboxusercontent.com/scl/fi/qxwmdndm6aqpb1qybbkkq/womens-hoodie-and-sweatshirt-size-chartssutton.jpg?rlkey=bhpxneenpjbvumipdfag9aa3o&amp;dl=0","Click to download SizeChart")</f>
      </c>
      <c r="C119" s="0" t="inlineStr">
        <is>
          <t>Sutton Womens Pullover</t>
        </is>
      </c>
      <c r="D119" s="0" t="inlineStr">
        <is>
          <t>'130731</t>
        </is>
      </c>
      <c r="E119" s="0" t="inlineStr">
        <is>
          <t>CU SUTTON W LG:130731D-XL</t>
        </is>
      </c>
      <c r="F119" s="0" t="inlineStr">
        <is>
          <t>'810130731077</t>
        </is>
      </c>
      <c r="G119" s="0" t="inlineStr">
        <is>
          <t>WOMENS</t>
        </is>
      </c>
      <c r="H119" s="0" t="inlineStr">
        <is>
          <t>XL</t>
        </is>
      </c>
      <c r="I119" s="0">
        <v>49.99</v>
      </c>
      <c r="J119" s="0">
        <v>0</v>
      </c>
    </row>
    <row r="120" spans="1:10" customHeight="0">
      <c r="A120" s="0">
        <f>HYPERLINK("https://dl.dropboxusercontent.com/scl/fi/cfa16fvo29w2t3stwx6c7/130731-f.jpg?rlkey=lmalnqzyss2hilu3zmv7kqkvp&amp;dl=0","Click to download Image")</f>
      </c>
      <c r="B120" s="0">
        <f>HYPERLINK("https://dl.dropboxusercontent.com/scl/fi/qxwmdndm6aqpb1qybbkkq/womens-hoodie-and-sweatshirt-size-chartssutton.jpg?rlkey=bhpxneenpjbvumipdfag9aa3o&amp;dl=0","Click to download SizeChart")</f>
      </c>
      <c r="C120" s="0" t="inlineStr">
        <is>
          <t>Sutton Womens Pullover</t>
        </is>
      </c>
      <c r="D120" s="0" t="inlineStr">
        <is>
          <t>'130731</t>
        </is>
      </c>
      <c r="E120" s="0" t="inlineStr">
        <is>
          <t>CU SUTTON W LG:130731E-2XL</t>
        </is>
      </c>
      <c r="F120" s="0" t="inlineStr">
        <is>
          <t>'810130731084</t>
        </is>
      </c>
      <c r="G120" s="0" t="inlineStr">
        <is>
          <t>WOMENS</t>
        </is>
      </c>
      <c r="H120" s="0" t="inlineStr">
        <is>
          <t>2XL</t>
        </is>
      </c>
      <c r="I120" s="0">
        <v>51.99</v>
      </c>
      <c r="J120" s="0">
        <v>0</v>
      </c>
    </row>
    <row r="121" spans="1:10" customHeight="0">
      <c r="A121" s="0">
        <f>HYPERLINK("https://dl.dropboxusercontent.com/scl/fi/cfa16fvo29w2t3stwx6c7/130731-f.jpg?rlkey=lmalnqzyss2hilu3zmv7kqkvp&amp;dl=0","Click to download Image")</f>
      </c>
      <c r="B121" s="0">
        <f>HYPERLINK("https://dl.dropboxusercontent.com/scl/fi/qxwmdndm6aqpb1qybbkkq/womens-hoodie-and-sweatshirt-size-chartssutton.jpg?rlkey=bhpxneenpjbvumipdfag9aa3o&amp;dl=0","Click to download SizeChart")</f>
      </c>
      <c r="C121" s="0" t="inlineStr">
        <is>
          <t>Sutton Womens Pullover</t>
        </is>
      </c>
      <c r="D121" s="0" t="inlineStr">
        <is>
          <t>'130731</t>
        </is>
      </c>
      <c r="E121" s="0" t="inlineStr">
        <is>
          <t>CU SUTTON W LG:130731F-3XL</t>
        </is>
      </c>
      <c r="F121" s="0" t="inlineStr">
        <is>
          <t>'810130731091</t>
        </is>
      </c>
      <c r="G121" s="0" t="inlineStr">
        <is>
          <t>WOMENS</t>
        </is>
      </c>
      <c r="H121" s="0" t="inlineStr">
        <is>
          <t>3XL</t>
        </is>
      </c>
      <c r="I121" s="0">
        <v>51.99</v>
      </c>
      <c r="J121" s="0">
        <v>0</v>
      </c>
    </row>
    <row r="122" spans="1:10" customHeight="0">
      <c r="A122" s="0">
        <f>HYPERLINK("https://dl.dropboxusercontent.com/scl/fi/cfa16fvo29w2t3stwx6c7/130731-f.jpg?rlkey=lmalnqzyss2hilu3zmv7kqkvp&amp;dl=0","Click to download Image")</f>
      </c>
      <c r="B122" s="0">
        <f>HYPERLINK("https://dl.dropboxusercontent.com/scl/fi/qxwmdndm6aqpb1qybbkkq/womens-hoodie-and-sweatshirt-size-chartssutton.jpg?rlkey=bhpxneenpjbvumipdfag9aa3o&amp;dl=0","Click to download SizeChart")</f>
      </c>
      <c r="C122" s="0" t="inlineStr">
        <is>
          <t>Sutton Womens Pullover</t>
        </is>
      </c>
      <c r="D122" s="0" t="inlineStr">
        <is>
          <t>'130731</t>
        </is>
      </c>
      <c r="E122" s="0" t="inlineStr">
        <is>
          <t>CU SUTTON W LG 12PK:130731Z-12PK</t>
        </is>
      </c>
      <c r="F122" s="0" t="inlineStr">
        <is>
          <t>'810130731992</t>
        </is>
      </c>
      <c r="G122" s="0" t="inlineStr">
        <is>
          <t>WOMENS</t>
        </is>
      </c>
      <c r="H122" s="0" t="inlineStr">
        <is>
          <t>12 PACK</t>
        </is>
      </c>
      <c r="I122" s="0">
        <v>480</v>
      </c>
      <c r="J122" s="0">
        <v>0</v>
      </c>
    </row>
    <row r="123" spans="1:10" customHeight="0">
      <c r="A123" s="0">
        <f>HYPERLINK("https://dl.dropboxusercontent.com/scl/fi/izmqd4n3n20npivcx7bjz/129935-f.jpg?rlkey=llcilzer7gm3dqyqck3xs9who&amp;dl=0","Click to download Image")</f>
      </c>
      <c r="B123" s="0">
        <f>HYPERLINK("https://dl.dropboxusercontent.com/scl/fi/h43ey4w4k1jp6hm4pnjp6/womens-size-chartssierra.jpg?rlkey=mxi3ztdghpk5hlf4jhk1q5qva&amp;dl=0","Click to download SizeChart")</f>
      </c>
      <c r="C123" s="0" t="inlineStr">
        <is>
          <t>Sierra Women's Quilted Canvas Jacket</t>
        </is>
      </c>
      <c r="D123" s="0" t="inlineStr">
        <is>
          <t>'129935</t>
        </is>
      </c>
      <c r="E123" s="0" t="inlineStr">
        <is>
          <t>ISU SIERRA W GY:129935A-S</t>
        </is>
      </c>
      <c r="F123" s="0" t="inlineStr">
        <is>
          <t>'801129935040</t>
        </is>
      </c>
      <c r="G123" s="0" t="inlineStr">
        <is>
          <t>WOMENS</t>
        </is>
      </c>
      <c r="H123" s="0" t="inlineStr">
        <is>
          <t>S</t>
        </is>
      </c>
      <c r="I123" s="0">
        <v>79.99</v>
      </c>
      <c r="J123" s="0">
        <v>2</v>
      </c>
    </row>
    <row r="124" spans="1:10" customHeight="0">
      <c r="A124" s="0">
        <f>HYPERLINK("https://dl.dropboxusercontent.com/scl/fi/izmqd4n3n20npivcx7bjz/129935-f.jpg?rlkey=llcilzer7gm3dqyqck3xs9who&amp;dl=0","Click to download Image")</f>
      </c>
      <c r="B124" s="0">
        <f>HYPERLINK("https://dl.dropboxusercontent.com/scl/fi/h43ey4w4k1jp6hm4pnjp6/womens-size-chartssierra.jpg?rlkey=mxi3ztdghpk5hlf4jhk1q5qva&amp;dl=0","Click to download SizeChart")</f>
      </c>
      <c r="C124" s="0" t="inlineStr">
        <is>
          <t>Sierra Women's Quilted Canvas Jacket</t>
        </is>
      </c>
      <c r="D124" s="0" t="inlineStr">
        <is>
          <t>'129935</t>
        </is>
      </c>
      <c r="E124" s="0" t="inlineStr">
        <is>
          <t>ISU SIERRA W GY:129935B-M</t>
        </is>
      </c>
      <c r="F124" s="0" t="inlineStr">
        <is>
          <t>'801129935057</t>
        </is>
      </c>
      <c r="G124" s="0" t="inlineStr">
        <is>
          <t>WOMENS</t>
        </is>
      </c>
      <c r="H124" s="0" t="inlineStr">
        <is>
          <t>M</t>
        </is>
      </c>
      <c r="I124" s="0">
        <v>79.99</v>
      </c>
      <c r="J124" s="0">
        <v>3</v>
      </c>
    </row>
    <row r="125" spans="1:10" customHeight="0">
      <c r="A125" s="0">
        <f>HYPERLINK("https://dl.dropboxusercontent.com/scl/fi/izmqd4n3n20npivcx7bjz/129935-f.jpg?rlkey=llcilzer7gm3dqyqck3xs9who&amp;dl=0","Click to download Image")</f>
      </c>
      <c r="B125" s="0">
        <f>HYPERLINK("https://dl.dropboxusercontent.com/scl/fi/h43ey4w4k1jp6hm4pnjp6/womens-size-chartssierra.jpg?rlkey=mxi3ztdghpk5hlf4jhk1q5qva&amp;dl=0","Click to download SizeChart")</f>
      </c>
      <c r="C125" s="0" t="inlineStr">
        <is>
          <t>Sierra Women's Quilted Canvas Jacket</t>
        </is>
      </c>
      <c r="D125" s="0" t="inlineStr">
        <is>
          <t>'129935</t>
        </is>
      </c>
      <c r="E125" s="0" t="inlineStr">
        <is>
          <t>ISU SIERRA W GY:129935C-L</t>
        </is>
      </c>
      <c r="F125" s="0" t="inlineStr">
        <is>
          <t>'801129935064</t>
        </is>
      </c>
      <c r="G125" s="0" t="inlineStr">
        <is>
          <t>WOMENS</t>
        </is>
      </c>
      <c r="H125" s="0" t="inlineStr">
        <is>
          <t>L</t>
        </is>
      </c>
      <c r="I125" s="0">
        <v>79.99</v>
      </c>
      <c r="J125" s="0">
        <v>3</v>
      </c>
    </row>
    <row r="126" spans="1:10" customHeight="0">
      <c r="A126" s="0">
        <f>HYPERLINK("https://dl.dropboxusercontent.com/scl/fi/izmqd4n3n20npivcx7bjz/129935-f.jpg?rlkey=llcilzer7gm3dqyqck3xs9who&amp;dl=0","Click to download Image")</f>
      </c>
      <c r="B126" s="0">
        <f>HYPERLINK("https://dl.dropboxusercontent.com/scl/fi/h43ey4w4k1jp6hm4pnjp6/womens-size-chartssierra.jpg?rlkey=mxi3ztdghpk5hlf4jhk1q5qva&amp;dl=0","Click to download SizeChart")</f>
      </c>
      <c r="C126" s="0" t="inlineStr">
        <is>
          <t>Sierra Women's Quilted Canvas Jacket</t>
        </is>
      </c>
      <c r="D126" s="0" t="inlineStr">
        <is>
          <t>'129935</t>
        </is>
      </c>
      <c r="E126" s="0" t="inlineStr">
        <is>
          <t>ISU SIERRA W GY:129935D-XL</t>
        </is>
      </c>
      <c r="F126" s="0" t="inlineStr">
        <is>
          <t>'801129935071</t>
        </is>
      </c>
      <c r="G126" s="0" t="inlineStr">
        <is>
          <t>WOMENS</t>
        </is>
      </c>
      <c r="H126" s="0" t="inlineStr">
        <is>
          <t>XL</t>
        </is>
      </c>
      <c r="I126" s="0">
        <v>79.99</v>
      </c>
      <c r="J126" s="0">
        <v>2</v>
      </c>
    </row>
    <row r="127" spans="1:10" customHeight="0">
      <c r="A127" s="0">
        <f>HYPERLINK("https://dl.dropboxusercontent.com/scl/fi/izmqd4n3n20npivcx7bjz/129935-f.jpg?rlkey=llcilzer7gm3dqyqck3xs9who&amp;dl=0","Click to download Image")</f>
      </c>
      <c r="B127" s="0">
        <f>HYPERLINK("https://dl.dropboxusercontent.com/scl/fi/h43ey4w4k1jp6hm4pnjp6/womens-size-chartssierra.jpg?rlkey=mxi3ztdghpk5hlf4jhk1q5qva&amp;dl=0","Click to download SizeChart")</f>
      </c>
      <c r="C127" s="0" t="inlineStr">
        <is>
          <t>Sierra Women's Quilted Canvas Jacket</t>
        </is>
      </c>
      <c r="D127" s="0" t="inlineStr">
        <is>
          <t>'129935</t>
        </is>
      </c>
      <c r="E127" s="0" t="inlineStr">
        <is>
          <t>ISU SIERRA W GY:129935E-2XL</t>
        </is>
      </c>
      <c r="F127" s="0" t="inlineStr">
        <is>
          <t>'801129935088</t>
        </is>
      </c>
      <c r="G127" s="0" t="inlineStr">
        <is>
          <t>WOMENS</t>
        </is>
      </c>
      <c r="H127" s="0" t="inlineStr">
        <is>
          <t>2XL</t>
        </is>
      </c>
      <c r="I127" s="0">
        <v>79.99</v>
      </c>
      <c r="J127" s="0">
        <v>0</v>
      </c>
    </row>
    <row r="128" spans="1:10" customHeight="0">
      <c r="A128" s="0">
        <f>HYPERLINK("https://dl.dropboxusercontent.com/scl/fi/izmqd4n3n20npivcx7bjz/129935-f.jpg?rlkey=llcilzer7gm3dqyqck3xs9who&amp;dl=0","Click to download Image")</f>
      </c>
      <c r="B128" s="0">
        <f>HYPERLINK("https://dl.dropboxusercontent.com/scl/fi/h43ey4w4k1jp6hm4pnjp6/womens-size-chartssierra.jpg?rlkey=mxi3ztdghpk5hlf4jhk1q5qva&amp;dl=0","Click to download SizeChart")</f>
      </c>
      <c r="C128" s="0" t="inlineStr">
        <is>
          <t>Sierra Women's Quilted Canvas Jacket</t>
        </is>
      </c>
      <c r="D128" s="0" t="inlineStr">
        <is>
          <t>'129935</t>
        </is>
      </c>
      <c r="E128" s="0" t="inlineStr">
        <is>
          <t>ISU SIERRA W GY:129935F-3XL</t>
        </is>
      </c>
      <c r="F128" s="0" t="inlineStr">
        <is>
          <t>'801129935095</t>
        </is>
      </c>
      <c r="G128" s="0" t="inlineStr">
        <is>
          <t>WOMENS</t>
        </is>
      </c>
      <c r="H128" s="0" t="inlineStr">
        <is>
          <t>3XL</t>
        </is>
      </c>
      <c r="I128" s="0">
        <v>79.99</v>
      </c>
      <c r="J128" s="0">
        <v>2</v>
      </c>
    </row>
    <row r="129" spans="1:10" customHeight="0">
      <c r="A129" s="0">
        <f>HYPERLINK("https://dl.dropboxusercontent.com/scl/fi/izmqd4n3n20npivcx7bjz/129935-f.jpg?rlkey=llcilzer7gm3dqyqck3xs9who&amp;dl=0","Click to download Image")</f>
      </c>
      <c r="B129" s="0">
        <f>HYPERLINK("https://dl.dropboxusercontent.com/scl/fi/h43ey4w4k1jp6hm4pnjp6/womens-size-chartssierra.jpg?rlkey=mxi3ztdghpk5hlf4jhk1q5qva&amp;dl=0","Click to download SizeChart")</f>
      </c>
      <c r="C129" s="0" t="inlineStr">
        <is>
          <t>Sierra Women's Quilted Canvas Jacket</t>
        </is>
      </c>
      <c r="D129" s="0" t="inlineStr">
        <is>
          <t>'129935</t>
        </is>
      </c>
      <c r="E129" s="0" t="inlineStr">
        <is>
          <t>ISU SIERRA W GY 12PK:129935Z-12PK</t>
        </is>
      </c>
      <c r="F129" s="0" t="inlineStr">
        <is>
          <t>'801129935996</t>
        </is>
      </c>
      <c r="G129" s="0" t="inlineStr">
        <is>
          <t>WOMENS</t>
        </is>
      </c>
      <c r="H129" s="0" t="inlineStr">
        <is>
          <t>12 PACK</t>
        </is>
      </c>
      <c r="I129" s="0">
        <v>79.99</v>
      </c>
      <c r="J129" s="0">
        <v>0</v>
      </c>
    </row>
    <row r="130" spans="1:10" customHeight="0">
      <c r="A130" s="0">
        <f>HYPERLINK("https://dl.dropboxusercontent.com/scl/fi/qo6yeh2k6ws0l0a0vva4n/131079-f.jpg?rlkey=2mu6eic21l3oilxnbizpji4x4&amp;dl=0","Click to download Image")</f>
      </c>
      <c r="C130" s="0" t="inlineStr">
        <is>
          <t>Vos Infant Beanie</t>
        </is>
      </c>
      <c r="D130" s="0" t="inlineStr">
        <is>
          <t>'131079</t>
        </is>
      </c>
      <c r="E130" s="0" t="inlineStr">
        <is>
          <t>KSU VOS I GY:131079</t>
        </is>
      </c>
      <c r="F130" s="0" t="inlineStr">
        <is>
          <t>'705131079016</t>
        </is>
      </c>
      <c r="G130" s="0" t="inlineStr">
        <is>
          <t>INFANT</t>
        </is>
      </c>
      <c r="I130" s="0">
        <v>24.99</v>
      </c>
      <c r="J130" s="0">
        <v>3</v>
      </c>
    </row>
    <row r="131" spans="1:10" customHeight="0">
      <c r="A131" s="0">
        <f>HYPERLINK("https://dl.dropboxusercontent.com/scl/fi/es7ek8pfh8rng83uwuqfw/128218-af.jpg?rlkey=iftjys9z4ze5b1tg0dxojw3ki&amp;dl=0","Click to download Image")</f>
      </c>
      <c r="C131" s="0" t="inlineStr">
        <is>
          <t>Edson Men's Cap</t>
        </is>
      </c>
      <c r="D131" s="0" t="inlineStr">
        <is>
          <t>'128218</t>
        </is>
      </c>
      <c r="E131" s="0" t="inlineStr">
        <is>
          <t>CU EDSON A RL:128218</t>
        </is>
      </c>
      <c r="F131" s="0" t="inlineStr">
        <is>
          <t>'710128218002</t>
        </is>
      </c>
      <c r="G131" s="0" t="inlineStr">
        <is>
          <t>MENS</t>
        </is>
      </c>
      <c r="I131" s="0">
        <v>22.99</v>
      </c>
      <c r="J131" s="0">
        <v>9</v>
      </c>
    </row>
    <row r="132" spans="1:10" customHeight="0">
      <c r="A132" s="0">
        <f>HYPERLINK("https://dl.dropboxusercontent.com/scl/fi/nywerfvrkuh31mbgrpau6/124740t.jpg?rlkey=q187ukwe9qu48bq4fu9noiu8f&amp;dl=0","Click to download Image")</f>
      </c>
      <c r="C132" s="0" t="inlineStr">
        <is>
          <t>Halton Infant Bodysuit</t>
        </is>
      </c>
      <c r="D132" s="0" t="inlineStr">
        <is>
          <t>'124740</t>
        </is>
      </c>
      <c r="E132" s="0" t="inlineStr">
        <is>
          <t>UNI HALTON I GY:124740A-0-3M</t>
        </is>
      </c>
      <c r="F132" s="0" t="inlineStr">
        <is>
          <t>'802124740004</t>
        </is>
      </c>
      <c r="G132" s="0" t="inlineStr">
        <is>
          <t>INFANT</t>
        </is>
      </c>
      <c r="H132" s="0" t="inlineStr">
        <is>
          <t>0-3M</t>
        </is>
      </c>
      <c r="I132" s="0">
        <v>29.99</v>
      </c>
      <c r="J132" s="0">
        <v>0</v>
      </c>
    </row>
    <row r="133" spans="1:10" customHeight="0">
      <c r="A133" s="0">
        <f>HYPERLINK("https://dl.dropboxusercontent.com/scl/fi/nywerfvrkuh31mbgrpau6/124740t.jpg?rlkey=q187ukwe9qu48bq4fu9noiu8f&amp;dl=0","Click to download Image")</f>
      </c>
      <c r="C133" s="0" t="inlineStr">
        <is>
          <t>Halton Infant Bodysuit</t>
        </is>
      </c>
      <c r="D133" s="0" t="inlineStr">
        <is>
          <t>'124740</t>
        </is>
      </c>
      <c r="E133" s="0" t="inlineStr">
        <is>
          <t>UNI HALTON I GY:124740B-3-6M</t>
        </is>
      </c>
      <c r="F133" s="0" t="inlineStr">
        <is>
          <t>'802124740011</t>
        </is>
      </c>
      <c r="G133" s="0" t="inlineStr">
        <is>
          <t>INFANT</t>
        </is>
      </c>
      <c r="H133" s="0" t="inlineStr">
        <is>
          <t>3-6M</t>
        </is>
      </c>
      <c r="I133" s="0">
        <v>29.99</v>
      </c>
      <c r="J133" s="0">
        <v>0</v>
      </c>
    </row>
    <row r="134" spans="1:10" customHeight="0">
      <c r="A134" s="0">
        <f>HYPERLINK("https://dl.dropboxusercontent.com/scl/fi/nywerfvrkuh31mbgrpau6/124740t.jpg?rlkey=q187ukwe9qu48bq4fu9noiu8f&amp;dl=0","Click to download Image")</f>
      </c>
      <c r="C134" s="0" t="inlineStr">
        <is>
          <t>Halton Infant Bodysuit</t>
        </is>
      </c>
      <c r="D134" s="0" t="inlineStr">
        <is>
          <t>'124740</t>
        </is>
      </c>
      <c r="E134" s="0" t="inlineStr">
        <is>
          <t>UNI HALTON I GY:124740C-6-9M</t>
        </is>
      </c>
      <c r="F134" s="0" t="inlineStr">
        <is>
          <t>'802124740028</t>
        </is>
      </c>
      <c r="G134" s="0" t="inlineStr">
        <is>
          <t>INFANT</t>
        </is>
      </c>
      <c r="H134" s="0" t="inlineStr">
        <is>
          <t>6-9M</t>
        </is>
      </c>
      <c r="I134" s="0">
        <v>29.99</v>
      </c>
      <c r="J134" s="0">
        <v>1</v>
      </c>
    </row>
    <row r="135" spans="1:10" customHeight="0">
      <c r="A135" s="0">
        <f>HYPERLINK("https://dl.dropboxusercontent.com/scl/fi/nywerfvrkuh31mbgrpau6/124740t.jpg?rlkey=q187ukwe9qu48bq4fu9noiu8f&amp;dl=0","Click to download Image")</f>
      </c>
      <c r="C135" s="0" t="inlineStr">
        <is>
          <t>Halton Infant Bodysuit</t>
        </is>
      </c>
      <c r="D135" s="0" t="inlineStr">
        <is>
          <t>'124740</t>
        </is>
      </c>
      <c r="E135" s="0" t="inlineStr">
        <is>
          <t>UNI HALTON I GY:124740F-12M</t>
        </is>
      </c>
      <c r="F135" s="0" t="inlineStr">
        <is>
          <t>'802124740035</t>
        </is>
      </c>
      <c r="G135" s="0" t="inlineStr">
        <is>
          <t>INFANT</t>
        </is>
      </c>
      <c r="H135" s="0" t="inlineStr">
        <is>
          <t>12M</t>
        </is>
      </c>
      <c r="I135" s="0">
        <v>29.99</v>
      </c>
      <c r="J135" s="0">
        <v>0</v>
      </c>
    </row>
    <row r="136" spans="1:10" customHeight="0">
      <c r="A136" s="0">
        <f>HYPERLINK("https://dl.dropboxusercontent.com/scl/fi/nywerfvrkuh31mbgrpau6/124740t.jpg?rlkey=q187ukwe9qu48bq4fu9noiu8f&amp;dl=0","Click to download Image")</f>
      </c>
      <c r="C136" s="0" t="inlineStr">
        <is>
          <t>Halton Infant Bodysuit</t>
        </is>
      </c>
      <c r="D136" s="0" t="inlineStr">
        <is>
          <t>'124740</t>
        </is>
      </c>
      <c r="E136" s="0" t="inlineStr">
        <is>
          <t>UNI HALTON I GY 12PK:124740Z-12PK</t>
        </is>
      </c>
      <c r="F136" s="0" t="inlineStr">
        <is>
          <t>'802124740998</t>
        </is>
      </c>
      <c r="G136" s="0" t="inlineStr">
        <is>
          <t>INFANT</t>
        </is>
      </c>
      <c r="H136" s="0" t="inlineStr">
        <is>
          <t>12 PACK</t>
        </is>
      </c>
      <c r="I136" s="0">
        <v>288</v>
      </c>
      <c r="J136" s="0">
        <v>0</v>
      </c>
    </row>
    <row r="137" spans="1:10" customHeight="0">
      <c r="A137" s="0">
        <f>HYPERLINK("https://dl.dropboxusercontent.com/scl/fi/hxmnndd8zvyimemc5gk5m/128234-af.jpg?rlkey=r5imz7z2clfhocluj0f0l3u5e&amp;dl=0","Click to download Image")</f>
      </c>
      <c r="C137" s="0" t="inlineStr">
        <is>
          <t>Kerry Women's Cap</t>
        </is>
      </c>
      <c r="D137" s="0" t="inlineStr">
        <is>
          <t>'128234</t>
        </is>
      </c>
      <c r="E137" s="0" t="inlineStr">
        <is>
          <t>UNO KERRY A BK:128234</t>
        </is>
      </c>
      <c r="F137" s="0" t="inlineStr">
        <is>
          <t>'709128234013</t>
        </is>
      </c>
      <c r="G137" s="0" t="inlineStr">
        <is>
          <t>WOMENS</t>
        </is>
      </c>
      <c r="H137" s="0" t="inlineStr">
        <is>
          <t>WOMEN:56CM</t>
        </is>
      </c>
      <c r="I137" s="0">
        <v>22.99</v>
      </c>
      <c r="J137" s="0">
        <v>3</v>
      </c>
    </row>
    <row r="138" spans="1:10" customHeight="0">
      <c r="A138" s="0">
        <f>HYPERLINK("https://dl.dropboxusercontent.com/scl/fi/ey8d9mq9oqmzh8f8ywud8/129734f91131.jpg?rlkey=icx121y0ius62qudqbfobbwbm&amp;dl=0","Click to download Image")</f>
      </c>
      <c r="C138" s="0" t="inlineStr">
        <is>
          <t>Audra Women's T-shirt</t>
        </is>
      </c>
      <c r="D138" s="0" t="inlineStr">
        <is>
          <t>'129793</t>
        </is>
      </c>
      <c r="E138" s="0" t="inlineStr">
        <is>
          <t>ISU AUDRA W WE:129793A-S</t>
        </is>
      </c>
      <c r="F138" s="0" t="inlineStr">
        <is>
          <t>'801129793046</t>
        </is>
      </c>
      <c r="G138" s="0" t="inlineStr">
        <is>
          <t>WOMENS</t>
        </is>
      </c>
      <c r="H138" s="0" t="inlineStr">
        <is>
          <t>S</t>
        </is>
      </c>
      <c r="I138" s="0">
        <v>34.99</v>
      </c>
      <c r="J138" s="0">
        <v>0</v>
      </c>
    </row>
    <row r="139" spans="1:10" customHeight="0">
      <c r="A139" s="0">
        <f>HYPERLINK("https://dl.dropboxusercontent.com/scl/fi/ey8d9mq9oqmzh8f8ywud8/129734f91131.jpg?rlkey=icx121y0ius62qudqbfobbwbm&amp;dl=0","Click to download Image")</f>
      </c>
      <c r="C139" s="0" t="inlineStr">
        <is>
          <t>Audra Women's T-shirt</t>
        </is>
      </c>
      <c r="D139" s="0" t="inlineStr">
        <is>
          <t>'129793</t>
        </is>
      </c>
      <c r="E139" s="0" t="inlineStr">
        <is>
          <t>ISU AUDRA W WE:129793B-M</t>
        </is>
      </c>
      <c r="F139" s="0" t="inlineStr">
        <is>
          <t>'801129793053</t>
        </is>
      </c>
      <c r="G139" s="0" t="inlineStr">
        <is>
          <t>WOMENS</t>
        </is>
      </c>
      <c r="H139" s="0" t="inlineStr">
        <is>
          <t>M</t>
        </is>
      </c>
      <c r="I139" s="0">
        <v>34.99</v>
      </c>
      <c r="J139" s="0">
        <v>0</v>
      </c>
    </row>
    <row r="140" spans="1:10" customHeight="0">
      <c r="A140" s="0">
        <f>HYPERLINK("https://dl.dropboxusercontent.com/scl/fi/ey8d9mq9oqmzh8f8ywud8/129734f91131.jpg?rlkey=icx121y0ius62qudqbfobbwbm&amp;dl=0","Click to download Image")</f>
      </c>
      <c r="C140" s="0" t="inlineStr">
        <is>
          <t>Audra Women's T-shirt</t>
        </is>
      </c>
      <c r="D140" s="0" t="inlineStr">
        <is>
          <t>'129793</t>
        </is>
      </c>
      <c r="E140" s="0" t="inlineStr">
        <is>
          <t>ISU AUDRA W WE:129793C-L</t>
        </is>
      </c>
      <c r="F140" s="0" t="inlineStr">
        <is>
          <t>'801129793060</t>
        </is>
      </c>
      <c r="G140" s="0" t="inlineStr">
        <is>
          <t>WOMENS</t>
        </is>
      </c>
      <c r="H140" s="0" t="inlineStr">
        <is>
          <t>L</t>
        </is>
      </c>
      <c r="I140" s="0">
        <v>34.99</v>
      </c>
      <c r="J140" s="0">
        <v>0</v>
      </c>
    </row>
    <row r="141" spans="1:10" customHeight="0">
      <c r="A141" s="0">
        <f>HYPERLINK("https://dl.dropboxusercontent.com/scl/fi/ey8d9mq9oqmzh8f8ywud8/129734f91131.jpg?rlkey=icx121y0ius62qudqbfobbwbm&amp;dl=0","Click to download Image")</f>
      </c>
      <c r="C141" s="0" t="inlineStr">
        <is>
          <t>Audra Women's T-shirt</t>
        </is>
      </c>
      <c r="D141" s="0" t="inlineStr">
        <is>
          <t>'129793</t>
        </is>
      </c>
      <c r="E141" s="0" t="inlineStr">
        <is>
          <t>ISU AUDRA W WE:129793D-XL</t>
        </is>
      </c>
      <c r="F141" s="0" t="inlineStr">
        <is>
          <t>'801129793077</t>
        </is>
      </c>
      <c r="G141" s="0" t="inlineStr">
        <is>
          <t>WOMENS</t>
        </is>
      </c>
      <c r="H141" s="0" t="inlineStr">
        <is>
          <t>XL</t>
        </is>
      </c>
      <c r="I141" s="0">
        <v>34.99</v>
      </c>
      <c r="J141" s="0">
        <v>0</v>
      </c>
    </row>
    <row r="142" spans="1:10" customHeight="0">
      <c r="A142" s="0">
        <f>HYPERLINK("https://dl.dropboxusercontent.com/scl/fi/ey8d9mq9oqmzh8f8ywud8/129734f91131.jpg?rlkey=icx121y0ius62qudqbfobbwbm&amp;dl=0","Click to download Image")</f>
      </c>
      <c r="C142" s="0" t="inlineStr">
        <is>
          <t>Audra Women's T-shirt</t>
        </is>
      </c>
      <c r="D142" s="0" t="inlineStr">
        <is>
          <t>'129793</t>
        </is>
      </c>
      <c r="E142" s="0" t="inlineStr">
        <is>
          <t>ISU AUDRA W WE:129793E-2XL</t>
        </is>
      </c>
      <c r="F142" s="0" t="inlineStr">
        <is>
          <t>'801129793084</t>
        </is>
      </c>
      <c r="G142" s="0" t="inlineStr">
        <is>
          <t>WOMENS</t>
        </is>
      </c>
      <c r="H142" s="0" t="inlineStr">
        <is>
          <t>2XL</t>
        </is>
      </c>
      <c r="I142" s="0">
        <v>34.99</v>
      </c>
      <c r="J142" s="0">
        <v>0</v>
      </c>
    </row>
    <row r="143" spans="1:10" customHeight="0">
      <c r="A143" s="0">
        <f>HYPERLINK("https://dl.dropboxusercontent.com/scl/fi/ey8d9mq9oqmzh8f8ywud8/129734f91131.jpg?rlkey=icx121y0ius62qudqbfobbwbm&amp;dl=0","Click to download Image")</f>
      </c>
      <c r="C143" s="0" t="inlineStr">
        <is>
          <t>Audra Women's T-shirt</t>
        </is>
      </c>
      <c r="D143" s="0" t="inlineStr">
        <is>
          <t>'129793</t>
        </is>
      </c>
      <c r="E143" s="0" t="inlineStr">
        <is>
          <t>ISU AUDRA W WE:129793F-3XL</t>
        </is>
      </c>
      <c r="F143" s="0" t="inlineStr">
        <is>
          <t>'801129793091</t>
        </is>
      </c>
      <c r="G143" s="0" t="inlineStr">
        <is>
          <t>WOMENS</t>
        </is>
      </c>
      <c r="H143" s="0" t="inlineStr">
        <is>
          <t>3XL</t>
        </is>
      </c>
      <c r="I143" s="0">
        <v>34.99</v>
      </c>
      <c r="J143" s="0">
        <v>2</v>
      </c>
    </row>
    <row r="144" spans="1:10" customHeight="0">
      <c r="A144" s="0">
        <f>HYPERLINK("https://dl.dropboxusercontent.com/scl/fi/ey8d9mq9oqmzh8f8ywud8/129734f91131.jpg?rlkey=icx121y0ius62qudqbfobbwbm&amp;dl=0","Click to download Image")</f>
      </c>
      <c r="C144" s="0" t="inlineStr">
        <is>
          <t>Audra Women's T-shirt</t>
        </is>
      </c>
      <c r="D144" s="0" t="inlineStr">
        <is>
          <t>'129793</t>
        </is>
      </c>
      <c r="E144" s="0" t="inlineStr">
        <is>
          <t>ISU AUDRA W WE 12PK:129793Z-12PK</t>
        </is>
      </c>
      <c r="F144" s="0" t="inlineStr">
        <is>
          <t>'801129793992</t>
        </is>
      </c>
      <c r="G144" s="0" t="inlineStr">
        <is>
          <t>WOMENS</t>
        </is>
      </c>
      <c r="H144" s="0" t="inlineStr">
        <is>
          <t>12 PACK</t>
        </is>
      </c>
      <c r="I144" s="0">
        <v>336</v>
      </c>
      <c r="J144" s="0">
        <v>0</v>
      </c>
    </row>
    <row r="145" spans="1:10" customHeight="0">
      <c r="A145" s="0">
        <f>HYPERLINK("https://dl.dropboxusercontent.com/scl/fi/dwjnkk1jvqkkvwzmfeenx/129796-f.jpg?rlkey=3139ruvw98wtlj65dfxc0qd43&amp;dl=0","Click to download Image")</f>
      </c>
      <c r="C145" s="0" t="inlineStr">
        <is>
          <t>Audra Women's T-shirt</t>
        </is>
      </c>
      <c r="D145" s="0" t="inlineStr">
        <is>
          <t>'129796</t>
        </is>
      </c>
      <c r="E145" s="0" t="inlineStr">
        <is>
          <t>IOWA AUDRA W WE:129796A-S</t>
        </is>
      </c>
      <c r="F145" s="0" t="inlineStr">
        <is>
          <t>'800129796040</t>
        </is>
      </c>
      <c r="G145" s="0" t="inlineStr">
        <is>
          <t>WOMENS</t>
        </is>
      </c>
      <c r="H145" s="0" t="inlineStr">
        <is>
          <t>S</t>
        </is>
      </c>
      <c r="I145" s="0">
        <v>34.99</v>
      </c>
      <c r="J145" s="0">
        <v>0</v>
      </c>
    </row>
    <row r="146" spans="1:10" customHeight="0">
      <c r="A146" s="0">
        <f>HYPERLINK("https://dl.dropboxusercontent.com/scl/fi/dwjnkk1jvqkkvwzmfeenx/129796-f.jpg?rlkey=3139ruvw98wtlj65dfxc0qd43&amp;dl=0","Click to download Image")</f>
      </c>
      <c r="C146" s="0" t="inlineStr">
        <is>
          <t>Audra Women's T-shirt</t>
        </is>
      </c>
      <c r="D146" s="0" t="inlineStr">
        <is>
          <t>'129796</t>
        </is>
      </c>
      <c r="E146" s="0" t="inlineStr">
        <is>
          <t>IOWA AUDRA W WE:129796B-M</t>
        </is>
      </c>
      <c r="F146" s="0" t="inlineStr">
        <is>
          <t>'800129796057</t>
        </is>
      </c>
      <c r="G146" s="0" t="inlineStr">
        <is>
          <t>WOMENS</t>
        </is>
      </c>
      <c r="H146" s="0" t="inlineStr">
        <is>
          <t>M</t>
        </is>
      </c>
      <c r="I146" s="0">
        <v>34.99</v>
      </c>
      <c r="J146" s="0">
        <v>0</v>
      </c>
    </row>
    <row r="147" spans="1:10" customHeight="0">
      <c r="A147" s="0">
        <f>HYPERLINK("https://dl.dropboxusercontent.com/scl/fi/dwjnkk1jvqkkvwzmfeenx/129796-f.jpg?rlkey=3139ruvw98wtlj65dfxc0qd43&amp;dl=0","Click to download Image")</f>
      </c>
      <c r="C147" s="0" t="inlineStr">
        <is>
          <t>Audra Women's T-shirt</t>
        </is>
      </c>
      <c r="D147" s="0" t="inlineStr">
        <is>
          <t>'129796</t>
        </is>
      </c>
      <c r="E147" s="0" t="inlineStr">
        <is>
          <t>IOWA AUDRA W WE:129796C-L</t>
        </is>
      </c>
      <c r="F147" s="0" t="inlineStr">
        <is>
          <t>'800129796064</t>
        </is>
      </c>
      <c r="G147" s="0" t="inlineStr">
        <is>
          <t>WOMENS</t>
        </is>
      </c>
      <c r="H147" s="0" t="inlineStr">
        <is>
          <t>L</t>
        </is>
      </c>
      <c r="I147" s="0">
        <v>34.99</v>
      </c>
      <c r="J147" s="0">
        <v>0</v>
      </c>
    </row>
    <row r="148" spans="1:10" customHeight="0">
      <c r="A148" s="0">
        <f>HYPERLINK("https://dl.dropboxusercontent.com/scl/fi/dwjnkk1jvqkkvwzmfeenx/129796-f.jpg?rlkey=3139ruvw98wtlj65dfxc0qd43&amp;dl=0","Click to download Image")</f>
      </c>
      <c r="C148" s="0" t="inlineStr">
        <is>
          <t>Audra Women's T-shirt</t>
        </is>
      </c>
      <c r="D148" s="0" t="inlineStr">
        <is>
          <t>'129796</t>
        </is>
      </c>
      <c r="E148" s="0" t="inlineStr">
        <is>
          <t>IOWA AUDRA W WE:129796D-XL</t>
        </is>
      </c>
      <c r="F148" s="0" t="inlineStr">
        <is>
          <t>'800129796071</t>
        </is>
      </c>
      <c r="G148" s="0" t="inlineStr">
        <is>
          <t>WOMENS</t>
        </is>
      </c>
      <c r="H148" s="0" t="inlineStr">
        <is>
          <t>XL</t>
        </is>
      </c>
      <c r="I148" s="0">
        <v>34.99</v>
      </c>
      <c r="J148" s="0">
        <v>0</v>
      </c>
    </row>
    <row r="149" spans="1:10" customHeight="0">
      <c r="A149" s="0">
        <f>HYPERLINK("https://dl.dropboxusercontent.com/scl/fi/dwjnkk1jvqkkvwzmfeenx/129796-f.jpg?rlkey=3139ruvw98wtlj65dfxc0qd43&amp;dl=0","Click to download Image")</f>
      </c>
      <c r="C149" s="0" t="inlineStr">
        <is>
          <t>Audra Women's T-shirt</t>
        </is>
      </c>
      <c r="D149" s="0" t="inlineStr">
        <is>
          <t>'129796</t>
        </is>
      </c>
      <c r="E149" s="0" t="inlineStr">
        <is>
          <t>IOWA AUDRA W WE:129796E-2XL</t>
        </is>
      </c>
      <c r="F149" s="0" t="inlineStr">
        <is>
          <t>'800129796088</t>
        </is>
      </c>
      <c r="G149" s="0" t="inlineStr">
        <is>
          <t>WOMENS</t>
        </is>
      </c>
      <c r="H149" s="0" t="inlineStr">
        <is>
          <t>2XL</t>
        </is>
      </c>
      <c r="I149" s="0">
        <v>34.99</v>
      </c>
      <c r="J149" s="0">
        <v>0</v>
      </c>
    </row>
    <row r="150" spans="1:10" customHeight="0">
      <c r="A150" s="0">
        <f>HYPERLINK("https://dl.dropboxusercontent.com/scl/fi/dwjnkk1jvqkkvwzmfeenx/129796-f.jpg?rlkey=3139ruvw98wtlj65dfxc0qd43&amp;dl=0","Click to download Image")</f>
      </c>
      <c r="C150" s="0" t="inlineStr">
        <is>
          <t>Audra Women's T-shirt</t>
        </is>
      </c>
      <c r="D150" s="0" t="inlineStr">
        <is>
          <t>'129796</t>
        </is>
      </c>
      <c r="E150" s="0" t="inlineStr">
        <is>
          <t>IOWA AUDRA W WE:129796F-3XL</t>
        </is>
      </c>
      <c r="F150" s="0" t="inlineStr">
        <is>
          <t>'800129796095</t>
        </is>
      </c>
      <c r="G150" s="0" t="inlineStr">
        <is>
          <t>WOMENS</t>
        </is>
      </c>
      <c r="H150" s="0" t="inlineStr">
        <is>
          <t>3XL</t>
        </is>
      </c>
      <c r="I150" s="0">
        <v>34.99</v>
      </c>
      <c r="J150" s="0">
        <v>3</v>
      </c>
    </row>
    <row r="151" spans="1:10" customHeight="0">
      <c r="A151" s="0">
        <f>HYPERLINK("https://dl.dropboxusercontent.com/scl/fi/dwjnkk1jvqkkvwzmfeenx/129796-f.jpg?rlkey=3139ruvw98wtlj65dfxc0qd43&amp;dl=0","Click to download Image")</f>
      </c>
      <c r="C151" s="0" t="inlineStr">
        <is>
          <t>Audra Women's T-shirt</t>
        </is>
      </c>
      <c r="D151" s="0" t="inlineStr">
        <is>
          <t>'129796</t>
        </is>
      </c>
      <c r="E151" s="0" t="inlineStr">
        <is>
          <t>IOWA AUDRA W WE 12PK:129796Z-12PK</t>
        </is>
      </c>
      <c r="F151" s="0" t="inlineStr">
        <is>
          <t>'800129796996</t>
        </is>
      </c>
      <c r="G151" s="0" t="inlineStr">
        <is>
          <t>WOMENS</t>
        </is>
      </c>
      <c r="H151" s="0" t="inlineStr">
        <is>
          <t>12 PACK</t>
        </is>
      </c>
      <c r="I151" s="0">
        <v>336</v>
      </c>
      <c r="J151" s="0">
        <v>0</v>
      </c>
    </row>
    <row r="152" spans="1:10" customHeight="0">
      <c r="A152" s="0">
        <f>HYPERLINK("https://dl.dropboxusercontent.com/scl/fi/xdmykd87umd6xze1dbaek/carram1.jpg?rlkey=ms4z0w8y02ytzfcgzqnj2iaus&amp;dl=0","Click to download Image")</f>
      </c>
      <c r="C152" s="0" t="inlineStr">
        <is>
          <t>Carra Women's Cap</t>
        </is>
      </c>
      <c r="D152" s="0" t="inlineStr">
        <is>
          <t>'123369</t>
        </is>
      </c>
      <c r="E152" s="0" t="inlineStr">
        <is>
          <t>PUR CARRA A BK:123369</t>
        </is>
      </c>
      <c r="F152" s="0" t="inlineStr">
        <is>
          <t>'704123369012</t>
        </is>
      </c>
      <c r="G152" s="0" t="inlineStr">
        <is>
          <t>WOMENS</t>
        </is>
      </c>
      <c r="H152" s="0" t="inlineStr">
        <is>
          <t>WOMEN:56CM</t>
        </is>
      </c>
      <c r="I152" s="0">
        <v>22.99</v>
      </c>
      <c r="J152" s="0">
        <v>10</v>
      </c>
    </row>
    <row r="153" spans="1:10" customHeight="0">
      <c r="A153" s="0">
        <f>HYPERLINK("https://dl.dropboxusercontent.com/scl/fi/xctl337dk1nyfrkqya8gw/brita-142249-f.jpg?rlkey=d97ejgr6y0a94pm5x381b1r6u&amp;dl=0","Click to download Image")</f>
      </c>
      <c r="B153" s="0">
        <f>HYPERLINK("https://dl.dropboxusercontent.com/scl/fi/ii2olgam6srzgncqpanrw/womens-hoodie-and-sweatshirt-size-charts-brita.jpg?rlkey=7ua623tbp9zv57lst5nlmmmb8&amp;dl=0","Click to download SizeChart")</f>
      </c>
      <c r="C153" s="0" t="inlineStr">
        <is>
          <t>Brita Womens Cardigan</t>
        </is>
      </c>
      <c r="D153" s="0" t="inlineStr">
        <is>
          <t>'142249</t>
        </is>
      </c>
      <c r="E153" s="0" t="inlineStr">
        <is>
          <t>ISU BRITA W ND:142249A-S</t>
        </is>
      </c>
      <c r="F153" s="0" t="inlineStr">
        <is>
          <t>'801142249049</t>
        </is>
      </c>
      <c r="G153" s="0" t="inlineStr">
        <is>
          <t>WOMENS</t>
        </is>
      </c>
      <c r="H153" s="0" t="inlineStr">
        <is>
          <t>S</t>
        </is>
      </c>
      <c r="I153" s="0">
        <v>54.99</v>
      </c>
      <c r="J153" s="0">
        <v>2</v>
      </c>
    </row>
    <row r="154" spans="1:10" customHeight="0">
      <c r="A154" s="0">
        <f>HYPERLINK("https://dl.dropboxusercontent.com/scl/fi/xctl337dk1nyfrkqya8gw/brita-142249-f.jpg?rlkey=d97ejgr6y0a94pm5x381b1r6u&amp;dl=0","Click to download Image")</f>
      </c>
      <c r="B154" s="0">
        <f>HYPERLINK("https://dl.dropboxusercontent.com/scl/fi/ii2olgam6srzgncqpanrw/womens-hoodie-and-sweatshirt-size-charts-brita.jpg?rlkey=7ua623tbp9zv57lst5nlmmmb8&amp;dl=0","Click to download SizeChart")</f>
      </c>
      <c r="C154" s="0" t="inlineStr">
        <is>
          <t>Brita Womens Cardigan</t>
        </is>
      </c>
      <c r="D154" s="0" t="inlineStr">
        <is>
          <t>'142249</t>
        </is>
      </c>
      <c r="E154" s="0" t="inlineStr">
        <is>
          <t>ISU BRITA W ND:142249B-M</t>
        </is>
      </c>
      <c r="F154" s="0" t="inlineStr">
        <is>
          <t>'801142249056</t>
        </is>
      </c>
      <c r="G154" s="0" t="inlineStr">
        <is>
          <t>WOMENS</t>
        </is>
      </c>
      <c r="H154" s="0" t="inlineStr">
        <is>
          <t>M</t>
        </is>
      </c>
      <c r="I154" s="0">
        <v>54.99</v>
      </c>
      <c r="J154" s="0">
        <v>3</v>
      </c>
    </row>
    <row r="155" spans="1:10" customHeight="0">
      <c r="A155" s="0">
        <f>HYPERLINK("https://dl.dropboxusercontent.com/scl/fi/xctl337dk1nyfrkqya8gw/brita-142249-f.jpg?rlkey=d97ejgr6y0a94pm5x381b1r6u&amp;dl=0","Click to download Image")</f>
      </c>
      <c r="B155" s="0">
        <f>HYPERLINK("https://dl.dropboxusercontent.com/scl/fi/ii2olgam6srzgncqpanrw/womens-hoodie-and-sweatshirt-size-charts-brita.jpg?rlkey=7ua623tbp9zv57lst5nlmmmb8&amp;dl=0","Click to download SizeChart")</f>
      </c>
      <c r="C155" s="0" t="inlineStr">
        <is>
          <t>Brita Womens Cardigan</t>
        </is>
      </c>
      <c r="D155" s="0" t="inlineStr">
        <is>
          <t>'142249</t>
        </is>
      </c>
      <c r="E155" s="0" t="inlineStr">
        <is>
          <t>ISU BRITA W ND:142249C-L</t>
        </is>
      </c>
      <c r="F155" s="0" t="inlineStr">
        <is>
          <t>'801142249063</t>
        </is>
      </c>
      <c r="G155" s="0" t="inlineStr">
        <is>
          <t>WOMENS</t>
        </is>
      </c>
      <c r="H155" s="0" t="inlineStr">
        <is>
          <t>L</t>
        </is>
      </c>
      <c r="I155" s="0">
        <v>54.99</v>
      </c>
      <c r="J155" s="0">
        <v>3</v>
      </c>
    </row>
    <row r="156" spans="1:10" customHeight="0">
      <c r="A156" s="0">
        <f>HYPERLINK("https://dl.dropboxusercontent.com/scl/fi/xctl337dk1nyfrkqya8gw/brita-142249-f.jpg?rlkey=d97ejgr6y0a94pm5x381b1r6u&amp;dl=0","Click to download Image")</f>
      </c>
      <c r="B156" s="0">
        <f>HYPERLINK("https://dl.dropboxusercontent.com/scl/fi/ii2olgam6srzgncqpanrw/womens-hoodie-and-sweatshirt-size-charts-brita.jpg?rlkey=7ua623tbp9zv57lst5nlmmmb8&amp;dl=0","Click to download SizeChart")</f>
      </c>
      <c r="C156" s="0" t="inlineStr">
        <is>
          <t>Brita Womens Cardigan</t>
        </is>
      </c>
      <c r="D156" s="0" t="inlineStr">
        <is>
          <t>'142249</t>
        </is>
      </c>
      <c r="E156" s="0" t="inlineStr">
        <is>
          <t>ISU BRITA W ND:142249D-XL</t>
        </is>
      </c>
      <c r="F156" s="0" t="inlineStr">
        <is>
          <t>'801142249070</t>
        </is>
      </c>
      <c r="G156" s="0" t="inlineStr">
        <is>
          <t>WOMENS</t>
        </is>
      </c>
      <c r="H156" s="0" t="inlineStr">
        <is>
          <t>XL</t>
        </is>
      </c>
      <c r="I156" s="0">
        <v>528</v>
      </c>
      <c r="J156" s="0">
        <v>1</v>
      </c>
    </row>
    <row r="157" spans="1:10" customHeight="0">
      <c r="A157" s="0">
        <f>HYPERLINK("https://dl.dropboxusercontent.com/scl/fi/junawpjkpb87xvlh6ub4j/128233-af.jpg?rlkey=5x48g95a2hhaya1r9a3o3ynmb&amp;dl=0","Click to download Image")</f>
      </c>
      <c r="C157" s="0" t="inlineStr">
        <is>
          <t>Harve Men's Cap</t>
        </is>
      </c>
      <c r="D157" s="0" t="inlineStr">
        <is>
          <t>'128233</t>
        </is>
      </c>
      <c r="E157" s="0" t="inlineStr">
        <is>
          <t>UNO HARVE A BK:128233</t>
        </is>
      </c>
      <c r="F157" s="0" t="inlineStr">
        <is>
          <t>'709128233009</t>
        </is>
      </c>
      <c r="G157" s="0" t="inlineStr">
        <is>
          <t>MENS</t>
        </is>
      </c>
      <c r="H157" s="0" t="inlineStr">
        <is>
          <t>STANDARD MENS</t>
        </is>
      </c>
      <c r="I157" s="0">
        <v>22.99</v>
      </c>
      <c r="J157" s="0">
        <v>1</v>
      </c>
    </row>
    <row r="158" spans="1:10" customHeight="0">
      <c r="A158" s="0">
        <f>HYPERLINK("https://dl.dropboxusercontent.com/scl/fi/ekhxlk9ccxk3nbdbv6m0u/calla-129550-f.jpg?rlkey=o0b1axaksf9ft0e5luw4j2jdb&amp;dl=0","Click to download Image")</f>
      </c>
      <c r="B158" s="0">
        <f>HYPERLINK("https://dl.dropboxusercontent.com/scl/fi/nh02ppqpgbdmolzkiib1k/womens-t-shirt-size-chartscalla.jpg?rlkey=5vhvmravhur5sucy6vk8ybj33&amp;dl=0","Click to download SizeChart")</f>
      </c>
      <c r="C158" s="0" t="inlineStr">
        <is>
          <t>Calla Women's Long Sleeve T-Shirt</t>
        </is>
      </c>
      <c r="D158" s="0" t="inlineStr">
        <is>
          <t>'129550</t>
        </is>
      </c>
      <c r="E158" s="0" t="inlineStr">
        <is>
          <t>IOWA CALLA W BK:129550A-S</t>
        </is>
      </c>
      <c r="F158" s="0" t="inlineStr">
        <is>
          <t>'800129550048</t>
        </is>
      </c>
      <c r="G158" s="0" t="inlineStr">
        <is>
          <t>WOMENS</t>
        </is>
      </c>
      <c r="H158" s="0" t="inlineStr">
        <is>
          <t>S</t>
        </is>
      </c>
      <c r="I158" s="0">
        <v>34.99</v>
      </c>
      <c r="J158" s="0">
        <v>2</v>
      </c>
    </row>
    <row r="159" spans="1:10" customHeight="0">
      <c r="A159" s="0">
        <f>HYPERLINK("https://dl.dropboxusercontent.com/scl/fi/ekhxlk9ccxk3nbdbv6m0u/calla-129550-f.jpg?rlkey=o0b1axaksf9ft0e5luw4j2jdb&amp;dl=0","Click to download Image")</f>
      </c>
      <c r="B159" s="0">
        <f>HYPERLINK("https://dl.dropboxusercontent.com/scl/fi/nh02ppqpgbdmolzkiib1k/womens-t-shirt-size-chartscalla.jpg?rlkey=5vhvmravhur5sucy6vk8ybj33&amp;dl=0","Click to download SizeChart")</f>
      </c>
      <c r="C159" s="0" t="inlineStr">
        <is>
          <t>Calla Women's Long Sleeve T-Shirt</t>
        </is>
      </c>
      <c r="D159" s="0" t="inlineStr">
        <is>
          <t>'129550</t>
        </is>
      </c>
      <c r="E159" s="0" t="inlineStr">
        <is>
          <t>IOWA CALLA W BK:129550B-M</t>
        </is>
      </c>
      <c r="F159" s="0" t="inlineStr">
        <is>
          <t>'800129550055</t>
        </is>
      </c>
      <c r="G159" s="0" t="inlineStr">
        <is>
          <t>WOMENS</t>
        </is>
      </c>
      <c r="H159" s="0" t="inlineStr">
        <is>
          <t>M</t>
        </is>
      </c>
      <c r="I159" s="0">
        <v>34.99</v>
      </c>
      <c r="J159" s="0">
        <v>0</v>
      </c>
    </row>
    <row r="160" spans="1:10" customHeight="0">
      <c r="A160" s="0">
        <f>HYPERLINK("https://dl.dropboxusercontent.com/scl/fi/ekhxlk9ccxk3nbdbv6m0u/calla-129550-f.jpg?rlkey=o0b1axaksf9ft0e5luw4j2jdb&amp;dl=0","Click to download Image")</f>
      </c>
      <c r="B160" s="0">
        <f>HYPERLINK("https://dl.dropboxusercontent.com/scl/fi/nh02ppqpgbdmolzkiib1k/womens-t-shirt-size-chartscalla.jpg?rlkey=5vhvmravhur5sucy6vk8ybj33&amp;dl=0","Click to download SizeChart")</f>
      </c>
      <c r="C160" s="0" t="inlineStr">
        <is>
          <t>Calla Women's Long Sleeve T-Shirt</t>
        </is>
      </c>
      <c r="D160" s="0" t="inlineStr">
        <is>
          <t>'129550</t>
        </is>
      </c>
      <c r="E160" s="0" t="inlineStr">
        <is>
          <t>IOWA CALLA W BK:129550C-L</t>
        </is>
      </c>
      <c r="F160" s="0" t="inlineStr">
        <is>
          <t>'800129550062</t>
        </is>
      </c>
      <c r="G160" s="0" t="inlineStr">
        <is>
          <t>WOMENS</t>
        </is>
      </c>
      <c r="H160" s="0" t="inlineStr">
        <is>
          <t>L</t>
        </is>
      </c>
      <c r="I160" s="0">
        <v>34.99</v>
      </c>
      <c r="J160" s="0">
        <v>0</v>
      </c>
    </row>
    <row r="161" spans="1:10" customHeight="0">
      <c r="A161" s="0">
        <f>HYPERLINK("https://dl.dropboxusercontent.com/scl/fi/ekhxlk9ccxk3nbdbv6m0u/calla-129550-f.jpg?rlkey=o0b1axaksf9ft0e5luw4j2jdb&amp;dl=0","Click to download Image")</f>
      </c>
      <c r="B161" s="0">
        <f>HYPERLINK("https://dl.dropboxusercontent.com/scl/fi/nh02ppqpgbdmolzkiib1k/womens-t-shirt-size-chartscalla.jpg?rlkey=5vhvmravhur5sucy6vk8ybj33&amp;dl=0","Click to download SizeChart")</f>
      </c>
      <c r="C161" s="0" t="inlineStr">
        <is>
          <t>Calla Women's Long Sleeve T-Shirt</t>
        </is>
      </c>
      <c r="D161" s="0" t="inlineStr">
        <is>
          <t>'129550</t>
        </is>
      </c>
      <c r="E161" s="0" t="inlineStr">
        <is>
          <t>IOWA CALLA W BK:129550D-XL</t>
        </is>
      </c>
      <c r="F161" s="0" t="inlineStr">
        <is>
          <t>'800129550079</t>
        </is>
      </c>
      <c r="G161" s="0" t="inlineStr">
        <is>
          <t>WOMENS</t>
        </is>
      </c>
      <c r="H161" s="0" t="inlineStr">
        <is>
          <t>XL</t>
        </is>
      </c>
      <c r="I161" s="0">
        <v>34.99</v>
      </c>
      <c r="J161" s="0">
        <v>0</v>
      </c>
    </row>
    <row r="162" spans="1:10" customHeight="0">
      <c r="A162" s="0">
        <f>HYPERLINK("https://dl.dropboxusercontent.com/scl/fi/ekhxlk9ccxk3nbdbv6m0u/calla-129550-f.jpg?rlkey=o0b1axaksf9ft0e5luw4j2jdb&amp;dl=0","Click to download Image")</f>
      </c>
      <c r="B162" s="0">
        <f>HYPERLINK("https://dl.dropboxusercontent.com/scl/fi/nh02ppqpgbdmolzkiib1k/womens-t-shirt-size-chartscalla.jpg?rlkey=5vhvmravhur5sucy6vk8ybj33&amp;dl=0","Click to download SizeChart")</f>
      </c>
      <c r="C162" s="0" t="inlineStr">
        <is>
          <t>Calla Women's Long Sleeve T-Shirt</t>
        </is>
      </c>
      <c r="D162" s="0" t="inlineStr">
        <is>
          <t>'129550</t>
        </is>
      </c>
      <c r="E162" s="0" t="inlineStr">
        <is>
          <t>IOWA CALLA W BK:129550E-2XL</t>
        </is>
      </c>
      <c r="F162" s="0" t="inlineStr">
        <is>
          <t>'800129550086</t>
        </is>
      </c>
      <c r="G162" s="0" t="inlineStr">
        <is>
          <t>WOMENS</t>
        </is>
      </c>
      <c r="H162" s="0" t="inlineStr">
        <is>
          <t>2XL</t>
        </is>
      </c>
      <c r="I162" s="0">
        <v>34.99</v>
      </c>
      <c r="J162" s="0">
        <v>0</v>
      </c>
    </row>
    <row r="163" spans="1:10" customHeight="0">
      <c r="A163" s="0">
        <f>HYPERLINK("https://dl.dropboxusercontent.com/scl/fi/ekhxlk9ccxk3nbdbv6m0u/calla-129550-f.jpg?rlkey=o0b1axaksf9ft0e5luw4j2jdb&amp;dl=0","Click to download Image")</f>
      </c>
      <c r="B163" s="0">
        <f>HYPERLINK("https://dl.dropboxusercontent.com/scl/fi/nh02ppqpgbdmolzkiib1k/womens-t-shirt-size-chartscalla.jpg?rlkey=5vhvmravhur5sucy6vk8ybj33&amp;dl=0","Click to download SizeChart")</f>
      </c>
      <c r="C163" s="0" t="inlineStr">
        <is>
          <t>Calla Women's Long Sleeve T-Shirt</t>
        </is>
      </c>
      <c r="D163" s="0" t="inlineStr">
        <is>
          <t>'129550</t>
        </is>
      </c>
      <c r="E163" s="0" t="inlineStr">
        <is>
          <t>IOWA CALLA W BK:129550F-3XL</t>
        </is>
      </c>
      <c r="F163" s="0" t="inlineStr">
        <is>
          <t>'800129550093</t>
        </is>
      </c>
      <c r="G163" s="0" t="inlineStr">
        <is>
          <t>WOMENS</t>
        </is>
      </c>
      <c r="H163" s="0" t="inlineStr">
        <is>
          <t>3XL</t>
        </is>
      </c>
      <c r="I163" s="0">
        <v>34.99</v>
      </c>
      <c r="J163" s="0">
        <v>0</v>
      </c>
    </row>
    <row r="164" spans="1:10" customHeight="0">
      <c r="A164" s="0">
        <f>HYPERLINK("https://dl.dropboxusercontent.com/scl/fi/ekhxlk9ccxk3nbdbv6m0u/calla-129550-f.jpg?rlkey=o0b1axaksf9ft0e5luw4j2jdb&amp;dl=0","Click to download Image")</f>
      </c>
      <c r="B164" s="0">
        <f>HYPERLINK("https://dl.dropboxusercontent.com/scl/fi/nh02ppqpgbdmolzkiib1k/womens-t-shirt-size-chartscalla.jpg?rlkey=5vhvmravhur5sucy6vk8ybj33&amp;dl=0","Click to download SizeChart")</f>
      </c>
      <c r="C164" s="0" t="inlineStr">
        <is>
          <t>Calla Women's Long Sleeve T-Shirt</t>
        </is>
      </c>
      <c r="D164" s="0" t="inlineStr">
        <is>
          <t>'129550</t>
        </is>
      </c>
      <c r="E164" s="0" t="inlineStr">
        <is>
          <t>IOWA CALLA W BK 12PK:129550Z-12PK</t>
        </is>
      </c>
      <c r="F164" s="0" t="inlineStr">
        <is>
          <t>'800129550994</t>
        </is>
      </c>
      <c r="G164" s="0" t="inlineStr">
        <is>
          <t>WOMENS</t>
        </is>
      </c>
      <c r="H164" s="0" t="inlineStr">
        <is>
          <t>12 PACK</t>
        </is>
      </c>
      <c r="I164" s="0">
        <v>336</v>
      </c>
      <c r="J164" s="0">
        <v>0</v>
      </c>
    </row>
    <row r="165" spans="1:10" customHeight="0">
      <c r="A165" s="0">
        <f>HYPERLINK("https://dl.dropboxusercontent.com/scl/fi/b9so4nnec8j4hktsoidj4/calla-137398-f.jpg?rlkey=t5b20gte18bc19q6y6mlvg5ae&amp;dl=0","Click to download Image")</f>
      </c>
      <c r="B165" s="0">
        <f>HYPERLINK("https://dl.dropboxusercontent.com/scl/fi/nh02ppqpgbdmolzkiib1k/womens-t-shirt-size-chartscalla.jpg?rlkey=5vhvmravhur5sucy6vk8ybj33&amp;dl=0","Click to download SizeChart")</f>
      </c>
      <c r="C165" s="0" t="inlineStr">
        <is>
          <t>Calla Women's Long Sleeve T-Shirt</t>
        </is>
      </c>
      <c r="D165" s="0" t="inlineStr">
        <is>
          <t>'130650</t>
        </is>
      </c>
      <c r="E165" s="0" t="inlineStr">
        <is>
          <t>NDSU CALLA W GN:130650A-S</t>
        </is>
      </c>
      <c r="F165" s="0" t="inlineStr">
        <is>
          <t>'813130650041</t>
        </is>
      </c>
      <c r="G165" s="0" t="inlineStr">
        <is>
          <t>WOMENS</t>
        </is>
      </c>
      <c r="H165" s="0" t="inlineStr">
        <is>
          <t>S</t>
        </is>
      </c>
      <c r="I165" s="0">
        <v>34.99</v>
      </c>
      <c r="J165" s="0">
        <v>1</v>
      </c>
    </row>
    <row r="166" spans="1:10" customHeight="0">
      <c r="A166" s="0">
        <f>HYPERLINK("https://dl.dropboxusercontent.com/scl/fi/b9so4nnec8j4hktsoidj4/calla-137398-f.jpg?rlkey=t5b20gte18bc19q6y6mlvg5ae&amp;dl=0","Click to download Image")</f>
      </c>
      <c r="B166" s="0">
        <f>HYPERLINK("https://dl.dropboxusercontent.com/scl/fi/nh02ppqpgbdmolzkiib1k/womens-t-shirt-size-chartscalla.jpg?rlkey=5vhvmravhur5sucy6vk8ybj33&amp;dl=0","Click to download SizeChart")</f>
      </c>
      <c r="C166" s="0" t="inlineStr">
        <is>
          <t>Calla Women's Long Sleeve T-Shirt</t>
        </is>
      </c>
      <c r="D166" s="0" t="inlineStr">
        <is>
          <t>'130650</t>
        </is>
      </c>
      <c r="E166" s="0" t="inlineStr">
        <is>
          <t>NDSU CALLA W GN:130650B-M</t>
        </is>
      </c>
      <c r="F166" s="0" t="inlineStr">
        <is>
          <t>'813130650058</t>
        </is>
      </c>
      <c r="G166" s="0" t="inlineStr">
        <is>
          <t>WOMENS</t>
        </is>
      </c>
      <c r="H166" s="0" t="inlineStr">
        <is>
          <t>M</t>
        </is>
      </c>
      <c r="I166" s="0">
        <v>34.99</v>
      </c>
      <c r="J166" s="0">
        <v>0</v>
      </c>
    </row>
    <row r="167" spans="1:10" customHeight="0">
      <c r="A167" s="0">
        <f>HYPERLINK("https://dl.dropboxusercontent.com/scl/fi/b9so4nnec8j4hktsoidj4/calla-137398-f.jpg?rlkey=t5b20gte18bc19q6y6mlvg5ae&amp;dl=0","Click to download Image")</f>
      </c>
      <c r="B167" s="0">
        <f>HYPERLINK("https://dl.dropboxusercontent.com/scl/fi/nh02ppqpgbdmolzkiib1k/womens-t-shirt-size-chartscalla.jpg?rlkey=5vhvmravhur5sucy6vk8ybj33&amp;dl=0","Click to download SizeChart")</f>
      </c>
      <c r="C167" s="0" t="inlineStr">
        <is>
          <t>Calla Women's Long Sleeve T-Shirt</t>
        </is>
      </c>
      <c r="D167" s="0" t="inlineStr">
        <is>
          <t>'130650</t>
        </is>
      </c>
      <c r="E167" s="0" t="inlineStr">
        <is>
          <t>NDSU CALLA W GN:130650C-L</t>
        </is>
      </c>
      <c r="F167" s="0" t="inlineStr">
        <is>
          <t>'813130650065</t>
        </is>
      </c>
      <c r="G167" s="0" t="inlineStr">
        <is>
          <t>WOMENS</t>
        </is>
      </c>
      <c r="H167" s="0" t="inlineStr">
        <is>
          <t>L</t>
        </is>
      </c>
      <c r="I167" s="0">
        <v>34.99</v>
      </c>
      <c r="J167" s="0">
        <v>4</v>
      </c>
    </row>
    <row r="168" spans="1:10" customHeight="0">
      <c r="A168" s="0">
        <f>HYPERLINK("https://dl.dropboxusercontent.com/scl/fi/b9so4nnec8j4hktsoidj4/calla-137398-f.jpg?rlkey=t5b20gte18bc19q6y6mlvg5ae&amp;dl=0","Click to download Image")</f>
      </c>
      <c r="B168" s="0">
        <f>HYPERLINK("https://dl.dropboxusercontent.com/scl/fi/nh02ppqpgbdmolzkiib1k/womens-t-shirt-size-chartscalla.jpg?rlkey=5vhvmravhur5sucy6vk8ybj33&amp;dl=0","Click to download SizeChart")</f>
      </c>
      <c r="C168" s="0" t="inlineStr">
        <is>
          <t>Calla Women's Long Sleeve T-Shirt</t>
        </is>
      </c>
      <c r="D168" s="0" t="inlineStr">
        <is>
          <t>'130650</t>
        </is>
      </c>
      <c r="E168" s="0" t="inlineStr">
        <is>
          <t>NDSU CALLA W GN:130650D-XL</t>
        </is>
      </c>
      <c r="F168" s="0" t="inlineStr">
        <is>
          <t>'813130650072</t>
        </is>
      </c>
      <c r="G168" s="0" t="inlineStr">
        <is>
          <t>WOMENS</t>
        </is>
      </c>
      <c r="H168" s="0" t="inlineStr">
        <is>
          <t>XL</t>
        </is>
      </c>
      <c r="I168" s="0">
        <v>34.99</v>
      </c>
      <c r="J168" s="0">
        <v>0</v>
      </c>
    </row>
    <row r="169" spans="1:10" customHeight="0">
      <c r="A169" s="0">
        <f>HYPERLINK("https://dl.dropboxusercontent.com/scl/fi/b9so4nnec8j4hktsoidj4/calla-137398-f.jpg?rlkey=t5b20gte18bc19q6y6mlvg5ae&amp;dl=0","Click to download Image")</f>
      </c>
      <c r="B169" s="0">
        <f>HYPERLINK("https://dl.dropboxusercontent.com/scl/fi/nh02ppqpgbdmolzkiib1k/womens-t-shirt-size-chartscalla.jpg?rlkey=5vhvmravhur5sucy6vk8ybj33&amp;dl=0","Click to download SizeChart")</f>
      </c>
      <c r="C169" s="0" t="inlineStr">
        <is>
          <t>Calla Women's Long Sleeve T-Shirt</t>
        </is>
      </c>
      <c r="D169" s="0" t="inlineStr">
        <is>
          <t>'130650</t>
        </is>
      </c>
      <c r="E169" s="0" t="inlineStr">
        <is>
          <t>NDSU CALLA W GN:130650E-2XL</t>
        </is>
      </c>
      <c r="F169" s="0" t="inlineStr">
        <is>
          <t>'813130650089</t>
        </is>
      </c>
      <c r="G169" s="0" t="inlineStr">
        <is>
          <t>WOMENS</t>
        </is>
      </c>
      <c r="H169" s="0" t="inlineStr">
        <is>
          <t>2XL</t>
        </is>
      </c>
      <c r="I169" s="0">
        <v>34.99</v>
      </c>
      <c r="J169" s="0">
        <v>2</v>
      </c>
    </row>
    <row r="170" spans="1:10" customHeight="0">
      <c r="A170" s="0">
        <f>HYPERLINK("https://dl.dropboxusercontent.com/scl/fi/b9so4nnec8j4hktsoidj4/calla-137398-f.jpg?rlkey=t5b20gte18bc19q6y6mlvg5ae&amp;dl=0","Click to download Image")</f>
      </c>
      <c r="B170" s="0">
        <f>HYPERLINK("https://dl.dropboxusercontent.com/scl/fi/nh02ppqpgbdmolzkiib1k/womens-t-shirt-size-chartscalla.jpg?rlkey=5vhvmravhur5sucy6vk8ybj33&amp;dl=0","Click to download SizeChart")</f>
      </c>
      <c r="C170" s="0" t="inlineStr">
        <is>
          <t>Calla Women's Long Sleeve T-Shirt</t>
        </is>
      </c>
      <c r="D170" s="0" t="inlineStr">
        <is>
          <t>'130650</t>
        </is>
      </c>
      <c r="E170" s="0" t="inlineStr">
        <is>
          <t>NDSU CALLA W GN:130650F-3XL</t>
        </is>
      </c>
      <c r="F170" s="0" t="inlineStr">
        <is>
          <t>'813130650096</t>
        </is>
      </c>
      <c r="G170" s="0" t="inlineStr">
        <is>
          <t>WOMENS</t>
        </is>
      </c>
      <c r="H170" s="0" t="inlineStr">
        <is>
          <t>3XL</t>
        </is>
      </c>
      <c r="I170" s="0">
        <v>34.99</v>
      </c>
      <c r="J170" s="0">
        <v>1</v>
      </c>
    </row>
    <row r="171" spans="1:10" customHeight="0">
      <c r="A171" s="0">
        <f>HYPERLINK("https://dl.dropboxusercontent.com/scl/fi/b9so4nnec8j4hktsoidj4/calla-137398-f.jpg?rlkey=t5b20gte18bc19q6y6mlvg5ae&amp;dl=0","Click to download Image")</f>
      </c>
      <c r="B171" s="0">
        <f>HYPERLINK("https://dl.dropboxusercontent.com/scl/fi/nh02ppqpgbdmolzkiib1k/womens-t-shirt-size-chartscalla.jpg?rlkey=5vhvmravhur5sucy6vk8ybj33&amp;dl=0","Click to download SizeChart")</f>
      </c>
      <c r="C171" s="0" t="inlineStr">
        <is>
          <t>Calla Women's Long Sleeve T-Shirt</t>
        </is>
      </c>
      <c r="D171" s="0" t="inlineStr">
        <is>
          <t>'130650</t>
        </is>
      </c>
      <c r="E171" s="0" t="inlineStr">
        <is>
          <t>NDSU CALLA W GN 12PK:130650Z-12PK</t>
        </is>
      </c>
      <c r="F171" s="0" t="inlineStr">
        <is>
          <t>'813130650997</t>
        </is>
      </c>
      <c r="G171" s="0" t="inlineStr">
        <is>
          <t>WOMENS</t>
        </is>
      </c>
      <c r="H171" s="0" t="inlineStr">
        <is>
          <t>12 PACK</t>
        </is>
      </c>
      <c r="I171" s="0">
        <v>336</v>
      </c>
      <c r="J171" s="0">
        <v>0</v>
      </c>
    </row>
    <row r="172" spans="1:10" customHeight="0">
      <c r="A172" s="0">
        <f>HYPERLINK("https://dl.dropboxusercontent.com/scl/fi/0ooyqmo0l9z3i3jxdb0cm/130709-f.jpg?rlkey=kpzllnhjxzy5e8gbiusdsbs1l&amp;dl=0","Click to download Image")</f>
      </c>
      <c r="B172" s="0">
        <f>HYPERLINK("https://dl.dropboxusercontent.com/scl/fi/1rtmhnk853oajicsl1dya/womens-size-chartsbea.jpg?rlkey=0y9enh2pql3j73ymy6k8nytq4&amp;dl=0","Click to download SizeChart")</f>
      </c>
      <c r="C172" s="0" t="inlineStr">
        <is>
          <t>Bea Women's Joggers</t>
        </is>
      </c>
      <c r="D172" s="0" t="inlineStr">
        <is>
          <t>'130709</t>
        </is>
      </c>
      <c r="E172" s="0" t="inlineStr">
        <is>
          <t>CU BEA W BK:130709A-S</t>
        </is>
      </c>
      <c r="F172" s="0" t="inlineStr">
        <is>
          <t>'810130709014</t>
        </is>
      </c>
      <c r="G172" s="0" t="inlineStr">
        <is>
          <t>WOMENS</t>
        </is>
      </c>
      <c r="H172" s="0" t="inlineStr">
        <is>
          <t>S</t>
        </is>
      </c>
      <c r="I172" s="0">
        <v>39.99</v>
      </c>
      <c r="J172" s="0">
        <v>1</v>
      </c>
    </row>
    <row r="173" spans="1:10" customHeight="0">
      <c r="A173" s="0">
        <f>HYPERLINK("https://dl.dropboxusercontent.com/scl/fi/0ooyqmo0l9z3i3jxdb0cm/130709-f.jpg?rlkey=kpzllnhjxzy5e8gbiusdsbs1l&amp;dl=0","Click to download Image")</f>
      </c>
      <c r="B173" s="0">
        <f>HYPERLINK("https://dl.dropboxusercontent.com/scl/fi/1rtmhnk853oajicsl1dya/womens-size-chartsbea.jpg?rlkey=0y9enh2pql3j73ymy6k8nytq4&amp;dl=0","Click to download SizeChart")</f>
      </c>
      <c r="C173" s="0" t="inlineStr">
        <is>
          <t>Bea Women's Joggers</t>
        </is>
      </c>
      <c r="D173" s="0" t="inlineStr">
        <is>
          <t>'130709</t>
        </is>
      </c>
      <c r="E173" s="0" t="inlineStr">
        <is>
          <t>CU BEA W BK:130709B-M</t>
        </is>
      </c>
      <c r="F173" s="0" t="inlineStr">
        <is>
          <t>'810130709021</t>
        </is>
      </c>
      <c r="G173" s="0" t="inlineStr">
        <is>
          <t>WOMENS</t>
        </is>
      </c>
      <c r="H173" s="0" t="inlineStr">
        <is>
          <t>M</t>
        </is>
      </c>
      <c r="I173" s="0">
        <v>39.99</v>
      </c>
      <c r="J173" s="0">
        <v>0</v>
      </c>
    </row>
    <row r="174" spans="1:10" customHeight="0">
      <c r="A174" s="0">
        <f>HYPERLINK("https://dl.dropboxusercontent.com/scl/fi/0ooyqmo0l9z3i3jxdb0cm/130709-f.jpg?rlkey=kpzllnhjxzy5e8gbiusdsbs1l&amp;dl=0","Click to download Image")</f>
      </c>
      <c r="B174" s="0">
        <f>HYPERLINK("https://dl.dropboxusercontent.com/scl/fi/1rtmhnk853oajicsl1dya/womens-size-chartsbea.jpg?rlkey=0y9enh2pql3j73ymy6k8nytq4&amp;dl=0","Click to download SizeChart")</f>
      </c>
      <c r="C174" s="0" t="inlineStr">
        <is>
          <t>Bea Women's Joggers</t>
        </is>
      </c>
      <c r="D174" s="0" t="inlineStr">
        <is>
          <t>'130709</t>
        </is>
      </c>
      <c r="E174" s="0" t="inlineStr">
        <is>
          <t>CU BEA W BK:130709C-L</t>
        </is>
      </c>
      <c r="F174" s="0" t="inlineStr">
        <is>
          <t>'810130709038</t>
        </is>
      </c>
      <c r="G174" s="0" t="inlineStr">
        <is>
          <t>WOMENS</t>
        </is>
      </c>
      <c r="H174" s="0" t="inlineStr">
        <is>
          <t>L</t>
        </is>
      </c>
      <c r="I174" s="0">
        <v>39.99</v>
      </c>
      <c r="J174" s="0">
        <v>0</v>
      </c>
    </row>
    <row r="175" spans="1:10" customHeight="0">
      <c r="A175" s="0">
        <f>HYPERLINK("https://dl.dropboxusercontent.com/scl/fi/0ooyqmo0l9z3i3jxdb0cm/130709-f.jpg?rlkey=kpzllnhjxzy5e8gbiusdsbs1l&amp;dl=0","Click to download Image")</f>
      </c>
      <c r="B175" s="0">
        <f>HYPERLINK("https://dl.dropboxusercontent.com/scl/fi/1rtmhnk853oajicsl1dya/womens-size-chartsbea.jpg?rlkey=0y9enh2pql3j73ymy6k8nytq4&amp;dl=0","Click to download SizeChart")</f>
      </c>
      <c r="C175" s="0" t="inlineStr">
        <is>
          <t>Bea Women's Joggers</t>
        </is>
      </c>
      <c r="D175" s="0" t="inlineStr">
        <is>
          <t>'130709</t>
        </is>
      </c>
      <c r="E175" s="0" t="inlineStr">
        <is>
          <t>CU BEA W BK:130709D-XL</t>
        </is>
      </c>
      <c r="F175" s="0" t="inlineStr">
        <is>
          <t>'810130709045</t>
        </is>
      </c>
      <c r="G175" s="0" t="inlineStr">
        <is>
          <t>WOMENS</t>
        </is>
      </c>
      <c r="H175" s="0" t="inlineStr">
        <is>
          <t>XL</t>
        </is>
      </c>
      <c r="I175" s="0">
        <v>39.99</v>
      </c>
      <c r="J175" s="0">
        <v>2</v>
      </c>
    </row>
    <row r="176" spans="1:10" customHeight="0">
      <c r="A176" s="0">
        <f>HYPERLINK("https://dl.dropboxusercontent.com/scl/fi/0ooyqmo0l9z3i3jxdb0cm/130709-f.jpg?rlkey=kpzllnhjxzy5e8gbiusdsbs1l&amp;dl=0","Click to download Image")</f>
      </c>
      <c r="B176" s="0">
        <f>HYPERLINK("https://dl.dropboxusercontent.com/scl/fi/1rtmhnk853oajicsl1dya/womens-size-chartsbea.jpg?rlkey=0y9enh2pql3j73ymy6k8nytq4&amp;dl=0","Click to download SizeChart")</f>
      </c>
      <c r="C176" s="0" t="inlineStr">
        <is>
          <t>Bea Women's Joggers</t>
        </is>
      </c>
      <c r="D176" s="0" t="inlineStr">
        <is>
          <t>'130709</t>
        </is>
      </c>
      <c r="E176" s="0" t="inlineStr">
        <is>
          <t>CU BEA W BK:130709E-2XL</t>
        </is>
      </c>
      <c r="F176" s="0" t="inlineStr">
        <is>
          <t>'810130709052</t>
        </is>
      </c>
      <c r="G176" s="0" t="inlineStr">
        <is>
          <t>WOMENS</t>
        </is>
      </c>
      <c r="H176" s="0" t="inlineStr">
        <is>
          <t>2XL</t>
        </is>
      </c>
      <c r="I176" s="0">
        <v>39.99</v>
      </c>
      <c r="J176" s="0">
        <v>1</v>
      </c>
    </row>
    <row r="177" spans="1:10" customHeight="0">
      <c r="A177" s="0">
        <f>HYPERLINK("https://dl.dropboxusercontent.com/scl/fi/0ooyqmo0l9z3i3jxdb0cm/130709-f.jpg?rlkey=kpzllnhjxzy5e8gbiusdsbs1l&amp;dl=0","Click to download Image")</f>
      </c>
      <c r="B177" s="0">
        <f>HYPERLINK("https://dl.dropboxusercontent.com/scl/fi/1rtmhnk853oajicsl1dya/womens-size-chartsbea.jpg?rlkey=0y9enh2pql3j73ymy6k8nytq4&amp;dl=0","Click to download SizeChart")</f>
      </c>
      <c r="C177" s="0" t="inlineStr">
        <is>
          <t>Bea Women's Joggers</t>
        </is>
      </c>
      <c r="D177" s="0" t="inlineStr">
        <is>
          <t>'130709</t>
        </is>
      </c>
      <c r="E177" s="0" t="inlineStr">
        <is>
          <t>CU BEA W BK:130709F-3XL</t>
        </is>
      </c>
      <c r="F177" s="0" t="inlineStr">
        <is>
          <t>'810130709069</t>
        </is>
      </c>
      <c r="G177" s="0" t="inlineStr">
        <is>
          <t>WOMENS</t>
        </is>
      </c>
      <c r="H177" s="0" t="inlineStr">
        <is>
          <t>3XL</t>
        </is>
      </c>
      <c r="I177" s="0">
        <v>39.99</v>
      </c>
      <c r="J177" s="0">
        <v>3</v>
      </c>
    </row>
    <row r="178" spans="1:10" customHeight="0">
      <c r="A178" s="0">
        <f>HYPERLINK("https://dl.dropboxusercontent.com/scl/fi/0ooyqmo0l9z3i3jxdb0cm/130709-f.jpg?rlkey=kpzllnhjxzy5e8gbiusdsbs1l&amp;dl=0","Click to download Image")</f>
      </c>
      <c r="B178" s="0">
        <f>HYPERLINK("https://dl.dropboxusercontent.com/scl/fi/1rtmhnk853oajicsl1dya/womens-size-chartsbea.jpg?rlkey=0y9enh2pql3j73ymy6k8nytq4&amp;dl=0","Click to download SizeChart")</f>
      </c>
      <c r="C178" s="0" t="inlineStr">
        <is>
          <t>Bea Women's Joggers</t>
        </is>
      </c>
      <c r="D178" s="0" t="inlineStr">
        <is>
          <t>'130709</t>
        </is>
      </c>
      <c r="E178" s="0" t="inlineStr">
        <is>
          <t>CU BEA W BK 12PK:130709Z-12PK</t>
        </is>
      </c>
      <c r="F178" s="0" t="inlineStr">
        <is>
          <t>'810130709991</t>
        </is>
      </c>
      <c r="G178" s="0" t="inlineStr">
        <is>
          <t>WOMENS</t>
        </is>
      </c>
      <c r="H178" s="0" t="inlineStr">
        <is>
          <t>12 PACK</t>
        </is>
      </c>
      <c r="I178" s="0">
        <v>384</v>
      </c>
      <c r="J178" s="0">
        <v>0</v>
      </c>
    </row>
    <row r="179" spans="1:10" customHeight="0">
      <c r="A179" s="0">
        <f>HYPERLINK("https://dl.dropboxusercontent.com/scl/fi/o0fa45ngatno840hsscxo/132674-af.jpg?rlkey=bs3qz8romtq4balczy2lq5qgf&amp;dl=0","Click to download Image")</f>
      </c>
      <c r="C179" s="0" t="inlineStr">
        <is>
          <t>Chester Mens Cap</t>
        </is>
      </c>
      <c r="D179" s="0" t="inlineStr">
        <is>
          <t>'132674</t>
        </is>
      </c>
      <c r="E179" s="0" t="inlineStr">
        <is>
          <t>DRK CHESTE A RL:132674</t>
        </is>
      </c>
      <c r="F179" s="0" t="inlineStr">
        <is>
          <t>'717132674008</t>
        </is>
      </c>
      <c r="G179" s="0" t="inlineStr">
        <is>
          <t>MENS</t>
        </is>
      </c>
      <c r="H179" s="0" t="inlineStr">
        <is>
          <t>STANDARD:58CM</t>
        </is>
      </c>
      <c r="I179" s="0">
        <v>24.99</v>
      </c>
      <c r="J179" s="0">
        <v>7</v>
      </c>
    </row>
    <row r="180" spans="1:10" customHeight="0">
      <c r="A180" s="0">
        <f>HYPERLINK("https://dl.dropboxusercontent.com/scl/fi/6pwqdxvofh69nsinotppe/130742-f.jpg?rlkey=ku1di59glndjd26rug189o4lm&amp;dl=0","Click to download Image")</f>
      </c>
      <c r="B180" s="0">
        <f>HYPERLINK("https://dl.dropboxusercontent.com/scl/fi/7wjtw95zez3ntwrta28bz/womens-pullover-size-chartselowen.jpg?rlkey=3frn91761rrga5ld85q204vjf&amp;dl=0","Click to download SizeChart")</f>
      </c>
      <c r="C180" s="0" t="inlineStr">
        <is>
          <t>Elowen Women's Pullover</t>
        </is>
      </c>
      <c r="D180" s="0" t="inlineStr">
        <is>
          <t>'130742</t>
        </is>
      </c>
      <c r="E180" s="0" t="inlineStr">
        <is>
          <t>PUR ELOWEN W DG:130742A-S</t>
        </is>
      </c>
      <c r="F180" s="0" t="inlineStr">
        <is>
          <t>'804130742041</t>
        </is>
      </c>
      <c r="G180" s="0" t="inlineStr">
        <is>
          <t>WOMENS</t>
        </is>
      </c>
      <c r="H180" s="0" t="inlineStr">
        <is>
          <t>S</t>
        </is>
      </c>
      <c r="I180" s="0">
        <v>54.99</v>
      </c>
      <c r="J180" s="0">
        <v>0</v>
      </c>
    </row>
    <row r="181" spans="1:10" customHeight="0">
      <c r="A181" s="0">
        <f>HYPERLINK("https://dl.dropboxusercontent.com/scl/fi/6pwqdxvofh69nsinotppe/130742-f.jpg?rlkey=ku1di59glndjd26rug189o4lm&amp;dl=0","Click to download Image")</f>
      </c>
      <c r="B181" s="0">
        <f>HYPERLINK("https://dl.dropboxusercontent.com/scl/fi/7wjtw95zez3ntwrta28bz/womens-pullover-size-chartselowen.jpg?rlkey=3frn91761rrga5ld85q204vjf&amp;dl=0","Click to download SizeChart")</f>
      </c>
      <c r="C181" s="0" t="inlineStr">
        <is>
          <t>Elowen Women's Pullover</t>
        </is>
      </c>
      <c r="D181" s="0" t="inlineStr">
        <is>
          <t>'130742</t>
        </is>
      </c>
      <c r="E181" s="0" t="inlineStr">
        <is>
          <t>PUR ELOWEN W DG:130742B-M</t>
        </is>
      </c>
      <c r="F181" s="0" t="inlineStr">
        <is>
          <t>'804130742058</t>
        </is>
      </c>
      <c r="G181" s="0" t="inlineStr">
        <is>
          <t>WOMENS</t>
        </is>
      </c>
      <c r="H181" s="0" t="inlineStr">
        <is>
          <t>M</t>
        </is>
      </c>
      <c r="I181" s="0">
        <v>54.99</v>
      </c>
      <c r="J181" s="0">
        <v>0</v>
      </c>
    </row>
    <row r="182" spans="1:10" customHeight="0">
      <c r="A182" s="0">
        <f>HYPERLINK("https://dl.dropboxusercontent.com/scl/fi/6pwqdxvofh69nsinotppe/130742-f.jpg?rlkey=ku1di59glndjd26rug189o4lm&amp;dl=0","Click to download Image")</f>
      </c>
      <c r="B182" s="0">
        <f>HYPERLINK("https://dl.dropboxusercontent.com/scl/fi/7wjtw95zez3ntwrta28bz/womens-pullover-size-chartselowen.jpg?rlkey=3frn91761rrga5ld85q204vjf&amp;dl=0","Click to download SizeChart")</f>
      </c>
      <c r="C182" s="0" t="inlineStr">
        <is>
          <t>Elowen Women's Pullover</t>
        </is>
      </c>
      <c r="D182" s="0" t="inlineStr">
        <is>
          <t>'130742</t>
        </is>
      </c>
      <c r="E182" s="0" t="inlineStr">
        <is>
          <t>PUR ELOWEN W DG:130742C-L</t>
        </is>
      </c>
      <c r="F182" s="0" t="inlineStr">
        <is>
          <t>'804130742065</t>
        </is>
      </c>
      <c r="G182" s="0" t="inlineStr">
        <is>
          <t>WOMENS</t>
        </is>
      </c>
      <c r="H182" s="0" t="inlineStr">
        <is>
          <t>L</t>
        </is>
      </c>
      <c r="I182" s="0">
        <v>54.99</v>
      </c>
      <c r="J182" s="0">
        <v>0</v>
      </c>
    </row>
    <row r="183" spans="1:10" customHeight="0">
      <c r="A183" s="0">
        <f>HYPERLINK("https://dl.dropboxusercontent.com/scl/fi/6pwqdxvofh69nsinotppe/130742-f.jpg?rlkey=ku1di59glndjd26rug189o4lm&amp;dl=0","Click to download Image")</f>
      </c>
      <c r="B183" s="0">
        <f>HYPERLINK("https://dl.dropboxusercontent.com/scl/fi/7wjtw95zez3ntwrta28bz/womens-pullover-size-chartselowen.jpg?rlkey=3frn91761rrga5ld85q204vjf&amp;dl=0","Click to download SizeChart")</f>
      </c>
      <c r="C183" s="0" t="inlineStr">
        <is>
          <t>Elowen Women's Pullover</t>
        </is>
      </c>
      <c r="D183" s="0" t="inlineStr">
        <is>
          <t>'130742</t>
        </is>
      </c>
      <c r="E183" s="0" t="inlineStr">
        <is>
          <t>PUR ELOWEN W DG:130742D-XL</t>
        </is>
      </c>
      <c r="F183" s="0" t="inlineStr">
        <is>
          <t>'804130742072</t>
        </is>
      </c>
      <c r="G183" s="0" t="inlineStr">
        <is>
          <t>WOMENS</t>
        </is>
      </c>
      <c r="H183" s="0" t="inlineStr">
        <is>
          <t>XL</t>
        </is>
      </c>
      <c r="I183" s="0">
        <v>54.99</v>
      </c>
      <c r="J183" s="0">
        <v>0</v>
      </c>
    </row>
    <row r="184" spans="1:10" customHeight="0">
      <c r="A184" s="0">
        <f>HYPERLINK("https://dl.dropboxusercontent.com/scl/fi/6pwqdxvofh69nsinotppe/130742-f.jpg?rlkey=ku1di59glndjd26rug189o4lm&amp;dl=0","Click to download Image")</f>
      </c>
      <c r="B184" s="0">
        <f>HYPERLINK("https://dl.dropboxusercontent.com/scl/fi/7wjtw95zez3ntwrta28bz/womens-pullover-size-chartselowen.jpg?rlkey=3frn91761rrga5ld85q204vjf&amp;dl=0","Click to download SizeChart")</f>
      </c>
      <c r="C184" s="0" t="inlineStr">
        <is>
          <t>Elowen Women's Pullover</t>
        </is>
      </c>
      <c r="D184" s="0" t="inlineStr">
        <is>
          <t>'130742</t>
        </is>
      </c>
      <c r="E184" s="0" t="inlineStr">
        <is>
          <t>PUR ELOWEN W DG:130742E-2XL</t>
        </is>
      </c>
      <c r="F184" s="0" t="inlineStr">
        <is>
          <t>'804130742089</t>
        </is>
      </c>
      <c r="G184" s="0" t="inlineStr">
        <is>
          <t>WOMENS</t>
        </is>
      </c>
      <c r="H184" s="0" t="inlineStr">
        <is>
          <t>2XL</t>
        </is>
      </c>
      <c r="I184" s="0">
        <v>54.99</v>
      </c>
      <c r="J184" s="0">
        <v>0</v>
      </c>
    </row>
    <row r="185" spans="1:10" customHeight="0">
      <c r="A185" s="0">
        <f>HYPERLINK("https://dl.dropboxusercontent.com/scl/fi/6pwqdxvofh69nsinotppe/130742-f.jpg?rlkey=ku1di59glndjd26rug189o4lm&amp;dl=0","Click to download Image")</f>
      </c>
      <c r="B185" s="0">
        <f>HYPERLINK("https://dl.dropboxusercontent.com/scl/fi/7wjtw95zez3ntwrta28bz/womens-pullover-size-chartselowen.jpg?rlkey=3frn91761rrga5ld85q204vjf&amp;dl=0","Click to download SizeChart")</f>
      </c>
      <c r="C185" s="0" t="inlineStr">
        <is>
          <t>Elowen Women's Pullover</t>
        </is>
      </c>
      <c r="D185" s="0" t="inlineStr">
        <is>
          <t>'130742</t>
        </is>
      </c>
      <c r="E185" s="0" t="inlineStr">
        <is>
          <t>PUR ELOWEN W DG:130742F-3XL</t>
        </is>
      </c>
      <c r="F185" s="0" t="inlineStr">
        <is>
          <t>'804130742096</t>
        </is>
      </c>
      <c r="G185" s="0" t="inlineStr">
        <is>
          <t>WOMENS</t>
        </is>
      </c>
      <c r="H185" s="0" t="inlineStr">
        <is>
          <t>3XL</t>
        </is>
      </c>
      <c r="I185" s="0">
        <v>54.99</v>
      </c>
      <c r="J185" s="0">
        <v>2</v>
      </c>
    </row>
    <row r="186" spans="1:10" customHeight="0">
      <c r="A186" s="0">
        <f>HYPERLINK("https://dl.dropboxusercontent.com/scl/fi/6pwqdxvofh69nsinotppe/130742-f.jpg?rlkey=ku1di59glndjd26rug189o4lm&amp;dl=0","Click to download Image")</f>
      </c>
      <c r="B186" s="0">
        <f>HYPERLINK("https://dl.dropboxusercontent.com/scl/fi/7wjtw95zez3ntwrta28bz/womens-pullover-size-chartselowen.jpg?rlkey=3frn91761rrga5ld85q204vjf&amp;dl=0","Click to download SizeChart")</f>
      </c>
      <c r="C186" s="0" t="inlineStr">
        <is>
          <t>Elowen Women's Pullover</t>
        </is>
      </c>
      <c r="D186" s="0" t="inlineStr">
        <is>
          <t>'130742</t>
        </is>
      </c>
      <c r="E186" s="0" t="inlineStr">
        <is>
          <t>PUR ELOWEN W DG 12PK:130742Z-12PK</t>
        </is>
      </c>
      <c r="F186" s="0" t="inlineStr">
        <is>
          <t>'804130742997</t>
        </is>
      </c>
      <c r="G186" s="0" t="inlineStr">
        <is>
          <t>WOMENS</t>
        </is>
      </c>
      <c r="H186" s="0" t="inlineStr">
        <is>
          <t>12 PACK</t>
        </is>
      </c>
      <c r="I186" s="0">
        <v>528</v>
      </c>
      <c r="J186" s="0">
        <v>0</v>
      </c>
    </row>
    <row r="187" spans="1:10" customHeight="0">
      <c r="A187" s="0">
        <f>HYPERLINK("https://dl.dropboxusercontent.com/scl/fi/ncwu1vrm6xd75fh7e1o1t/131216-f.jpg?rlkey=7mgue82huyucho689m9pgrnk7&amp;dl=0","Click to download Image")</f>
      </c>
      <c r="C187" s="0" t="inlineStr">
        <is>
          <t>Jaxon Youth Long Sleeve</t>
        </is>
      </c>
      <c r="D187" s="0" t="inlineStr">
        <is>
          <t>'131216</t>
        </is>
      </c>
      <c r="E187" s="0" t="inlineStr">
        <is>
          <t>IND JAXON Y DG:131216B-YS</t>
        </is>
      </c>
      <c r="F187" s="0" t="inlineStr">
        <is>
          <t>'806131216019</t>
        </is>
      </c>
      <c r="G187" s="0" t="inlineStr">
        <is>
          <t>YOUTH</t>
        </is>
      </c>
      <c r="H187" s="0" t="inlineStr">
        <is>
          <t>YS</t>
        </is>
      </c>
      <c r="I187" s="0">
        <v>29.99</v>
      </c>
      <c r="J187" s="0">
        <v>1</v>
      </c>
    </row>
    <row r="188" spans="1:10" customHeight="0">
      <c r="A188" s="0">
        <f>HYPERLINK("https://dl.dropboxusercontent.com/scl/fi/ncwu1vrm6xd75fh7e1o1t/131216-f.jpg?rlkey=7mgue82huyucho689m9pgrnk7&amp;dl=0","Click to download Image")</f>
      </c>
      <c r="C188" s="0" t="inlineStr">
        <is>
          <t>Jaxon Youth Long Sleeve</t>
        </is>
      </c>
      <c r="D188" s="0" t="inlineStr">
        <is>
          <t>'131216</t>
        </is>
      </c>
      <c r="E188" s="0" t="inlineStr">
        <is>
          <t>IND JAXON Y DG:131216C-YM</t>
        </is>
      </c>
      <c r="F188" s="0" t="inlineStr">
        <is>
          <t>'806131216026</t>
        </is>
      </c>
      <c r="G188" s="0" t="inlineStr">
        <is>
          <t>YOUTH</t>
        </is>
      </c>
      <c r="H188" s="0" t="inlineStr">
        <is>
          <t>YM</t>
        </is>
      </c>
      <c r="I188" s="0">
        <v>29.99</v>
      </c>
      <c r="J188" s="0">
        <v>0</v>
      </c>
    </row>
    <row r="189" spans="1:10" customHeight="0">
      <c r="A189" s="0">
        <f>HYPERLINK("https://dl.dropboxusercontent.com/scl/fi/ncwu1vrm6xd75fh7e1o1t/131216-f.jpg?rlkey=7mgue82huyucho689m9pgrnk7&amp;dl=0","Click to download Image")</f>
      </c>
      <c r="C189" s="0" t="inlineStr">
        <is>
          <t>Jaxon Youth Long Sleeve</t>
        </is>
      </c>
      <c r="D189" s="0" t="inlineStr">
        <is>
          <t>'131216</t>
        </is>
      </c>
      <c r="E189" s="0" t="inlineStr">
        <is>
          <t>IND JAXON Y DG:131216D-YL</t>
        </is>
      </c>
      <c r="F189" s="0" t="inlineStr">
        <is>
          <t>'806131216033</t>
        </is>
      </c>
      <c r="G189" s="0" t="inlineStr">
        <is>
          <t>YOUTH</t>
        </is>
      </c>
      <c r="H189" s="0" t="inlineStr">
        <is>
          <t>YL</t>
        </is>
      </c>
      <c r="I189" s="0">
        <v>29.99</v>
      </c>
      <c r="J189" s="0">
        <v>0</v>
      </c>
    </row>
    <row r="190" spans="1:10" customHeight="0">
      <c r="A190" s="0">
        <f>HYPERLINK("https://dl.dropboxusercontent.com/scl/fi/ncwu1vrm6xd75fh7e1o1t/131216-f.jpg?rlkey=7mgue82huyucho689m9pgrnk7&amp;dl=0","Click to download Image")</f>
      </c>
      <c r="C190" s="0" t="inlineStr">
        <is>
          <t>Jaxon Youth Long Sleeve</t>
        </is>
      </c>
      <c r="D190" s="0" t="inlineStr">
        <is>
          <t>'131216</t>
        </is>
      </c>
      <c r="E190" s="0" t="inlineStr">
        <is>
          <t>IND JAXON Y DG:131216E-YXL</t>
        </is>
      </c>
      <c r="F190" s="0" t="inlineStr">
        <is>
          <t>'806131216040</t>
        </is>
      </c>
      <c r="G190" s="0" t="inlineStr">
        <is>
          <t>YOUTH</t>
        </is>
      </c>
      <c r="H190" s="0" t="inlineStr">
        <is>
          <t>YXL</t>
        </is>
      </c>
      <c r="I190" s="0">
        <v>29.99</v>
      </c>
      <c r="J190" s="0">
        <v>0</v>
      </c>
    </row>
    <row r="191" spans="1:10" customHeight="0">
      <c r="A191" s="0">
        <f>HYPERLINK("https://dl.dropboxusercontent.com/scl/fi/ncwu1vrm6xd75fh7e1o1t/131216-f.jpg?rlkey=7mgue82huyucho689m9pgrnk7&amp;dl=0","Click to download Image")</f>
      </c>
      <c r="C191" s="0" t="inlineStr">
        <is>
          <t>Jaxon Youth Long Sleeve</t>
        </is>
      </c>
      <c r="D191" s="0" t="inlineStr">
        <is>
          <t>'131216</t>
        </is>
      </c>
      <c r="E191" s="0" t="inlineStr">
        <is>
          <t>IND JAXON Y DG 12PK:131216Z-12PK</t>
        </is>
      </c>
      <c r="F191" s="0" t="inlineStr">
        <is>
          <t>'806131216996</t>
        </is>
      </c>
      <c r="G191" s="0" t="inlineStr">
        <is>
          <t>YOUTH</t>
        </is>
      </c>
      <c r="H191" s="0" t="inlineStr">
        <is>
          <t>12 PACK</t>
        </is>
      </c>
      <c r="I191" s="0">
        <v>288</v>
      </c>
      <c r="J191" s="0">
        <v>0</v>
      </c>
    </row>
    <row r="192" spans="1:10" customHeight="0">
      <c r="A192" s="0">
        <f>HYPERLINK("https://dl.dropboxusercontent.com/scl/fi/21xnzabkcqf13kdld1swn/129898-f.jpg?rlkey=jugxnenywoergiy6a3yqdxqm3&amp;dl=0","Click to download Image")</f>
      </c>
      <c r="B192" s="0">
        <f>HYPERLINK("https://dl.dropboxusercontent.com/scl/fi/p6sgoy745gvc4bcfqv9pd/womens-pullover-size-chartslydia.jpg?rlkey=goz39y3icmj8mwtm5yq6nquei&amp;dl=0","Click to download SizeChart")</f>
      </c>
      <c r="C192" s="0" t="inlineStr">
        <is>
          <t>Lydia Women's Pullover</t>
        </is>
      </c>
      <c r="D192" s="0" t="inlineStr">
        <is>
          <t>'129898</t>
        </is>
      </c>
      <c r="E192" s="0" t="inlineStr">
        <is>
          <t>ISU LYDIA W BK:129898A-S</t>
        </is>
      </c>
      <c r="F192" s="0" t="inlineStr">
        <is>
          <t>'801129898048</t>
        </is>
      </c>
      <c r="G192" s="0" t="inlineStr">
        <is>
          <t>WOMENS</t>
        </is>
      </c>
      <c r="H192" s="0" t="inlineStr">
        <is>
          <t>S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HYPERLINK("https://dl.dropboxusercontent.com/scl/fi/21xnzabkcqf13kdld1swn/129898-f.jpg?rlkey=jugxnenywoergiy6a3yqdxqm3&amp;dl=0","Click to download Image")</f>
      </c>
      <c r="B193" s="0">
        <f>HYPERLINK("https://dl.dropboxusercontent.com/scl/fi/p6sgoy745gvc4bcfqv9pd/womens-pullover-size-chartslydia.jpg?rlkey=goz39y3icmj8mwtm5yq6nquei&amp;dl=0","Click to download SizeChart")</f>
      </c>
      <c r="C193" s="0" t="inlineStr">
        <is>
          <t>Lydia Women's Pullover</t>
        </is>
      </c>
      <c r="D193" s="0" t="inlineStr">
        <is>
          <t>'129898</t>
        </is>
      </c>
      <c r="E193" s="0" t="inlineStr">
        <is>
          <t>ISU LYDIA W BK:129898B-M</t>
        </is>
      </c>
      <c r="F193" s="0" t="inlineStr">
        <is>
          <t>'801129898055</t>
        </is>
      </c>
      <c r="G193" s="0" t="inlineStr">
        <is>
          <t>WOMENS</t>
        </is>
      </c>
      <c r="H193" s="0" t="inlineStr">
        <is>
          <t>M</t>
        </is>
      </c>
      <c r="I193" s="0">
        <v>59.99</v>
      </c>
      <c r="J193" s="0">
        <v>0</v>
      </c>
    </row>
    <row r="194" spans="1:10" customHeight="0">
      <c r="A194" s="0">
        <f>HYPERLINK("https://dl.dropboxusercontent.com/scl/fi/21xnzabkcqf13kdld1swn/129898-f.jpg?rlkey=jugxnenywoergiy6a3yqdxqm3&amp;dl=0","Click to download Image")</f>
      </c>
      <c r="B194" s="0">
        <f>HYPERLINK("https://dl.dropboxusercontent.com/scl/fi/p6sgoy745gvc4bcfqv9pd/womens-pullover-size-chartslydia.jpg?rlkey=goz39y3icmj8mwtm5yq6nquei&amp;dl=0","Click to download SizeChart")</f>
      </c>
      <c r="C194" s="0" t="inlineStr">
        <is>
          <t>Lydia Women's Pullover</t>
        </is>
      </c>
      <c r="D194" s="0" t="inlineStr">
        <is>
          <t>'129898</t>
        </is>
      </c>
      <c r="E194" s="0" t="inlineStr">
        <is>
          <t>ISU LYDIA W BK:129898C-L</t>
        </is>
      </c>
      <c r="F194" s="0" t="inlineStr">
        <is>
          <t>'801129898062</t>
        </is>
      </c>
      <c r="G194" s="0" t="inlineStr">
        <is>
          <t>WOMENS</t>
        </is>
      </c>
      <c r="H194" s="0" t="inlineStr">
        <is>
          <t>L</t>
        </is>
      </c>
      <c r="I194" s="0">
        <v>59.99</v>
      </c>
      <c r="J194" s="0">
        <v>0</v>
      </c>
    </row>
    <row r="195" spans="1:10" customHeight="0">
      <c r="A195" s="0">
        <f>HYPERLINK("https://dl.dropboxusercontent.com/scl/fi/21xnzabkcqf13kdld1swn/129898-f.jpg?rlkey=jugxnenywoergiy6a3yqdxqm3&amp;dl=0","Click to download Image")</f>
      </c>
      <c r="B195" s="0">
        <f>HYPERLINK("https://dl.dropboxusercontent.com/scl/fi/p6sgoy745gvc4bcfqv9pd/womens-pullover-size-chartslydia.jpg?rlkey=goz39y3icmj8mwtm5yq6nquei&amp;dl=0","Click to download SizeChart")</f>
      </c>
      <c r="C195" s="0" t="inlineStr">
        <is>
          <t>Lydia Women's Pullover</t>
        </is>
      </c>
      <c r="D195" s="0" t="inlineStr">
        <is>
          <t>'129898</t>
        </is>
      </c>
      <c r="E195" s="0" t="inlineStr">
        <is>
          <t>ISU LYDIA W BK:129898D-XL</t>
        </is>
      </c>
      <c r="F195" s="0" t="inlineStr">
        <is>
          <t>'801129898079</t>
        </is>
      </c>
      <c r="G195" s="0" t="inlineStr">
        <is>
          <t>WOMENS</t>
        </is>
      </c>
      <c r="H195" s="0" t="inlineStr">
        <is>
          <t>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HYPERLINK("https://dl.dropboxusercontent.com/scl/fi/21xnzabkcqf13kdld1swn/129898-f.jpg?rlkey=jugxnenywoergiy6a3yqdxqm3&amp;dl=0","Click to download Image")</f>
      </c>
      <c r="B196" s="0">
        <f>HYPERLINK("https://dl.dropboxusercontent.com/scl/fi/p6sgoy745gvc4bcfqv9pd/womens-pullover-size-chartslydia.jpg?rlkey=goz39y3icmj8mwtm5yq6nquei&amp;dl=0","Click to download SizeChart")</f>
      </c>
      <c r="C196" s="0" t="inlineStr">
        <is>
          <t>Lydia Women's Pullover</t>
        </is>
      </c>
      <c r="D196" s="0" t="inlineStr">
        <is>
          <t>'129898</t>
        </is>
      </c>
      <c r="E196" s="0" t="inlineStr">
        <is>
          <t>ISU LYDIA W BK:129898E-2XL</t>
        </is>
      </c>
      <c r="F196" s="0" t="inlineStr">
        <is>
          <t>'801129898086</t>
        </is>
      </c>
      <c r="G196" s="0" t="inlineStr">
        <is>
          <t>WOMENS</t>
        </is>
      </c>
      <c r="H196" s="0" t="inlineStr">
        <is>
          <t>2XL</t>
        </is>
      </c>
      <c r="I196" s="0">
        <v>59.99</v>
      </c>
      <c r="J196" s="0">
        <v>0</v>
      </c>
    </row>
    <row r="197" spans="1:10" customHeight="0">
      <c r="A197" s="0">
        <f>HYPERLINK("https://dl.dropboxusercontent.com/scl/fi/21xnzabkcqf13kdld1swn/129898-f.jpg?rlkey=jugxnenywoergiy6a3yqdxqm3&amp;dl=0","Click to download Image")</f>
      </c>
      <c r="B197" s="0">
        <f>HYPERLINK("https://dl.dropboxusercontent.com/scl/fi/p6sgoy745gvc4bcfqv9pd/womens-pullover-size-chartslydia.jpg?rlkey=goz39y3icmj8mwtm5yq6nquei&amp;dl=0","Click to download SizeChart")</f>
      </c>
      <c r="C197" s="0" t="inlineStr">
        <is>
          <t>Lydia Women's Pullover</t>
        </is>
      </c>
      <c r="D197" s="0" t="inlineStr">
        <is>
          <t>'129898</t>
        </is>
      </c>
      <c r="E197" s="0" t="inlineStr">
        <is>
          <t>ISU LYDIA W BK:129898F-3XL</t>
        </is>
      </c>
      <c r="F197" s="0" t="inlineStr">
        <is>
          <t>'801129898093</t>
        </is>
      </c>
      <c r="G197" s="0" t="inlineStr">
        <is>
          <t>WOMENS</t>
        </is>
      </c>
      <c r="H197" s="0" t="inlineStr">
        <is>
          <t>3XL</t>
        </is>
      </c>
      <c r="I197" s="0">
        <v>59.99</v>
      </c>
      <c r="J197" s="0">
        <v>2</v>
      </c>
    </row>
    <row r="198" spans="1:10" customHeight="0">
      <c r="A198" s="0">
        <f>HYPERLINK("https://dl.dropboxusercontent.com/scl/fi/21xnzabkcqf13kdld1swn/129898-f.jpg?rlkey=jugxnenywoergiy6a3yqdxqm3&amp;dl=0","Click to download Image")</f>
      </c>
      <c r="B198" s="0">
        <f>HYPERLINK("https://dl.dropboxusercontent.com/scl/fi/p6sgoy745gvc4bcfqv9pd/womens-pullover-size-chartslydia.jpg?rlkey=goz39y3icmj8mwtm5yq6nquei&amp;dl=0","Click to download SizeChart")</f>
      </c>
      <c r="C198" s="0" t="inlineStr">
        <is>
          <t>Lydia Women's Pullover</t>
        </is>
      </c>
      <c r="D198" s="0" t="inlineStr">
        <is>
          <t>'129898</t>
        </is>
      </c>
      <c r="E198" s="0" t="inlineStr">
        <is>
          <t>ISU LYDIA W BK 12PK:129898Z-12PK</t>
        </is>
      </c>
      <c r="F198" s="0" t="inlineStr">
        <is>
          <t>'801129898994</t>
        </is>
      </c>
      <c r="G198" s="0" t="inlineStr">
        <is>
          <t>WOMENS</t>
        </is>
      </c>
      <c r="H198" s="0" t="inlineStr">
        <is>
          <t>12 PACK</t>
        </is>
      </c>
      <c r="I198" s="0">
        <v>576</v>
      </c>
      <c r="J198" s="0">
        <v>0</v>
      </c>
    </row>
    <row r="199" spans="1:10" customHeight="0">
      <c r="A199" s="0">
        <f>HYPERLINK("https://dl.dropboxusercontent.com/scl/fi/ijo2c9xokocjacatnnota/129034-f.jpg?rlkey=pe5m5i903xo123qjsscibsguq&amp;dl=0","Click to download Image")</f>
      </c>
      <c r="B199" s="0">
        <f>HYPERLINK("https://dl.dropboxusercontent.com/scl/fi/9r7rnmncpo3f4msmwvhq6/mens-bottoms-size-chartsmaker.jpg?rlkey=mu4buurzy2p4q47tf9ag24r7n&amp;dl=0","Click to download SizeChart")</f>
      </c>
      <c r="C199" s="0" t="inlineStr">
        <is>
          <t>Maker Men's Joggers</t>
        </is>
      </c>
      <c r="D199" s="0" t="inlineStr">
        <is>
          <t>'129034</t>
        </is>
      </c>
      <c r="E199" s="0" t="inlineStr">
        <is>
          <t>IOWA MAKER M BK:129034A-S</t>
        </is>
      </c>
      <c r="F199" s="0" t="inlineStr">
        <is>
          <t>'800129034012</t>
        </is>
      </c>
      <c r="G199" s="0" t="inlineStr">
        <is>
          <t>MENS</t>
        </is>
      </c>
      <c r="H199" s="0" t="inlineStr">
        <is>
          <t>S</t>
        </is>
      </c>
      <c r="I199" s="0">
        <v>39.99</v>
      </c>
      <c r="J199" s="0">
        <v>1</v>
      </c>
    </row>
    <row r="200" spans="1:10" customHeight="0">
      <c r="A200" s="0">
        <f>HYPERLINK("https://dl.dropboxusercontent.com/scl/fi/ijo2c9xokocjacatnnota/129034-f.jpg?rlkey=pe5m5i903xo123qjsscibsguq&amp;dl=0","Click to download Image")</f>
      </c>
      <c r="B200" s="0">
        <f>HYPERLINK("https://dl.dropboxusercontent.com/scl/fi/9r7rnmncpo3f4msmwvhq6/mens-bottoms-size-chartsmaker.jpg?rlkey=mu4buurzy2p4q47tf9ag24r7n&amp;dl=0","Click to download SizeChart")</f>
      </c>
      <c r="C200" s="0" t="inlineStr">
        <is>
          <t>Maker Men's Joggers</t>
        </is>
      </c>
      <c r="D200" s="0" t="inlineStr">
        <is>
          <t>'129034</t>
        </is>
      </c>
      <c r="E200" s="0" t="inlineStr">
        <is>
          <t>IOWA MAKER M BK:129034B-M</t>
        </is>
      </c>
      <c r="F200" s="0" t="inlineStr">
        <is>
          <t>'800129034029</t>
        </is>
      </c>
      <c r="G200" s="0" t="inlineStr">
        <is>
          <t>MENS</t>
        </is>
      </c>
      <c r="H200" s="0" t="inlineStr">
        <is>
          <t>M</t>
        </is>
      </c>
      <c r="I200" s="0">
        <v>39.99</v>
      </c>
      <c r="J200" s="0">
        <v>2</v>
      </c>
    </row>
    <row r="201" spans="1:10" customHeight="0">
      <c r="A201" s="0">
        <f>HYPERLINK("https://dl.dropboxusercontent.com/scl/fi/ijo2c9xokocjacatnnota/129034-f.jpg?rlkey=pe5m5i903xo123qjsscibsguq&amp;dl=0","Click to download Image")</f>
      </c>
      <c r="B201" s="0">
        <f>HYPERLINK("https://dl.dropboxusercontent.com/scl/fi/9r7rnmncpo3f4msmwvhq6/mens-bottoms-size-chartsmaker.jpg?rlkey=mu4buurzy2p4q47tf9ag24r7n&amp;dl=0","Click to download SizeChart")</f>
      </c>
      <c r="C201" s="0" t="inlineStr">
        <is>
          <t>Maker Men's Joggers</t>
        </is>
      </c>
      <c r="D201" s="0" t="inlineStr">
        <is>
          <t>'129034</t>
        </is>
      </c>
      <c r="E201" s="0" t="inlineStr">
        <is>
          <t>IOWA MAKER M BK:129034C-L</t>
        </is>
      </c>
      <c r="F201" s="0" t="inlineStr">
        <is>
          <t>'800129034036</t>
        </is>
      </c>
      <c r="G201" s="0" t="inlineStr">
        <is>
          <t>MENS</t>
        </is>
      </c>
      <c r="H201" s="0" t="inlineStr">
        <is>
          <t>L</t>
        </is>
      </c>
      <c r="I201" s="0">
        <v>39.99</v>
      </c>
      <c r="J201" s="0">
        <v>2</v>
      </c>
    </row>
    <row r="202" spans="1:10" customHeight="0">
      <c r="A202" s="0">
        <f>HYPERLINK("https://dl.dropboxusercontent.com/scl/fi/ijo2c9xokocjacatnnota/129034-f.jpg?rlkey=pe5m5i903xo123qjsscibsguq&amp;dl=0","Click to download Image")</f>
      </c>
      <c r="B202" s="0">
        <f>HYPERLINK("https://dl.dropboxusercontent.com/scl/fi/9r7rnmncpo3f4msmwvhq6/mens-bottoms-size-chartsmaker.jpg?rlkey=mu4buurzy2p4q47tf9ag24r7n&amp;dl=0","Click to download SizeChart")</f>
      </c>
      <c r="C202" s="0" t="inlineStr">
        <is>
          <t>Maker Men's Joggers</t>
        </is>
      </c>
      <c r="D202" s="0" t="inlineStr">
        <is>
          <t>'129034</t>
        </is>
      </c>
      <c r="E202" s="0" t="inlineStr">
        <is>
          <t>IOWA MAKER M BK:129034D-XL</t>
        </is>
      </c>
      <c r="F202" s="0" t="inlineStr">
        <is>
          <t>'800129034043</t>
        </is>
      </c>
      <c r="G202" s="0" t="inlineStr">
        <is>
          <t>MENS</t>
        </is>
      </c>
      <c r="H202" s="0" t="inlineStr">
        <is>
          <t>XL</t>
        </is>
      </c>
      <c r="I202" s="0">
        <v>39.99</v>
      </c>
      <c r="J202" s="0">
        <v>1</v>
      </c>
    </row>
    <row r="203" spans="1:10" customHeight="0">
      <c r="A203" s="0">
        <f>HYPERLINK("https://dl.dropboxusercontent.com/scl/fi/ijo2c9xokocjacatnnota/129034-f.jpg?rlkey=pe5m5i903xo123qjsscibsguq&amp;dl=0","Click to download Image")</f>
      </c>
      <c r="B203" s="0">
        <f>HYPERLINK("https://dl.dropboxusercontent.com/scl/fi/9r7rnmncpo3f4msmwvhq6/mens-bottoms-size-chartsmaker.jpg?rlkey=mu4buurzy2p4q47tf9ag24r7n&amp;dl=0","Click to download SizeChart")</f>
      </c>
      <c r="C203" s="0" t="inlineStr">
        <is>
          <t>Maker Men's Joggers</t>
        </is>
      </c>
      <c r="D203" s="0" t="inlineStr">
        <is>
          <t>'129034</t>
        </is>
      </c>
      <c r="E203" s="0" t="inlineStr">
        <is>
          <t>IOWA MAKER M BK:129034E-2XL</t>
        </is>
      </c>
      <c r="F203" s="0" t="inlineStr">
        <is>
          <t>'800129034050</t>
        </is>
      </c>
      <c r="G203" s="0" t="inlineStr">
        <is>
          <t>MENS</t>
        </is>
      </c>
      <c r="H203" s="0" t="inlineStr">
        <is>
          <t>2XL</t>
        </is>
      </c>
      <c r="I203" s="0">
        <v>41.99</v>
      </c>
      <c r="J203" s="0">
        <v>8</v>
      </c>
    </row>
    <row r="204" spans="1:10" customHeight="0">
      <c r="A204" s="0">
        <f>HYPERLINK("https://dl.dropboxusercontent.com/scl/fi/ijo2c9xokocjacatnnota/129034-f.jpg?rlkey=pe5m5i903xo123qjsscibsguq&amp;dl=0","Click to download Image")</f>
      </c>
      <c r="B204" s="0">
        <f>HYPERLINK("https://dl.dropboxusercontent.com/scl/fi/9r7rnmncpo3f4msmwvhq6/mens-bottoms-size-chartsmaker.jpg?rlkey=mu4buurzy2p4q47tf9ag24r7n&amp;dl=0","Click to download SizeChart")</f>
      </c>
      <c r="C204" s="0" t="inlineStr">
        <is>
          <t>Maker Men's Joggers</t>
        </is>
      </c>
      <c r="D204" s="0" t="inlineStr">
        <is>
          <t>'129034</t>
        </is>
      </c>
      <c r="E204" s="0" t="inlineStr">
        <is>
          <t>IOWA MAKER M BK:129034F-3XL</t>
        </is>
      </c>
      <c r="F204" s="0" t="inlineStr">
        <is>
          <t>'800129034067</t>
        </is>
      </c>
      <c r="G204" s="0" t="inlineStr">
        <is>
          <t>MENS</t>
        </is>
      </c>
      <c r="H204" s="0" t="inlineStr">
        <is>
          <t>3XL</t>
        </is>
      </c>
      <c r="I204" s="0">
        <v>41.99</v>
      </c>
      <c r="J204" s="0">
        <v>3</v>
      </c>
    </row>
    <row r="205" spans="1:10" customHeight="0">
      <c r="A205" s="0">
        <f>HYPERLINK("https://dl.dropboxusercontent.com/scl/fi/ijo2c9xokocjacatnnota/129034-f.jpg?rlkey=pe5m5i903xo123qjsscibsguq&amp;dl=0","Click to download Image")</f>
      </c>
      <c r="B205" s="0">
        <f>HYPERLINK("https://dl.dropboxusercontent.com/scl/fi/9r7rnmncpo3f4msmwvhq6/mens-bottoms-size-chartsmaker.jpg?rlkey=mu4buurzy2p4q47tf9ag24r7n&amp;dl=0","Click to download SizeChart")</f>
      </c>
      <c r="C205" s="0" t="inlineStr">
        <is>
          <t>Maker Men's Joggers</t>
        </is>
      </c>
      <c r="D205" s="0" t="inlineStr">
        <is>
          <t>'129034</t>
        </is>
      </c>
      <c r="E205" s="0" t="inlineStr">
        <is>
          <t>IOWA MAKER M BK 12 PK:129034Z-12PK</t>
        </is>
      </c>
      <c r="F205" s="0" t="inlineStr">
        <is>
          <t>'800129034999</t>
        </is>
      </c>
      <c r="G205" s="0" t="inlineStr">
        <is>
          <t>MENS</t>
        </is>
      </c>
      <c r="H205" s="0" t="inlineStr">
        <is>
          <t>12 PACK</t>
        </is>
      </c>
      <c r="I205" s="0">
        <v>390</v>
      </c>
      <c r="J205" s="0">
        <v>0</v>
      </c>
    </row>
    <row r="206" spans="1:10" customHeight="0">
      <c r="A206" s="0">
        <f>HYPERLINK("https://dl.dropboxusercontent.com/scl/fi/6d8sp415ej1zk4jq3bo13/129043-f.jpg?rlkey=oacrwtl4w6z3t0xt840qpjl16&amp;dl=0","Click to download Image")</f>
      </c>
      <c r="B206" s="0">
        <f>HYPERLINK("https://dl.dropboxusercontent.com/scl/fi/9r7rnmncpo3f4msmwvhq6/mens-bottoms-size-chartsmaker.jpg?rlkey=mu4buurzy2p4q47tf9ag24r7n&amp;dl=0","Click to download SizeChart")</f>
      </c>
      <c r="C206" s="0" t="inlineStr">
        <is>
          <t>Maker Men's Joggers</t>
        </is>
      </c>
      <c r="D206" s="0" t="inlineStr">
        <is>
          <t>'129043</t>
        </is>
      </c>
      <c r="E206" s="0" t="inlineStr">
        <is>
          <t>DRK MAKER M BK:129043A-S</t>
        </is>
      </c>
      <c r="F206" s="0" t="inlineStr">
        <is>
          <t>'817129043012</t>
        </is>
      </c>
      <c r="G206" s="0" t="inlineStr">
        <is>
          <t>MENS</t>
        </is>
      </c>
      <c r="H206" s="0" t="inlineStr">
        <is>
          <t>S</t>
        </is>
      </c>
      <c r="I206" s="0">
        <v>39.99</v>
      </c>
      <c r="J206" s="0">
        <v>0</v>
      </c>
    </row>
    <row r="207" spans="1:10" customHeight="0">
      <c r="A207" s="0">
        <f>HYPERLINK("https://dl.dropboxusercontent.com/scl/fi/6d8sp415ej1zk4jq3bo13/129043-f.jpg?rlkey=oacrwtl4w6z3t0xt840qpjl16&amp;dl=0","Click to download Image")</f>
      </c>
      <c r="B207" s="0">
        <f>HYPERLINK("https://dl.dropboxusercontent.com/scl/fi/9r7rnmncpo3f4msmwvhq6/mens-bottoms-size-chartsmaker.jpg?rlkey=mu4buurzy2p4q47tf9ag24r7n&amp;dl=0","Click to download SizeChart")</f>
      </c>
      <c r="C207" s="0" t="inlineStr">
        <is>
          <t>Maker Men's Joggers</t>
        </is>
      </c>
      <c r="D207" s="0" t="inlineStr">
        <is>
          <t>'129043</t>
        </is>
      </c>
      <c r="E207" s="0" t="inlineStr">
        <is>
          <t>DRK MAKER M BK:129043B-M</t>
        </is>
      </c>
      <c r="F207" s="0" t="inlineStr">
        <is>
          <t>'817129043029</t>
        </is>
      </c>
      <c r="G207" s="0" t="inlineStr">
        <is>
          <t>MENS</t>
        </is>
      </c>
      <c r="H207" s="0" t="inlineStr">
        <is>
          <t>M</t>
        </is>
      </c>
      <c r="I207" s="0">
        <v>39.99</v>
      </c>
      <c r="J207" s="0">
        <v>0</v>
      </c>
    </row>
    <row r="208" spans="1:10" customHeight="0">
      <c r="A208" s="0">
        <f>HYPERLINK("https://dl.dropboxusercontent.com/scl/fi/6d8sp415ej1zk4jq3bo13/129043-f.jpg?rlkey=oacrwtl4w6z3t0xt840qpjl16&amp;dl=0","Click to download Image")</f>
      </c>
      <c r="B208" s="0">
        <f>HYPERLINK("https://dl.dropboxusercontent.com/scl/fi/9r7rnmncpo3f4msmwvhq6/mens-bottoms-size-chartsmaker.jpg?rlkey=mu4buurzy2p4q47tf9ag24r7n&amp;dl=0","Click to download SizeChart")</f>
      </c>
      <c r="C208" s="0" t="inlineStr">
        <is>
          <t>Maker Men's Joggers</t>
        </is>
      </c>
      <c r="D208" s="0" t="inlineStr">
        <is>
          <t>'129043</t>
        </is>
      </c>
      <c r="E208" s="0" t="inlineStr">
        <is>
          <t>DRK MAKER M BK:129043C-L</t>
        </is>
      </c>
      <c r="F208" s="0" t="inlineStr">
        <is>
          <t>'817129043036</t>
        </is>
      </c>
      <c r="G208" s="0" t="inlineStr">
        <is>
          <t>MENS</t>
        </is>
      </c>
      <c r="H208" s="0" t="inlineStr">
        <is>
          <t>L</t>
        </is>
      </c>
      <c r="I208" s="0">
        <v>39.99</v>
      </c>
      <c r="J208" s="0">
        <v>0</v>
      </c>
    </row>
    <row r="209" spans="1:10" customHeight="0">
      <c r="A209" s="0">
        <f>HYPERLINK("https://dl.dropboxusercontent.com/scl/fi/6d8sp415ej1zk4jq3bo13/129043-f.jpg?rlkey=oacrwtl4w6z3t0xt840qpjl16&amp;dl=0","Click to download Image")</f>
      </c>
      <c r="B209" s="0">
        <f>HYPERLINK("https://dl.dropboxusercontent.com/scl/fi/9r7rnmncpo3f4msmwvhq6/mens-bottoms-size-chartsmaker.jpg?rlkey=mu4buurzy2p4q47tf9ag24r7n&amp;dl=0","Click to download SizeChart")</f>
      </c>
      <c r="C209" s="0" t="inlineStr">
        <is>
          <t>Maker Men's Joggers</t>
        </is>
      </c>
      <c r="D209" s="0" t="inlineStr">
        <is>
          <t>'129043</t>
        </is>
      </c>
      <c r="E209" s="0" t="inlineStr">
        <is>
          <t>DRK MAKER M BK:129043D-XL</t>
        </is>
      </c>
      <c r="F209" s="0" t="inlineStr">
        <is>
          <t>'817129043043</t>
        </is>
      </c>
      <c r="G209" s="0" t="inlineStr">
        <is>
          <t>MENS</t>
        </is>
      </c>
      <c r="H209" s="0" t="inlineStr">
        <is>
          <t>XL</t>
        </is>
      </c>
      <c r="I209" s="0">
        <v>39.99</v>
      </c>
      <c r="J209" s="0">
        <v>0</v>
      </c>
    </row>
    <row r="210" spans="1:10" customHeight="0">
      <c r="A210" s="0">
        <f>HYPERLINK("https://dl.dropboxusercontent.com/scl/fi/6d8sp415ej1zk4jq3bo13/129043-f.jpg?rlkey=oacrwtl4w6z3t0xt840qpjl16&amp;dl=0","Click to download Image")</f>
      </c>
      <c r="B210" s="0">
        <f>HYPERLINK("https://dl.dropboxusercontent.com/scl/fi/9r7rnmncpo3f4msmwvhq6/mens-bottoms-size-chartsmaker.jpg?rlkey=mu4buurzy2p4q47tf9ag24r7n&amp;dl=0","Click to download SizeChart")</f>
      </c>
      <c r="C210" s="0" t="inlineStr">
        <is>
          <t>Maker Men's Joggers</t>
        </is>
      </c>
      <c r="D210" s="0" t="inlineStr">
        <is>
          <t>'129043</t>
        </is>
      </c>
      <c r="E210" s="0" t="inlineStr">
        <is>
          <t>DRK MAKER M BK:129043E-2XL</t>
        </is>
      </c>
      <c r="F210" s="0" t="inlineStr">
        <is>
          <t>'817129043050</t>
        </is>
      </c>
      <c r="G210" s="0" t="inlineStr">
        <is>
          <t>MENS</t>
        </is>
      </c>
      <c r="H210" s="0" t="inlineStr">
        <is>
          <t>2XL</t>
        </is>
      </c>
      <c r="I210" s="0">
        <v>41.99</v>
      </c>
      <c r="J210" s="0">
        <v>8</v>
      </c>
    </row>
    <row r="211" spans="1:10" customHeight="0">
      <c r="A211" s="0">
        <f>HYPERLINK("https://dl.dropboxusercontent.com/scl/fi/6d8sp415ej1zk4jq3bo13/129043-f.jpg?rlkey=oacrwtl4w6z3t0xt840qpjl16&amp;dl=0","Click to download Image")</f>
      </c>
      <c r="B211" s="0">
        <f>HYPERLINK("https://dl.dropboxusercontent.com/scl/fi/9r7rnmncpo3f4msmwvhq6/mens-bottoms-size-chartsmaker.jpg?rlkey=mu4buurzy2p4q47tf9ag24r7n&amp;dl=0","Click to download SizeChart")</f>
      </c>
      <c r="C211" s="0" t="inlineStr">
        <is>
          <t>Maker Men's Joggers</t>
        </is>
      </c>
      <c r="D211" s="0" t="inlineStr">
        <is>
          <t>'129043</t>
        </is>
      </c>
      <c r="E211" s="0" t="inlineStr">
        <is>
          <t>DRK MAKER M BK:129043F-3XL</t>
        </is>
      </c>
      <c r="F211" s="0" t="inlineStr">
        <is>
          <t>'817129043067</t>
        </is>
      </c>
      <c r="G211" s="0" t="inlineStr">
        <is>
          <t>MENS</t>
        </is>
      </c>
      <c r="H211" s="0" t="inlineStr">
        <is>
          <t>3XL</t>
        </is>
      </c>
      <c r="I211" s="0">
        <v>41.99</v>
      </c>
      <c r="J211" s="0">
        <v>3</v>
      </c>
    </row>
    <row r="212" spans="1:10" customHeight="0">
      <c r="A212" s="0">
        <f>HYPERLINK("https://dl.dropboxusercontent.com/scl/fi/6d8sp415ej1zk4jq3bo13/129043-f.jpg?rlkey=oacrwtl4w6z3t0xt840qpjl16&amp;dl=0","Click to download Image")</f>
      </c>
      <c r="B212" s="0">
        <f>HYPERLINK("https://dl.dropboxusercontent.com/scl/fi/9r7rnmncpo3f4msmwvhq6/mens-bottoms-size-chartsmaker.jpg?rlkey=mu4buurzy2p4q47tf9ag24r7n&amp;dl=0","Click to download SizeChart")</f>
      </c>
      <c r="C212" s="0" t="inlineStr">
        <is>
          <t>Maker Men's Joggers</t>
        </is>
      </c>
      <c r="D212" s="0" t="inlineStr">
        <is>
          <t>'129043</t>
        </is>
      </c>
      <c r="E212" s="0" t="inlineStr">
        <is>
          <t>DRK MAKER M BK 12PK:129043Z-12PK</t>
        </is>
      </c>
      <c r="F212" s="0" t="inlineStr">
        <is>
          <t>'817129043999</t>
        </is>
      </c>
      <c r="G212" s="0" t="inlineStr">
        <is>
          <t>MENS</t>
        </is>
      </c>
      <c r="H212" s="0" t="inlineStr">
        <is>
          <t>12 PACK</t>
        </is>
      </c>
      <c r="I212" s="0">
        <v>390</v>
      </c>
      <c r="J212" s="0">
        <v>0</v>
      </c>
    </row>
    <row r="213" spans="1:10" customHeight="0">
      <c r="A213" s="0">
        <f>HYPERLINK("https://dl.dropboxusercontent.com/scl/fi/eerl0fon2w81gk8x37trx/128941-af.jpg?rlkey=0hti6jhzakx9cw5szvuvpoxyo&amp;dl=0","Click to download Image")</f>
      </c>
      <c r="B213" s="0">
        <f>HYPERLINK("https://dl.dropboxusercontent.com/scl/fi/7vi9n9iwwznsus1zzipkc/womens-size-chartsnicole.jpg?rlkey=eww3iiwpj8br1ulb5wsdniaib&amp;dl=0","Click to download SizeChart")</f>
      </c>
      <c r="C213" s="0" t="inlineStr">
        <is>
          <t>Nicole Women's Shorts</t>
        </is>
      </c>
      <c r="D213" s="0" t="inlineStr">
        <is>
          <t>'128941</t>
        </is>
      </c>
      <c r="E213" s="0" t="inlineStr">
        <is>
          <t>ISU NICOLE W BK:128941A-S</t>
        </is>
      </c>
      <c r="F213" s="0" t="inlineStr">
        <is>
          <t>'801128941011</t>
        </is>
      </c>
      <c r="G213" s="0" t="inlineStr">
        <is>
          <t>WOMENS</t>
        </is>
      </c>
      <c r="H213" s="0" t="inlineStr">
        <is>
          <t>S</t>
        </is>
      </c>
      <c r="I213" s="0">
        <v>29.99</v>
      </c>
      <c r="J213" s="0">
        <v>0</v>
      </c>
    </row>
    <row r="214" spans="1:10" customHeight="0">
      <c r="A214" s="0">
        <f>HYPERLINK("https://dl.dropboxusercontent.com/scl/fi/eerl0fon2w81gk8x37trx/128941-af.jpg?rlkey=0hti6jhzakx9cw5szvuvpoxyo&amp;dl=0","Click to download Image")</f>
      </c>
      <c r="B214" s="0">
        <f>HYPERLINK("https://dl.dropboxusercontent.com/scl/fi/7vi9n9iwwznsus1zzipkc/womens-size-chartsnicole.jpg?rlkey=eww3iiwpj8br1ulb5wsdniaib&amp;dl=0","Click to download SizeChart")</f>
      </c>
      <c r="C214" s="0" t="inlineStr">
        <is>
          <t>Nicole Women's Shorts</t>
        </is>
      </c>
      <c r="D214" s="0" t="inlineStr">
        <is>
          <t>'128941</t>
        </is>
      </c>
      <c r="E214" s="0" t="inlineStr">
        <is>
          <t>ISU NICOLE W BK:128941B-M</t>
        </is>
      </c>
      <c r="F214" s="0" t="inlineStr">
        <is>
          <t>'801128941028</t>
        </is>
      </c>
      <c r="G214" s="0" t="inlineStr">
        <is>
          <t>WOMENS</t>
        </is>
      </c>
      <c r="H214" s="0" t="inlineStr">
        <is>
          <t>M</t>
        </is>
      </c>
      <c r="I214" s="0">
        <v>29.99</v>
      </c>
      <c r="J214" s="0">
        <v>0</v>
      </c>
    </row>
    <row r="215" spans="1:10" customHeight="0">
      <c r="A215" s="0">
        <f>HYPERLINK("https://dl.dropboxusercontent.com/scl/fi/eerl0fon2w81gk8x37trx/128941-af.jpg?rlkey=0hti6jhzakx9cw5szvuvpoxyo&amp;dl=0","Click to download Image")</f>
      </c>
      <c r="B215" s="0">
        <f>HYPERLINK("https://dl.dropboxusercontent.com/scl/fi/7vi9n9iwwznsus1zzipkc/womens-size-chartsnicole.jpg?rlkey=eww3iiwpj8br1ulb5wsdniaib&amp;dl=0","Click to download SizeChart")</f>
      </c>
      <c r="C215" s="0" t="inlineStr">
        <is>
          <t>Nicole Women's Shorts</t>
        </is>
      </c>
      <c r="D215" s="0" t="inlineStr">
        <is>
          <t>'128941</t>
        </is>
      </c>
      <c r="E215" s="0" t="inlineStr">
        <is>
          <t>ISU NICOLE W BK:128941C-L</t>
        </is>
      </c>
      <c r="F215" s="0" t="inlineStr">
        <is>
          <t>'801128941035</t>
        </is>
      </c>
      <c r="G215" s="0" t="inlineStr">
        <is>
          <t>WOMENS</t>
        </is>
      </c>
      <c r="H215" s="0" t="inlineStr">
        <is>
          <t>L</t>
        </is>
      </c>
      <c r="I215" s="0">
        <v>29.99</v>
      </c>
      <c r="J215" s="0">
        <v>0</v>
      </c>
    </row>
    <row r="216" spans="1:10" customHeight="0">
      <c r="A216" s="0">
        <f>HYPERLINK("https://dl.dropboxusercontent.com/scl/fi/eerl0fon2w81gk8x37trx/128941-af.jpg?rlkey=0hti6jhzakx9cw5szvuvpoxyo&amp;dl=0","Click to download Image")</f>
      </c>
      <c r="B216" s="0">
        <f>HYPERLINK("https://dl.dropboxusercontent.com/scl/fi/7vi9n9iwwznsus1zzipkc/womens-size-chartsnicole.jpg?rlkey=eww3iiwpj8br1ulb5wsdniaib&amp;dl=0","Click to download SizeChart")</f>
      </c>
      <c r="C216" s="0" t="inlineStr">
        <is>
          <t>Nicole Women's Shorts</t>
        </is>
      </c>
      <c r="D216" s="0" t="inlineStr">
        <is>
          <t>'128941</t>
        </is>
      </c>
      <c r="E216" s="0" t="inlineStr">
        <is>
          <t>ISU NICOLE W BK:128941D-XL</t>
        </is>
      </c>
      <c r="F216" s="0" t="inlineStr">
        <is>
          <t>'801128941042</t>
        </is>
      </c>
      <c r="G216" s="0" t="inlineStr">
        <is>
          <t>WOMENS</t>
        </is>
      </c>
      <c r="H216" s="0" t="inlineStr">
        <is>
          <t>XL</t>
        </is>
      </c>
      <c r="I216" s="0">
        <v>29.99</v>
      </c>
      <c r="J216" s="0">
        <v>0</v>
      </c>
    </row>
    <row r="217" spans="1:10" customHeight="0">
      <c r="A217" s="0">
        <f>HYPERLINK("https://dl.dropboxusercontent.com/scl/fi/eerl0fon2w81gk8x37trx/128941-af.jpg?rlkey=0hti6jhzakx9cw5szvuvpoxyo&amp;dl=0","Click to download Image")</f>
      </c>
      <c r="B217" s="0">
        <f>HYPERLINK("https://dl.dropboxusercontent.com/scl/fi/7vi9n9iwwznsus1zzipkc/womens-size-chartsnicole.jpg?rlkey=eww3iiwpj8br1ulb5wsdniaib&amp;dl=0","Click to download SizeChart")</f>
      </c>
      <c r="C217" s="0" t="inlineStr">
        <is>
          <t>Nicole Women's Shorts</t>
        </is>
      </c>
      <c r="D217" s="0" t="inlineStr">
        <is>
          <t>'128941</t>
        </is>
      </c>
      <c r="E217" s="0" t="inlineStr">
        <is>
          <t>ISU NICOLE W BK:128941E-2XL</t>
        </is>
      </c>
      <c r="F217" s="0" t="inlineStr">
        <is>
          <t>'801128941059</t>
        </is>
      </c>
      <c r="G217" s="0" t="inlineStr">
        <is>
          <t>WOMENS</t>
        </is>
      </c>
      <c r="H217" s="0" t="inlineStr">
        <is>
          <t>2XL</t>
        </is>
      </c>
      <c r="I217" s="0">
        <v>31.99</v>
      </c>
      <c r="J217" s="0">
        <v>0</v>
      </c>
    </row>
    <row r="218" spans="1:10" customHeight="0">
      <c r="A218" s="0">
        <f>HYPERLINK("https://dl.dropboxusercontent.com/scl/fi/eerl0fon2w81gk8x37trx/128941-af.jpg?rlkey=0hti6jhzakx9cw5szvuvpoxyo&amp;dl=0","Click to download Image")</f>
      </c>
      <c r="B218" s="0">
        <f>HYPERLINK("https://dl.dropboxusercontent.com/scl/fi/7vi9n9iwwznsus1zzipkc/womens-size-chartsnicole.jpg?rlkey=eww3iiwpj8br1ulb5wsdniaib&amp;dl=0","Click to download SizeChart")</f>
      </c>
      <c r="C218" s="0" t="inlineStr">
        <is>
          <t>Nicole Women's Shorts</t>
        </is>
      </c>
      <c r="D218" s="0" t="inlineStr">
        <is>
          <t>'128941</t>
        </is>
      </c>
      <c r="E218" s="0" t="inlineStr">
        <is>
          <t>ISU NICOLE W BK:128941F-3XL</t>
        </is>
      </c>
      <c r="F218" s="0" t="inlineStr">
        <is>
          <t>'801128941066</t>
        </is>
      </c>
      <c r="G218" s="0" t="inlineStr">
        <is>
          <t>WOMENS</t>
        </is>
      </c>
      <c r="H218" s="0" t="inlineStr">
        <is>
          <t>3XL</t>
        </is>
      </c>
      <c r="I218" s="0">
        <v>31.99</v>
      </c>
      <c r="J218" s="0">
        <v>3</v>
      </c>
    </row>
    <row r="219" spans="1:10" customHeight="0">
      <c r="A219" s="0">
        <f>HYPERLINK("https://dl.dropboxusercontent.com/scl/fi/eerl0fon2w81gk8x37trx/128941-af.jpg?rlkey=0hti6jhzakx9cw5szvuvpoxyo&amp;dl=0","Click to download Image")</f>
      </c>
      <c r="B219" s="0">
        <f>HYPERLINK("https://dl.dropboxusercontent.com/scl/fi/7vi9n9iwwznsus1zzipkc/womens-size-chartsnicole.jpg?rlkey=eww3iiwpj8br1ulb5wsdniaib&amp;dl=0","Click to download SizeChart")</f>
      </c>
      <c r="C219" s="0" t="inlineStr">
        <is>
          <t>Nicole Women's Shorts</t>
        </is>
      </c>
      <c r="D219" s="0" t="inlineStr">
        <is>
          <t>'128941</t>
        </is>
      </c>
      <c r="E219" s="0" t="inlineStr">
        <is>
          <t>ISU NICOLE W BK 12PK:128941Z-12PK</t>
        </is>
      </c>
      <c r="F219" s="0" t="inlineStr">
        <is>
          <t>'801128941998</t>
        </is>
      </c>
      <c r="G219" s="0" t="inlineStr">
        <is>
          <t>WOMENS</t>
        </is>
      </c>
      <c r="H219" s="0" t="inlineStr">
        <is>
          <t>12 PACK</t>
        </is>
      </c>
      <c r="I219" s="0">
        <v>288</v>
      </c>
      <c r="J219" s="0">
        <v>0</v>
      </c>
    </row>
    <row r="220" spans="1:10" customHeight="0">
      <c r="A220" s="0">
        <f>HYPERLINK("https://dl.dropboxusercontent.com/scl/fi/8du3f3sdqlguva61js7ld/f22-136bc.jpg?rlkey=f52dqa07str05q52q9etamgtf&amp;dl=0","Click to download Image")</f>
      </c>
      <c r="C220" s="0" t="inlineStr">
        <is>
          <t>Coe Infant Beanie</t>
        </is>
      </c>
      <c r="D220" s="0" t="inlineStr">
        <is>
          <t>'126763</t>
        </is>
      </c>
      <c r="E220" s="0" t="inlineStr">
        <is>
          <t>ISU COE I RE:126763</t>
        </is>
      </c>
      <c r="F220" s="0" t="inlineStr">
        <is>
          <t>'701126763014</t>
        </is>
      </c>
      <c r="G220" s="0" t="inlineStr">
        <is>
          <t>INFANT</t>
        </is>
      </c>
      <c r="I220" s="0">
        <v>29.99</v>
      </c>
      <c r="J220" s="0">
        <v>1</v>
      </c>
    </row>
    <row r="221" spans="1:10" customHeight="0">
      <c r="A221" s="0">
        <f>HYPERLINK("https://dl.dropboxusercontent.com/scl/fi/2n4s7h9s4ms4xgkktbaa5/f22-205bc.jpg?rlkey=48uldwlge5a705z7imzkyfhvs&amp;dl=0","Click to download Image")</f>
      </c>
      <c r="B221" s="0">
        <f>HYPERLINK("https://dl.dropboxusercontent.com/scl/fi/bjtsi7cfi45oy3xx2z427/womens-hoodie-and-sweatshirt-size-chartsrevel.jpg?rlkey=p7ghgry5zxk8cm6myh0n7mk10&amp;dl=0","Click to download SizeChart")</f>
      </c>
      <c r="C221" s="0" t="inlineStr">
        <is>
          <t>Revel Women's Hoodie</t>
        </is>
      </c>
      <c r="D221" s="0" t="inlineStr">
        <is>
          <t>'127017</t>
        </is>
      </c>
      <c r="E221" s="0" t="inlineStr">
        <is>
          <t>IND REVEL W LG:127017A-S</t>
        </is>
      </c>
      <c r="F221" s="0" t="inlineStr">
        <is>
          <t>'806127017040</t>
        </is>
      </c>
      <c r="G221" s="0" t="inlineStr">
        <is>
          <t>WOMENS</t>
        </is>
      </c>
      <c r="H221" s="0" t="inlineStr">
        <is>
          <t>S</t>
        </is>
      </c>
      <c r="I221" s="0">
        <v>59.99</v>
      </c>
      <c r="J221" s="0">
        <v>0</v>
      </c>
    </row>
    <row r="222" spans="1:10" customHeight="0">
      <c r="A222" s="0">
        <f>HYPERLINK("https://dl.dropboxusercontent.com/scl/fi/2n4s7h9s4ms4xgkktbaa5/f22-205bc.jpg?rlkey=48uldwlge5a705z7imzkyfhvs&amp;dl=0","Click to download Image")</f>
      </c>
      <c r="B222" s="0">
        <f>HYPERLINK("https://dl.dropboxusercontent.com/scl/fi/bjtsi7cfi45oy3xx2z427/womens-hoodie-and-sweatshirt-size-chartsrevel.jpg?rlkey=p7ghgry5zxk8cm6myh0n7mk10&amp;dl=0","Click to download SizeChart")</f>
      </c>
      <c r="C222" s="0" t="inlineStr">
        <is>
          <t>Revel Women's Hoodie</t>
        </is>
      </c>
      <c r="D222" s="0" t="inlineStr">
        <is>
          <t>'127017</t>
        </is>
      </c>
      <c r="E222" s="0" t="inlineStr">
        <is>
          <t>IND REVEL W LG:127017B-M</t>
        </is>
      </c>
      <c r="F222" s="0" t="inlineStr">
        <is>
          <t>'806127017057</t>
        </is>
      </c>
      <c r="G222" s="0" t="inlineStr">
        <is>
          <t>WOMENS</t>
        </is>
      </c>
      <c r="H222" s="0" t="inlineStr">
        <is>
          <t>M</t>
        </is>
      </c>
      <c r="I222" s="0">
        <v>59.99</v>
      </c>
      <c r="J222" s="0">
        <v>0</v>
      </c>
    </row>
    <row r="223" spans="1:10" customHeight="0">
      <c r="A223" s="0">
        <f>HYPERLINK("https://dl.dropboxusercontent.com/scl/fi/2n4s7h9s4ms4xgkktbaa5/f22-205bc.jpg?rlkey=48uldwlge5a705z7imzkyfhvs&amp;dl=0","Click to download Image")</f>
      </c>
      <c r="B223" s="0">
        <f>HYPERLINK("https://dl.dropboxusercontent.com/scl/fi/bjtsi7cfi45oy3xx2z427/womens-hoodie-and-sweatshirt-size-chartsrevel.jpg?rlkey=p7ghgry5zxk8cm6myh0n7mk10&amp;dl=0","Click to download SizeChart")</f>
      </c>
      <c r="C223" s="0" t="inlineStr">
        <is>
          <t>Revel Women's Hoodie</t>
        </is>
      </c>
      <c r="D223" s="0" t="inlineStr">
        <is>
          <t>'127017</t>
        </is>
      </c>
      <c r="E223" s="0" t="inlineStr">
        <is>
          <t>IND REVEL W LG:127017C-L</t>
        </is>
      </c>
      <c r="F223" s="0" t="inlineStr">
        <is>
          <t>'806127017064</t>
        </is>
      </c>
      <c r="G223" s="0" t="inlineStr">
        <is>
          <t>WOMENS</t>
        </is>
      </c>
      <c r="H223" s="0" t="inlineStr">
        <is>
          <t>L</t>
        </is>
      </c>
      <c r="I223" s="0">
        <v>59.99</v>
      </c>
      <c r="J223" s="0">
        <v>0</v>
      </c>
    </row>
    <row r="224" spans="1:10" customHeight="0">
      <c r="A224" s="0">
        <f>HYPERLINK("https://dl.dropboxusercontent.com/scl/fi/2n4s7h9s4ms4xgkktbaa5/f22-205bc.jpg?rlkey=48uldwlge5a705z7imzkyfhvs&amp;dl=0","Click to download Image")</f>
      </c>
      <c r="B224" s="0">
        <f>HYPERLINK("https://dl.dropboxusercontent.com/scl/fi/bjtsi7cfi45oy3xx2z427/womens-hoodie-and-sweatshirt-size-chartsrevel.jpg?rlkey=p7ghgry5zxk8cm6myh0n7mk10&amp;dl=0","Click to download SizeChart")</f>
      </c>
      <c r="C224" s="0" t="inlineStr">
        <is>
          <t>Revel Women's Hoodie</t>
        </is>
      </c>
      <c r="D224" s="0" t="inlineStr">
        <is>
          <t>'127017</t>
        </is>
      </c>
      <c r="E224" s="0" t="inlineStr">
        <is>
          <t>IND REVEL W LG:127017D-XL</t>
        </is>
      </c>
      <c r="F224" s="0" t="inlineStr">
        <is>
          <t>'806127017071</t>
        </is>
      </c>
      <c r="G224" s="0" t="inlineStr">
        <is>
          <t>WOMENS</t>
        </is>
      </c>
      <c r="H224" s="0" t="inlineStr">
        <is>
          <t>XL</t>
        </is>
      </c>
      <c r="I224" s="0">
        <v>59.99</v>
      </c>
      <c r="J224" s="0">
        <v>0</v>
      </c>
    </row>
    <row r="225" spans="1:10" customHeight="0">
      <c r="A225" s="0">
        <f>HYPERLINK("https://dl.dropboxusercontent.com/scl/fi/2n4s7h9s4ms4xgkktbaa5/f22-205bc.jpg?rlkey=48uldwlge5a705z7imzkyfhvs&amp;dl=0","Click to download Image")</f>
      </c>
      <c r="B225" s="0">
        <f>HYPERLINK("https://dl.dropboxusercontent.com/scl/fi/bjtsi7cfi45oy3xx2z427/womens-hoodie-and-sweatshirt-size-chartsrevel.jpg?rlkey=p7ghgry5zxk8cm6myh0n7mk10&amp;dl=0","Click to download SizeChart")</f>
      </c>
      <c r="C225" s="0" t="inlineStr">
        <is>
          <t>Revel Women's Hoodie</t>
        </is>
      </c>
      <c r="D225" s="0" t="inlineStr">
        <is>
          <t>'127017</t>
        </is>
      </c>
      <c r="E225" s="0" t="inlineStr">
        <is>
          <t>IND REVEL W LG:127017E-2XL</t>
        </is>
      </c>
      <c r="F225" s="0" t="inlineStr">
        <is>
          <t>'806127017088</t>
        </is>
      </c>
      <c r="G225" s="0" t="inlineStr">
        <is>
          <t>WOMENS</t>
        </is>
      </c>
      <c r="H225" s="0" t="inlineStr">
        <is>
          <t>2XL</t>
        </is>
      </c>
      <c r="I225" s="0">
        <v>59.99</v>
      </c>
      <c r="J225" s="0">
        <v>0</v>
      </c>
    </row>
    <row r="226" spans="1:10" customHeight="0">
      <c r="A226" s="0">
        <f>HYPERLINK("https://dl.dropboxusercontent.com/scl/fi/2n4s7h9s4ms4xgkktbaa5/f22-205bc.jpg?rlkey=48uldwlge5a705z7imzkyfhvs&amp;dl=0","Click to download Image")</f>
      </c>
      <c r="B226" s="0">
        <f>HYPERLINK("https://dl.dropboxusercontent.com/scl/fi/bjtsi7cfi45oy3xx2z427/womens-hoodie-and-sweatshirt-size-chartsrevel.jpg?rlkey=p7ghgry5zxk8cm6myh0n7mk10&amp;dl=0","Click to download SizeChart")</f>
      </c>
      <c r="C226" s="0" t="inlineStr">
        <is>
          <t>Revel Women's Hoodie</t>
        </is>
      </c>
      <c r="D226" s="0" t="inlineStr">
        <is>
          <t>'127017</t>
        </is>
      </c>
      <c r="E226" s="0" t="inlineStr">
        <is>
          <t>IND REVEL W LG:127017F-3XL</t>
        </is>
      </c>
      <c r="F226" s="0" t="inlineStr">
        <is>
          <t>'806127017095</t>
        </is>
      </c>
      <c r="G226" s="0" t="inlineStr">
        <is>
          <t>WOMENS</t>
        </is>
      </c>
      <c r="H226" s="0" t="inlineStr">
        <is>
          <t>3XL</t>
        </is>
      </c>
      <c r="I226" s="0">
        <v>59.99</v>
      </c>
      <c r="J226" s="0">
        <v>1</v>
      </c>
    </row>
    <row r="227" spans="1:10" customHeight="0">
      <c r="A227" s="0">
        <f>HYPERLINK("https://dl.dropboxusercontent.com/scl/fi/2n4s7h9s4ms4xgkktbaa5/f22-205bc.jpg?rlkey=48uldwlge5a705z7imzkyfhvs&amp;dl=0","Click to download Image")</f>
      </c>
      <c r="B227" s="0">
        <f>HYPERLINK("https://dl.dropboxusercontent.com/scl/fi/bjtsi7cfi45oy3xx2z427/womens-hoodie-and-sweatshirt-size-chartsrevel.jpg?rlkey=p7ghgry5zxk8cm6myh0n7mk10&amp;dl=0","Click to download SizeChart")</f>
      </c>
      <c r="C227" s="0" t="inlineStr">
        <is>
          <t>Revel Women's Hoodie</t>
        </is>
      </c>
      <c r="D227" s="0" t="inlineStr">
        <is>
          <t>'127017</t>
        </is>
      </c>
      <c r="E227" s="0" t="inlineStr">
        <is>
          <t>IND REVEL W LG 12PK:127017Z-12PK</t>
        </is>
      </c>
      <c r="F227" s="0" t="inlineStr">
        <is>
          <t>'806127017996</t>
        </is>
      </c>
      <c r="G227" s="0" t="inlineStr">
        <is>
          <t>WOMENS</t>
        </is>
      </c>
      <c r="H227" s="0" t="inlineStr">
        <is>
          <t>12 PACK</t>
        </is>
      </c>
      <c r="I227" s="0">
        <v>576</v>
      </c>
      <c r="J227" s="0">
        <v>0</v>
      </c>
    </row>
    <row r="228" spans="1:10" customHeight="0">
      <c r="A228" s="0">
        <f>HYPERLINK("https://dl.dropboxusercontent.com/scl/fi/0cvvdxiwrk7z5qpeozwe4/128929-f.jpg?rlkey=zuviatbk6jk7smeqcbkgcteek&amp;dl=0","Click to download Image")</f>
      </c>
      <c r="B228" s="0">
        <f>HYPERLINK("https://dl.dropboxusercontent.com/scl/fi/bjtsi7cfi45oy3xx2z427/womens-hoodie-and-sweatshirt-size-chartsrevel.jpg?rlkey=p7ghgry5zxk8cm6myh0n7mk10&amp;dl=0","Click to download SizeChart")</f>
      </c>
      <c r="C228" s="0" t="inlineStr">
        <is>
          <t>Revel Women's Hoodie</t>
        </is>
      </c>
      <c r="D228" s="0" t="inlineStr">
        <is>
          <t>'128929</t>
        </is>
      </c>
      <c r="E228" s="0" t="inlineStr">
        <is>
          <t>UNI REVEL W LG:128929A-S</t>
        </is>
      </c>
      <c r="F228" s="0" t="inlineStr">
        <is>
          <t>'802128929047</t>
        </is>
      </c>
      <c r="G228" s="0" t="inlineStr">
        <is>
          <t>WOMENS</t>
        </is>
      </c>
      <c r="H228" s="0" t="inlineStr">
        <is>
          <t>S</t>
        </is>
      </c>
      <c r="I228" s="0">
        <v>59.99</v>
      </c>
      <c r="J228" s="0">
        <v>0</v>
      </c>
    </row>
    <row r="229" spans="1:10" customHeight="0">
      <c r="A229" s="0">
        <f>HYPERLINK("https://dl.dropboxusercontent.com/scl/fi/0cvvdxiwrk7z5qpeozwe4/128929-f.jpg?rlkey=zuviatbk6jk7smeqcbkgcteek&amp;dl=0","Click to download Image")</f>
      </c>
      <c r="B229" s="0">
        <f>HYPERLINK("https://dl.dropboxusercontent.com/scl/fi/bjtsi7cfi45oy3xx2z427/womens-hoodie-and-sweatshirt-size-chartsrevel.jpg?rlkey=p7ghgry5zxk8cm6myh0n7mk10&amp;dl=0","Click to download SizeChart")</f>
      </c>
      <c r="C229" s="0" t="inlineStr">
        <is>
          <t>Revel Women's Hoodie</t>
        </is>
      </c>
      <c r="D229" s="0" t="inlineStr">
        <is>
          <t>'128929</t>
        </is>
      </c>
      <c r="E229" s="0" t="inlineStr">
        <is>
          <t>UNI REVEL W LG:128929B-M</t>
        </is>
      </c>
      <c r="F229" s="0" t="inlineStr">
        <is>
          <t>'802128929054</t>
        </is>
      </c>
      <c r="G229" s="0" t="inlineStr">
        <is>
          <t>WOMENS</t>
        </is>
      </c>
      <c r="H229" s="0" t="inlineStr">
        <is>
          <t>M</t>
        </is>
      </c>
      <c r="I229" s="0">
        <v>59.99</v>
      </c>
      <c r="J229" s="0">
        <v>0</v>
      </c>
    </row>
    <row r="230" spans="1:10" customHeight="0">
      <c r="A230" s="0">
        <f>HYPERLINK("https://dl.dropboxusercontent.com/scl/fi/0cvvdxiwrk7z5qpeozwe4/128929-f.jpg?rlkey=zuviatbk6jk7smeqcbkgcteek&amp;dl=0","Click to download Image")</f>
      </c>
      <c r="B230" s="0">
        <f>HYPERLINK("https://dl.dropboxusercontent.com/scl/fi/bjtsi7cfi45oy3xx2z427/womens-hoodie-and-sweatshirt-size-chartsrevel.jpg?rlkey=p7ghgry5zxk8cm6myh0n7mk10&amp;dl=0","Click to download SizeChart")</f>
      </c>
      <c r="C230" s="0" t="inlineStr">
        <is>
          <t>Revel Women's Hoodie</t>
        </is>
      </c>
      <c r="D230" s="0" t="inlineStr">
        <is>
          <t>'128929</t>
        </is>
      </c>
      <c r="E230" s="0" t="inlineStr">
        <is>
          <t>UNI REVEL W LG:128929C-L</t>
        </is>
      </c>
      <c r="F230" s="0" t="inlineStr">
        <is>
          <t>'802128929061</t>
        </is>
      </c>
      <c r="G230" s="0" t="inlineStr">
        <is>
          <t>WOMENS</t>
        </is>
      </c>
      <c r="H230" s="0" t="inlineStr">
        <is>
          <t>L</t>
        </is>
      </c>
      <c r="I230" s="0">
        <v>59.99</v>
      </c>
      <c r="J230" s="0">
        <v>0</v>
      </c>
    </row>
    <row r="231" spans="1:10" customHeight="0">
      <c r="A231" s="0">
        <f>HYPERLINK("https://dl.dropboxusercontent.com/scl/fi/0cvvdxiwrk7z5qpeozwe4/128929-f.jpg?rlkey=zuviatbk6jk7smeqcbkgcteek&amp;dl=0","Click to download Image")</f>
      </c>
      <c r="B231" s="0">
        <f>HYPERLINK("https://dl.dropboxusercontent.com/scl/fi/bjtsi7cfi45oy3xx2z427/womens-hoodie-and-sweatshirt-size-chartsrevel.jpg?rlkey=p7ghgry5zxk8cm6myh0n7mk10&amp;dl=0","Click to download SizeChart")</f>
      </c>
      <c r="C231" s="0" t="inlineStr">
        <is>
          <t>Revel Women's Hoodie</t>
        </is>
      </c>
      <c r="D231" s="0" t="inlineStr">
        <is>
          <t>'128929</t>
        </is>
      </c>
      <c r="E231" s="0" t="inlineStr">
        <is>
          <t>UNI REVEL W LG:128929D-XL</t>
        </is>
      </c>
      <c r="F231" s="0" t="inlineStr">
        <is>
          <t>'802128929078</t>
        </is>
      </c>
      <c r="G231" s="0" t="inlineStr">
        <is>
          <t>WOMENS</t>
        </is>
      </c>
      <c r="H231" s="0" t="inlineStr">
        <is>
          <t>XL</t>
        </is>
      </c>
      <c r="I231" s="0">
        <v>59.99</v>
      </c>
      <c r="J231" s="0">
        <v>0</v>
      </c>
    </row>
    <row r="232" spans="1:10" customHeight="0">
      <c r="A232" s="0">
        <f>HYPERLINK("https://dl.dropboxusercontent.com/scl/fi/0cvvdxiwrk7z5qpeozwe4/128929-f.jpg?rlkey=zuviatbk6jk7smeqcbkgcteek&amp;dl=0","Click to download Image")</f>
      </c>
      <c r="B232" s="0">
        <f>HYPERLINK("https://dl.dropboxusercontent.com/scl/fi/bjtsi7cfi45oy3xx2z427/womens-hoodie-and-sweatshirt-size-chartsrevel.jpg?rlkey=p7ghgry5zxk8cm6myh0n7mk10&amp;dl=0","Click to download SizeChart")</f>
      </c>
      <c r="C232" s="0" t="inlineStr">
        <is>
          <t>Revel Women's Hoodie</t>
        </is>
      </c>
      <c r="D232" s="0" t="inlineStr">
        <is>
          <t>'128929</t>
        </is>
      </c>
      <c r="E232" s="0" t="inlineStr">
        <is>
          <t>UNI REVEL W LG:128929E-2XL</t>
        </is>
      </c>
      <c r="F232" s="0" t="inlineStr">
        <is>
          <t>'802128929085</t>
        </is>
      </c>
      <c r="G232" s="0" t="inlineStr">
        <is>
          <t>WOMENS</t>
        </is>
      </c>
      <c r="H232" s="0" t="inlineStr">
        <is>
          <t>2XL</t>
        </is>
      </c>
      <c r="I232" s="0">
        <v>59.99</v>
      </c>
      <c r="J232" s="0">
        <v>0</v>
      </c>
    </row>
    <row r="233" spans="1:10" customHeight="0">
      <c r="A233" s="0">
        <f>HYPERLINK("https://dl.dropboxusercontent.com/scl/fi/0cvvdxiwrk7z5qpeozwe4/128929-f.jpg?rlkey=zuviatbk6jk7smeqcbkgcteek&amp;dl=0","Click to download Image")</f>
      </c>
      <c r="B233" s="0">
        <f>HYPERLINK("https://dl.dropboxusercontent.com/scl/fi/bjtsi7cfi45oy3xx2z427/womens-hoodie-and-sweatshirt-size-chartsrevel.jpg?rlkey=p7ghgry5zxk8cm6myh0n7mk10&amp;dl=0","Click to download SizeChart")</f>
      </c>
      <c r="C233" s="0" t="inlineStr">
        <is>
          <t>Revel Women's Hoodie</t>
        </is>
      </c>
      <c r="D233" s="0" t="inlineStr">
        <is>
          <t>'128929</t>
        </is>
      </c>
      <c r="E233" s="0" t="inlineStr">
        <is>
          <t>UNI REVEL W LG:128929F-3XL</t>
        </is>
      </c>
      <c r="F233" s="0" t="inlineStr">
        <is>
          <t>'802128929092</t>
        </is>
      </c>
      <c r="G233" s="0" t="inlineStr">
        <is>
          <t>WOMENS</t>
        </is>
      </c>
      <c r="H233" s="0" t="inlineStr">
        <is>
          <t>3XL</t>
        </is>
      </c>
      <c r="I233" s="0">
        <v>59.99</v>
      </c>
      <c r="J233" s="0">
        <v>1</v>
      </c>
    </row>
    <row r="234" spans="1:10" customHeight="0">
      <c r="A234" s="0">
        <f>HYPERLINK("https://dl.dropboxusercontent.com/scl/fi/0cvvdxiwrk7z5qpeozwe4/128929-f.jpg?rlkey=zuviatbk6jk7smeqcbkgcteek&amp;dl=0","Click to download Image")</f>
      </c>
      <c r="B234" s="0">
        <f>HYPERLINK("https://dl.dropboxusercontent.com/scl/fi/bjtsi7cfi45oy3xx2z427/womens-hoodie-and-sweatshirt-size-chartsrevel.jpg?rlkey=p7ghgry5zxk8cm6myh0n7mk10&amp;dl=0","Click to download SizeChart")</f>
      </c>
      <c r="C234" s="0" t="inlineStr">
        <is>
          <t>Revel Women's Hoodie</t>
        </is>
      </c>
      <c r="D234" s="0" t="inlineStr">
        <is>
          <t>'128929</t>
        </is>
      </c>
      <c r="E234" s="0" t="inlineStr">
        <is>
          <t>UNI REVEL W LG 12PK:128929Z-12PK</t>
        </is>
      </c>
      <c r="F234" s="0" t="inlineStr">
        <is>
          <t>'802128929993</t>
        </is>
      </c>
      <c r="G234" s="0" t="inlineStr">
        <is>
          <t>WOMENS</t>
        </is>
      </c>
      <c r="H234" s="0" t="inlineStr">
        <is>
          <t>12 PACK</t>
        </is>
      </c>
      <c r="I234" s="0">
        <v>576</v>
      </c>
      <c r="J234" s="0">
        <v>0</v>
      </c>
    </row>
    <row r="235" spans="1:10" customHeight="0">
      <c r="A235" s="0">
        <f>HYPERLINK("https://dl.dropboxusercontent.com/scl/fi/xiyajzpcer6nwgoy9i5ob/135693f40481.jpg?rlkey=jz039kvzpi8nbesoy8yd6svfe&amp;dl=0","Click to download Image")</f>
      </c>
      <c r="B235" s="0">
        <f>HYPERLINK("https://dl.dropboxusercontent.com/scl/fi/bjtsi7cfi45oy3xx2z427/womens-hoodie-and-sweatshirt-size-chartsrevel.jpg?rlkey=p7ghgry5zxk8cm6myh0n7mk10&amp;dl=0","Click to download SizeChart")</f>
      </c>
      <c r="C235" s="0" t="inlineStr">
        <is>
          <t>Revel Women's Hoodie</t>
        </is>
      </c>
      <c r="D235" s="0" t="inlineStr">
        <is>
          <t>'130750</t>
        </is>
      </c>
      <c r="E235" s="0" t="inlineStr">
        <is>
          <t>PUR REVEL W LG:130750A-S</t>
        </is>
      </c>
      <c r="F235" s="0" t="inlineStr">
        <is>
          <t>'804130750046</t>
        </is>
      </c>
      <c r="G235" s="0" t="inlineStr">
        <is>
          <t>WOMENS</t>
        </is>
      </c>
      <c r="H235" s="0" t="inlineStr">
        <is>
          <t>S</t>
        </is>
      </c>
      <c r="I235" s="0">
        <v>59.99</v>
      </c>
      <c r="J235" s="0">
        <v>0</v>
      </c>
    </row>
    <row r="236" spans="1:10" customHeight="0">
      <c r="A236" s="0">
        <f>HYPERLINK("https://dl.dropboxusercontent.com/scl/fi/xiyajzpcer6nwgoy9i5ob/135693f40481.jpg?rlkey=jz039kvzpi8nbesoy8yd6svfe&amp;dl=0","Click to download Image")</f>
      </c>
      <c r="B236" s="0">
        <f>HYPERLINK("https://dl.dropboxusercontent.com/scl/fi/bjtsi7cfi45oy3xx2z427/womens-hoodie-and-sweatshirt-size-chartsrevel.jpg?rlkey=p7ghgry5zxk8cm6myh0n7mk10&amp;dl=0","Click to download SizeChart")</f>
      </c>
      <c r="C236" s="0" t="inlineStr">
        <is>
          <t>Revel Women's Hoodie</t>
        </is>
      </c>
      <c r="D236" s="0" t="inlineStr">
        <is>
          <t>'130750</t>
        </is>
      </c>
      <c r="E236" s="0" t="inlineStr">
        <is>
          <t>PUR REVEL W LG:130750B-M</t>
        </is>
      </c>
      <c r="F236" s="0" t="inlineStr">
        <is>
          <t>'804130750053</t>
        </is>
      </c>
      <c r="G236" s="0" t="inlineStr">
        <is>
          <t>WOMENS</t>
        </is>
      </c>
      <c r="H236" s="0" t="inlineStr">
        <is>
          <t>M</t>
        </is>
      </c>
      <c r="I236" s="0">
        <v>59.99</v>
      </c>
      <c r="J236" s="0">
        <v>0</v>
      </c>
    </row>
    <row r="237" spans="1:10" customHeight="0">
      <c r="A237" s="0">
        <f>HYPERLINK("https://dl.dropboxusercontent.com/scl/fi/xiyajzpcer6nwgoy9i5ob/135693f40481.jpg?rlkey=jz039kvzpi8nbesoy8yd6svfe&amp;dl=0","Click to download Image")</f>
      </c>
      <c r="B237" s="0">
        <f>HYPERLINK("https://dl.dropboxusercontent.com/scl/fi/bjtsi7cfi45oy3xx2z427/womens-hoodie-and-sweatshirt-size-chartsrevel.jpg?rlkey=p7ghgry5zxk8cm6myh0n7mk10&amp;dl=0","Click to download SizeChart")</f>
      </c>
      <c r="C237" s="0" t="inlineStr">
        <is>
          <t>Revel Women's Hoodie</t>
        </is>
      </c>
      <c r="D237" s="0" t="inlineStr">
        <is>
          <t>'130750</t>
        </is>
      </c>
      <c r="E237" s="0" t="inlineStr">
        <is>
          <t>PUR REVEL W LG:130750C-L</t>
        </is>
      </c>
      <c r="F237" s="0" t="inlineStr">
        <is>
          <t>'804130750060</t>
        </is>
      </c>
      <c r="G237" s="0" t="inlineStr">
        <is>
          <t>WOMENS</t>
        </is>
      </c>
      <c r="H237" s="0" t="inlineStr">
        <is>
          <t>L</t>
        </is>
      </c>
      <c r="I237" s="0">
        <v>59.99</v>
      </c>
      <c r="J237" s="0">
        <v>0</v>
      </c>
    </row>
    <row r="238" spans="1:10" customHeight="0">
      <c r="A238" s="0">
        <f>HYPERLINK("https://dl.dropboxusercontent.com/scl/fi/xiyajzpcer6nwgoy9i5ob/135693f40481.jpg?rlkey=jz039kvzpi8nbesoy8yd6svfe&amp;dl=0","Click to download Image")</f>
      </c>
      <c r="B238" s="0">
        <f>HYPERLINK("https://dl.dropboxusercontent.com/scl/fi/bjtsi7cfi45oy3xx2z427/womens-hoodie-and-sweatshirt-size-chartsrevel.jpg?rlkey=p7ghgry5zxk8cm6myh0n7mk10&amp;dl=0","Click to download SizeChart")</f>
      </c>
      <c r="C238" s="0" t="inlineStr">
        <is>
          <t>Revel Women's Hoodie</t>
        </is>
      </c>
      <c r="D238" s="0" t="inlineStr">
        <is>
          <t>'130750</t>
        </is>
      </c>
      <c r="E238" s="0" t="inlineStr">
        <is>
          <t>PUR REVEL W LG:130750D-XL</t>
        </is>
      </c>
      <c r="F238" s="0" t="inlineStr">
        <is>
          <t>'804130750077</t>
        </is>
      </c>
      <c r="G238" s="0" t="inlineStr">
        <is>
          <t>WOMENS</t>
        </is>
      </c>
      <c r="H238" s="0" t="inlineStr">
        <is>
          <t>XL</t>
        </is>
      </c>
      <c r="I238" s="0">
        <v>59.99</v>
      </c>
      <c r="J238" s="0">
        <v>0</v>
      </c>
    </row>
    <row r="239" spans="1:10" customHeight="0">
      <c r="A239" s="0">
        <f>HYPERLINK("https://dl.dropboxusercontent.com/scl/fi/xiyajzpcer6nwgoy9i5ob/135693f40481.jpg?rlkey=jz039kvzpi8nbesoy8yd6svfe&amp;dl=0","Click to download Image")</f>
      </c>
      <c r="B239" s="0">
        <f>HYPERLINK("https://dl.dropboxusercontent.com/scl/fi/bjtsi7cfi45oy3xx2z427/womens-hoodie-and-sweatshirt-size-chartsrevel.jpg?rlkey=p7ghgry5zxk8cm6myh0n7mk10&amp;dl=0","Click to download SizeChart")</f>
      </c>
      <c r="C239" s="0" t="inlineStr">
        <is>
          <t>Revel Women's Hoodie</t>
        </is>
      </c>
      <c r="D239" s="0" t="inlineStr">
        <is>
          <t>'130750</t>
        </is>
      </c>
      <c r="E239" s="0" t="inlineStr">
        <is>
          <t>PUR REVEL W LG:130750E-2XL</t>
        </is>
      </c>
      <c r="F239" s="0" t="inlineStr">
        <is>
          <t>'804130750084</t>
        </is>
      </c>
      <c r="G239" s="0" t="inlineStr">
        <is>
          <t>WOMENS</t>
        </is>
      </c>
      <c r="H239" s="0" t="inlineStr">
        <is>
          <t>2XL</t>
        </is>
      </c>
      <c r="I239" s="0">
        <v>59.99</v>
      </c>
      <c r="J239" s="0">
        <v>0</v>
      </c>
    </row>
    <row r="240" spans="1:10" customHeight="0">
      <c r="A240" s="0">
        <f>HYPERLINK("https://dl.dropboxusercontent.com/scl/fi/xiyajzpcer6nwgoy9i5ob/135693f40481.jpg?rlkey=jz039kvzpi8nbesoy8yd6svfe&amp;dl=0","Click to download Image")</f>
      </c>
      <c r="B240" s="0">
        <f>HYPERLINK("https://dl.dropboxusercontent.com/scl/fi/bjtsi7cfi45oy3xx2z427/womens-hoodie-and-sweatshirt-size-chartsrevel.jpg?rlkey=p7ghgry5zxk8cm6myh0n7mk10&amp;dl=0","Click to download SizeChart")</f>
      </c>
      <c r="C240" s="0" t="inlineStr">
        <is>
          <t>Revel Women's Hoodie</t>
        </is>
      </c>
      <c r="D240" s="0" t="inlineStr">
        <is>
          <t>'130750</t>
        </is>
      </c>
      <c r="E240" s="0" t="inlineStr">
        <is>
          <t>PUR REVEL W LG:130750F-3XL</t>
        </is>
      </c>
      <c r="F240" s="0" t="inlineStr">
        <is>
          <t>'804130750091</t>
        </is>
      </c>
      <c r="G240" s="0" t="inlineStr">
        <is>
          <t>WOMENS</t>
        </is>
      </c>
      <c r="H240" s="0" t="inlineStr">
        <is>
          <t>3XL</t>
        </is>
      </c>
      <c r="I240" s="0">
        <v>59.99</v>
      </c>
      <c r="J240" s="0">
        <v>2</v>
      </c>
    </row>
    <row r="241" spans="1:10" customHeight="0">
      <c r="A241" s="0">
        <f>HYPERLINK("https://dl.dropboxusercontent.com/scl/fi/xiyajzpcer6nwgoy9i5ob/135693f40481.jpg?rlkey=jz039kvzpi8nbesoy8yd6svfe&amp;dl=0","Click to download Image")</f>
      </c>
      <c r="B241" s="0">
        <f>HYPERLINK("https://dl.dropboxusercontent.com/scl/fi/bjtsi7cfi45oy3xx2z427/womens-hoodie-and-sweatshirt-size-chartsrevel.jpg?rlkey=p7ghgry5zxk8cm6myh0n7mk10&amp;dl=0","Click to download SizeChart")</f>
      </c>
      <c r="C241" s="0" t="inlineStr">
        <is>
          <t>Revel Women's Hoodie</t>
        </is>
      </c>
      <c r="D241" s="0" t="inlineStr">
        <is>
          <t>'130750</t>
        </is>
      </c>
      <c r="E241" s="0" t="inlineStr">
        <is>
          <t>PUR REVEL W LG 12PK:130750Z-12PK</t>
        </is>
      </c>
      <c r="F241" s="0" t="inlineStr">
        <is>
          <t>'804130750992</t>
        </is>
      </c>
      <c r="G241" s="0" t="inlineStr">
        <is>
          <t>WOMENS</t>
        </is>
      </c>
      <c r="H241" s="0" t="inlineStr">
        <is>
          <t>12 PACK</t>
        </is>
      </c>
      <c r="I241" s="0">
        <v>576</v>
      </c>
      <c r="J241" s="0">
        <v>0</v>
      </c>
    </row>
    <row r="242" spans="1:10" customHeight="0">
      <c r="A242" s="0">
        <f>HYPERLINK("https://dl.dropboxusercontent.com/scl/fi/w16rgemlsfqswoliovgfq/f22-40bc.jpg?rlkey=xdcodwhn0i2ee7l2qtzb07smr&amp;dl=0","Click to download Image")</f>
      </c>
      <c r="C242" s="0" t="inlineStr">
        <is>
          <t>Rosalind Women's Cap</t>
        </is>
      </c>
      <c r="D242" s="0" t="inlineStr">
        <is>
          <t>'126581</t>
        </is>
      </c>
      <c r="E242" s="0" t="inlineStr">
        <is>
          <t>UNO ROSALI RD:126581</t>
        </is>
      </c>
      <c r="F242" s="0" t="inlineStr">
        <is>
          <t>'709126581010</t>
        </is>
      </c>
      <c r="G242" s="0" t="inlineStr">
        <is>
          <t>WOMENS</t>
        </is>
      </c>
      <c r="H242" s="0" t="inlineStr">
        <is>
          <t>WOMEN:56CM</t>
        </is>
      </c>
      <c r="I242" s="0">
        <v>24</v>
      </c>
      <c r="J242" s="0">
        <v>6</v>
      </c>
    </row>
    <row r="243" spans="1:10" customHeight="0">
      <c r="A243" s="0">
        <f>HYPERLINK("https://dl.dropboxusercontent.com/scl/fi/y1lyepo76g17o3cm64m8h/130997-af.jpg?rlkey=jp6bvwtw8n0sxdxpbac8nch51&amp;dl=0","Click to download Image")</f>
      </c>
      <c r="C243" s="0" t="inlineStr">
        <is>
          <t>Rosalind Women's Cap</t>
        </is>
      </c>
      <c r="D243" s="0" t="inlineStr">
        <is>
          <t>'130997</t>
        </is>
      </c>
      <c r="E243" s="0" t="inlineStr">
        <is>
          <t>IND ROSALI A CL:130997</t>
        </is>
      </c>
      <c r="F243" s="0" t="inlineStr">
        <is>
          <t>'706130997011</t>
        </is>
      </c>
      <c r="G243" s="0" t="inlineStr">
        <is>
          <t>WOMENS</t>
        </is>
      </c>
      <c r="H243" s="0" t="inlineStr">
        <is>
          <t>WOMEN:56CM</t>
        </is>
      </c>
      <c r="I243" s="0">
        <v>24</v>
      </c>
      <c r="J243" s="0">
        <v>10</v>
      </c>
    </row>
    <row r="244" spans="1:10" customHeight="0">
      <c r="A244" s="0">
        <f>HYPERLINK("https://dl.dropboxusercontent.com/scl/fi/7tisccivzpo1a4snpfxvq/129896-f.jpg?rlkey=hhc78gbsgfvhap7uw0dy6mxep&amp;dl=0","Click to download Image")</f>
      </c>
      <c r="C244" s="0" t="inlineStr">
        <is>
          <t>Rex Men's Long Sleeve</t>
        </is>
      </c>
      <c r="D244" s="0" t="inlineStr">
        <is>
          <t>'129896</t>
        </is>
      </c>
      <c r="E244" s="0" t="inlineStr">
        <is>
          <t>ISU REX M CL:129896A-S</t>
        </is>
      </c>
      <c r="F244" s="0" t="inlineStr">
        <is>
          <t>'801129896044</t>
        </is>
      </c>
      <c r="G244" s="0" t="inlineStr">
        <is>
          <t>MENS</t>
        </is>
      </c>
      <c r="H244" s="0" t="inlineStr">
        <is>
          <t>S</t>
        </is>
      </c>
      <c r="I244" s="0">
        <v>32.99</v>
      </c>
      <c r="J244" s="0">
        <v>2</v>
      </c>
    </row>
    <row r="245" spans="1:10" customHeight="0">
      <c r="A245" s="0">
        <f>HYPERLINK("https://dl.dropboxusercontent.com/scl/fi/7tisccivzpo1a4snpfxvq/129896-f.jpg?rlkey=hhc78gbsgfvhap7uw0dy6mxep&amp;dl=0","Click to download Image")</f>
      </c>
      <c r="C245" s="0" t="inlineStr">
        <is>
          <t>Rex Men's Long Sleeve</t>
        </is>
      </c>
      <c r="D245" s="0" t="inlineStr">
        <is>
          <t>'129896</t>
        </is>
      </c>
      <c r="E245" s="0" t="inlineStr">
        <is>
          <t>ISU REX M CL:129896B-M</t>
        </is>
      </c>
      <c r="F245" s="0" t="inlineStr">
        <is>
          <t>'801129896051</t>
        </is>
      </c>
      <c r="G245" s="0" t="inlineStr">
        <is>
          <t>MENS</t>
        </is>
      </c>
      <c r="H245" s="0" t="inlineStr">
        <is>
          <t>M</t>
        </is>
      </c>
      <c r="I245" s="0">
        <v>32.99</v>
      </c>
      <c r="J245" s="0">
        <v>0</v>
      </c>
    </row>
    <row r="246" spans="1:10" customHeight="0">
      <c r="A246" s="0">
        <f>HYPERLINK("https://dl.dropboxusercontent.com/scl/fi/7tisccivzpo1a4snpfxvq/129896-f.jpg?rlkey=hhc78gbsgfvhap7uw0dy6mxep&amp;dl=0","Click to download Image")</f>
      </c>
      <c r="C246" s="0" t="inlineStr">
        <is>
          <t>Rex Men's Long Sleeve</t>
        </is>
      </c>
      <c r="D246" s="0" t="inlineStr">
        <is>
          <t>'129896</t>
        </is>
      </c>
      <c r="E246" s="0" t="inlineStr">
        <is>
          <t>ISU REX M CL:129896C-L</t>
        </is>
      </c>
      <c r="F246" s="0" t="inlineStr">
        <is>
          <t>'801129896068</t>
        </is>
      </c>
      <c r="G246" s="0" t="inlineStr">
        <is>
          <t>MENS</t>
        </is>
      </c>
      <c r="H246" s="0" t="inlineStr">
        <is>
          <t>L</t>
        </is>
      </c>
      <c r="I246" s="0">
        <v>32.99</v>
      </c>
      <c r="J246" s="0">
        <v>0</v>
      </c>
    </row>
    <row r="247" spans="1:10" customHeight="0">
      <c r="A247" s="0">
        <f>HYPERLINK("https://dl.dropboxusercontent.com/scl/fi/7tisccivzpo1a4snpfxvq/129896-f.jpg?rlkey=hhc78gbsgfvhap7uw0dy6mxep&amp;dl=0","Click to download Image")</f>
      </c>
      <c r="C247" s="0" t="inlineStr">
        <is>
          <t>Rex Men's Long Sleeve</t>
        </is>
      </c>
      <c r="D247" s="0" t="inlineStr">
        <is>
          <t>'129896</t>
        </is>
      </c>
      <c r="E247" s="0" t="inlineStr">
        <is>
          <t>ISU REX M CL:129896D-XL</t>
        </is>
      </c>
      <c r="F247" s="0" t="inlineStr">
        <is>
          <t>'801129896075</t>
        </is>
      </c>
      <c r="G247" s="0" t="inlineStr">
        <is>
          <t>MENS</t>
        </is>
      </c>
      <c r="H247" s="0" t="inlineStr">
        <is>
          <t>XL</t>
        </is>
      </c>
      <c r="I247" s="0">
        <v>32.99</v>
      </c>
      <c r="J247" s="0">
        <v>0</v>
      </c>
    </row>
    <row r="248" spans="1:10" customHeight="0">
      <c r="A248" s="0">
        <f>HYPERLINK("https://dl.dropboxusercontent.com/scl/fi/7tisccivzpo1a4snpfxvq/129896-f.jpg?rlkey=hhc78gbsgfvhap7uw0dy6mxep&amp;dl=0","Click to download Image")</f>
      </c>
      <c r="C248" s="0" t="inlineStr">
        <is>
          <t>Rex Men's Long Sleeve</t>
        </is>
      </c>
      <c r="D248" s="0" t="inlineStr">
        <is>
          <t>'129896</t>
        </is>
      </c>
      <c r="E248" s="0" t="inlineStr">
        <is>
          <t>ISU REX M CL:129896E-2XL</t>
        </is>
      </c>
      <c r="F248" s="0" t="inlineStr">
        <is>
          <t>'801129896082</t>
        </is>
      </c>
      <c r="G248" s="0" t="inlineStr">
        <is>
          <t>MENS</t>
        </is>
      </c>
      <c r="H248" s="0" t="inlineStr">
        <is>
          <t>2XL</t>
        </is>
      </c>
      <c r="I248" s="0">
        <v>32.99</v>
      </c>
      <c r="J248" s="0">
        <v>0</v>
      </c>
    </row>
    <row r="249" spans="1:10" customHeight="0">
      <c r="A249" s="0">
        <f>HYPERLINK("https://dl.dropboxusercontent.com/scl/fi/7tisccivzpo1a4snpfxvq/129896-f.jpg?rlkey=hhc78gbsgfvhap7uw0dy6mxep&amp;dl=0","Click to download Image")</f>
      </c>
      <c r="C249" s="0" t="inlineStr">
        <is>
          <t>Rex Men's Long Sleeve</t>
        </is>
      </c>
      <c r="D249" s="0" t="inlineStr">
        <is>
          <t>'129896</t>
        </is>
      </c>
      <c r="E249" s="0" t="inlineStr">
        <is>
          <t>ISU REX M CL:129896F-3XL</t>
        </is>
      </c>
      <c r="F249" s="0" t="inlineStr">
        <is>
          <t>'801129896099</t>
        </is>
      </c>
      <c r="G249" s="0" t="inlineStr">
        <is>
          <t>MENS</t>
        </is>
      </c>
      <c r="H249" s="0" t="inlineStr">
        <is>
          <t>3XL</t>
        </is>
      </c>
      <c r="I249" s="0">
        <v>32.99</v>
      </c>
      <c r="J249" s="0">
        <v>0</v>
      </c>
    </row>
    <row r="250" spans="1:10" customHeight="0">
      <c r="A250" s="0">
        <f>HYPERLINK("https://dl.dropboxusercontent.com/scl/fi/7tisccivzpo1a4snpfxvq/129896-f.jpg?rlkey=hhc78gbsgfvhap7uw0dy6mxep&amp;dl=0","Click to download Image")</f>
      </c>
      <c r="C250" s="0" t="inlineStr">
        <is>
          <t>Rex Men's Long Sleeve</t>
        </is>
      </c>
      <c r="D250" s="0" t="inlineStr">
        <is>
          <t>'129896</t>
        </is>
      </c>
      <c r="E250" s="0" t="inlineStr">
        <is>
          <t>ISU REX M CL 12PK:129896Z-12PK</t>
        </is>
      </c>
      <c r="F250" s="0" t="inlineStr">
        <is>
          <t>'801129896990</t>
        </is>
      </c>
      <c r="G250" s="0" t="inlineStr">
        <is>
          <t>MENS</t>
        </is>
      </c>
      <c r="H250" s="0" t="inlineStr">
        <is>
          <t>12 PACK</t>
        </is>
      </c>
      <c r="I250" s="0">
        <v>294</v>
      </c>
      <c r="J250" s="0">
        <v>0</v>
      </c>
    </row>
    <row r="251" spans="1:10" customHeight="0">
      <c r="A251" s="0">
        <f>HYPERLINK("https://dl.dropboxusercontent.com/scl/fi/5ty773i7t2h5qg3s4gzx7/129858-flatf.jpg?rlkey=lxn5t355rvfqqst89956g8t4d&amp;dl=0","Click to download Image")</f>
      </c>
      <c r="C251" s="0" t="inlineStr">
        <is>
          <t>Ocean Youth Beanie</t>
        </is>
      </c>
      <c r="D251" s="0" t="inlineStr">
        <is>
          <t>'129854</t>
        </is>
      </c>
      <c r="E251" s="0" t="inlineStr">
        <is>
          <t>ISU OCEAN Y GY:129854</t>
        </is>
      </c>
      <c r="F251" s="0" t="inlineStr">
        <is>
          <t>'701129854016</t>
        </is>
      </c>
      <c r="G251" s="0" t="inlineStr">
        <is>
          <t>YOUTH</t>
        </is>
      </c>
      <c r="I251" s="0">
        <v>29.99</v>
      </c>
      <c r="J251" s="0">
        <v>6</v>
      </c>
    </row>
    <row r="252" spans="1:10" customHeight="0">
      <c r="A252" s="0">
        <f>HYPERLINK("https://dl.dropboxusercontent.com/scl/fi/9bxzs5txy673onxdguwe8/monty-129952-f.jpg?rlkey=9wxg7im5tdjmu4503pytzkrex&amp;dl=0","Click to download Image")</f>
      </c>
      <c r="C252" s="0" t="inlineStr">
        <is>
          <t>Monty Men's Polo</t>
        </is>
      </c>
      <c r="D252" s="0" t="inlineStr">
        <is>
          <t>'129952</t>
        </is>
      </c>
      <c r="E252" s="0" t="inlineStr">
        <is>
          <t>IOWA MONTY M BK:129952A-S</t>
        </is>
      </c>
      <c r="F252" s="0" t="inlineStr">
        <is>
          <t>'800129952040</t>
        </is>
      </c>
      <c r="G252" s="0" t="inlineStr">
        <is>
          <t>MENS</t>
        </is>
      </c>
      <c r="H252" s="0" t="inlineStr">
        <is>
          <t>S</t>
        </is>
      </c>
      <c r="I252" s="0">
        <v>42.99</v>
      </c>
      <c r="J252" s="0">
        <v>0</v>
      </c>
    </row>
    <row r="253" spans="1:10" customHeight="0">
      <c r="A253" s="0">
        <f>HYPERLINK("https://dl.dropboxusercontent.com/scl/fi/9bxzs5txy673onxdguwe8/monty-129952-f.jpg?rlkey=9wxg7im5tdjmu4503pytzkrex&amp;dl=0","Click to download Image")</f>
      </c>
      <c r="C253" s="0" t="inlineStr">
        <is>
          <t>Monty Men's Polo</t>
        </is>
      </c>
      <c r="D253" s="0" t="inlineStr">
        <is>
          <t>'129952</t>
        </is>
      </c>
      <c r="E253" s="0" t="inlineStr">
        <is>
          <t>IOWA MONTY M BK:129952B-M</t>
        </is>
      </c>
      <c r="F253" s="0" t="inlineStr">
        <is>
          <t>'800129952057</t>
        </is>
      </c>
      <c r="G253" s="0" t="inlineStr">
        <is>
          <t>MENS</t>
        </is>
      </c>
      <c r="H253" s="0" t="inlineStr">
        <is>
          <t>M</t>
        </is>
      </c>
      <c r="I253" s="0">
        <v>42.99</v>
      </c>
      <c r="J253" s="0">
        <v>1</v>
      </c>
    </row>
    <row r="254" spans="1:10" customHeight="0">
      <c r="A254" s="0">
        <f>HYPERLINK("https://dl.dropboxusercontent.com/scl/fi/9bxzs5txy673onxdguwe8/monty-129952-f.jpg?rlkey=9wxg7im5tdjmu4503pytzkrex&amp;dl=0","Click to download Image")</f>
      </c>
      <c r="C254" s="0" t="inlineStr">
        <is>
          <t>Monty Men's Polo</t>
        </is>
      </c>
      <c r="D254" s="0" t="inlineStr">
        <is>
          <t>'129952</t>
        </is>
      </c>
      <c r="E254" s="0" t="inlineStr">
        <is>
          <t>IOWA MONTY M BK:129952C-L</t>
        </is>
      </c>
      <c r="F254" s="0" t="inlineStr">
        <is>
          <t>'800129952064</t>
        </is>
      </c>
      <c r="G254" s="0" t="inlineStr">
        <is>
          <t>MENS</t>
        </is>
      </c>
      <c r="H254" s="0" t="inlineStr">
        <is>
          <t>L</t>
        </is>
      </c>
      <c r="I254" s="0">
        <v>42.99</v>
      </c>
      <c r="J254" s="0">
        <v>0</v>
      </c>
    </row>
    <row r="255" spans="1:10" customHeight="0">
      <c r="A255" s="0">
        <f>HYPERLINK("https://dl.dropboxusercontent.com/scl/fi/9bxzs5txy673onxdguwe8/monty-129952-f.jpg?rlkey=9wxg7im5tdjmu4503pytzkrex&amp;dl=0","Click to download Image")</f>
      </c>
      <c r="C255" s="0" t="inlineStr">
        <is>
          <t>Monty Men's Polo</t>
        </is>
      </c>
      <c r="D255" s="0" t="inlineStr">
        <is>
          <t>'129952</t>
        </is>
      </c>
      <c r="E255" s="0" t="inlineStr">
        <is>
          <t>IOWA MONTY M BK:129952D-XL</t>
        </is>
      </c>
      <c r="F255" s="0" t="inlineStr">
        <is>
          <t>'800129952071</t>
        </is>
      </c>
      <c r="G255" s="0" t="inlineStr">
        <is>
          <t>MENS</t>
        </is>
      </c>
      <c r="H255" s="0" t="inlineStr">
        <is>
          <t>XL</t>
        </is>
      </c>
      <c r="I255" s="0">
        <v>42.99</v>
      </c>
      <c r="J255" s="0">
        <v>0</v>
      </c>
    </row>
    <row r="256" spans="1:10" customHeight="0">
      <c r="A256" s="0">
        <f>HYPERLINK("https://dl.dropboxusercontent.com/scl/fi/9bxzs5txy673onxdguwe8/monty-129952-f.jpg?rlkey=9wxg7im5tdjmu4503pytzkrex&amp;dl=0","Click to download Image")</f>
      </c>
      <c r="C256" s="0" t="inlineStr">
        <is>
          <t>Monty Men's Polo</t>
        </is>
      </c>
      <c r="D256" s="0" t="inlineStr">
        <is>
          <t>'129952</t>
        </is>
      </c>
      <c r="E256" s="0" t="inlineStr">
        <is>
          <t>IOWA MONTY M BK:129952E-2XL</t>
        </is>
      </c>
      <c r="F256" s="0" t="inlineStr">
        <is>
          <t>'800129952088</t>
        </is>
      </c>
      <c r="G256" s="0" t="inlineStr">
        <is>
          <t>MENS</t>
        </is>
      </c>
      <c r="H256" s="0" t="inlineStr">
        <is>
          <t>2XL</t>
        </is>
      </c>
      <c r="I256" s="0">
        <v>42.99</v>
      </c>
      <c r="J256" s="0">
        <v>0</v>
      </c>
    </row>
    <row r="257" spans="1:10" customHeight="0">
      <c r="A257" s="0">
        <f>HYPERLINK("https://dl.dropboxusercontent.com/scl/fi/9bxzs5txy673onxdguwe8/monty-129952-f.jpg?rlkey=9wxg7im5tdjmu4503pytzkrex&amp;dl=0","Click to download Image")</f>
      </c>
      <c r="C257" s="0" t="inlineStr">
        <is>
          <t>Monty Men's Polo</t>
        </is>
      </c>
      <c r="D257" s="0" t="inlineStr">
        <is>
          <t>'129952</t>
        </is>
      </c>
      <c r="E257" s="0" t="inlineStr">
        <is>
          <t>IOWA MONTY M BK:129952F-3XL</t>
        </is>
      </c>
      <c r="F257" s="0" t="inlineStr">
        <is>
          <t>'800129952095</t>
        </is>
      </c>
      <c r="G257" s="0" t="inlineStr">
        <is>
          <t>MENS</t>
        </is>
      </c>
      <c r="H257" s="0" t="inlineStr">
        <is>
          <t>3XL</t>
        </is>
      </c>
      <c r="I257" s="0">
        <v>42.99</v>
      </c>
      <c r="J257" s="0">
        <v>0</v>
      </c>
    </row>
    <row r="258" spans="1:10" customHeight="0">
      <c r="A258" s="0">
        <f>HYPERLINK("https://dl.dropboxusercontent.com/scl/fi/9bxzs5txy673onxdguwe8/monty-129952-f.jpg?rlkey=9wxg7im5tdjmu4503pytzkrex&amp;dl=0","Click to download Image")</f>
      </c>
      <c r="C258" s="0" t="inlineStr">
        <is>
          <t>Monty Men's Polo</t>
        </is>
      </c>
      <c r="D258" s="0" t="inlineStr">
        <is>
          <t>'129952</t>
        </is>
      </c>
      <c r="E258" s="0" t="inlineStr">
        <is>
          <t>IOWA MONTY M BK 12:129952Z-12PK</t>
        </is>
      </c>
      <c r="F258" s="0" t="inlineStr">
        <is>
          <t>'800129952996</t>
        </is>
      </c>
      <c r="G258" s="0" t="inlineStr">
        <is>
          <t>MENS</t>
        </is>
      </c>
      <c r="H258" s="0" t="inlineStr">
        <is>
          <t>12 PACK</t>
        </is>
      </c>
      <c r="I258" s="0">
        <v>418.6</v>
      </c>
      <c r="J258" s="0">
        <v>0</v>
      </c>
    </row>
    <row r="259" spans="1:10" customHeight="0">
      <c r="A259" s="0">
        <f>HYPERLINK("https://dl.dropboxusercontent.com/scl/fi/uozmgvbotdsu8pfuw6ab7/131065-f.jpg?rlkey=uto35m6swgtxt2y20pgm72oe0&amp;dl=0","Click to download Image")</f>
      </c>
      <c r="C259" s="0" t="inlineStr">
        <is>
          <t>Marianne Women's Beanie</t>
        </is>
      </c>
      <c r="D259" s="0" t="inlineStr">
        <is>
          <t>'131065</t>
        </is>
      </c>
      <c r="E259" s="0" t="inlineStr">
        <is>
          <t>IND MARIAN W GY:131065</t>
        </is>
      </c>
      <c r="F259" s="0" t="inlineStr">
        <is>
          <t>'706131065016</t>
        </is>
      </c>
      <c r="G259" s="0" t="inlineStr">
        <is>
          <t>WOMENS</t>
        </is>
      </c>
      <c r="I259" s="0">
        <v>24.99</v>
      </c>
      <c r="J259" s="0">
        <v>1</v>
      </c>
    </row>
    <row r="260" spans="1:10" customHeight="0">
      <c r="A260" s="0">
        <f>HYPERLINK("https://dl.dropboxusercontent.com/scl/fi/yh6oyrklgxeuav5xq1oa1/131063-f.jpg?rlkey=m7z615ye8neey7ev8xc88a4j8&amp;dl=0","Click to download Image")</f>
      </c>
      <c r="C260" s="0" t="inlineStr">
        <is>
          <t>Marianne Women's Beanie</t>
        </is>
      </c>
      <c r="D260" s="0" t="inlineStr">
        <is>
          <t>'131063</t>
        </is>
      </c>
      <c r="E260" s="0" t="inlineStr">
        <is>
          <t>NDSU MARIAN W ND:131063</t>
        </is>
      </c>
      <c r="F260" s="0" t="inlineStr">
        <is>
          <t>'713131063010</t>
        </is>
      </c>
      <c r="G260" s="0" t="inlineStr">
        <is>
          <t>WOMENS</t>
        </is>
      </c>
      <c r="I260" s="0">
        <v>24.99</v>
      </c>
      <c r="J260" s="0">
        <v>10</v>
      </c>
    </row>
    <row r="261" spans="1:10" customHeight="0">
      <c r="A261" s="0">
        <f>HYPERLINK("https://dl.dropboxusercontent.com/scl/fi/qtrzchobjgc3uj162djms/hollis-130881-f.jpg?rlkey=wzuxtyragx5w9fq73oqndigo9&amp;dl=0","Click to download Image")</f>
      </c>
      <c r="C261" s="0" t="inlineStr">
        <is>
          <t>Hollis Infant Bodysuit</t>
        </is>
      </c>
      <c r="D261" s="0" t="inlineStr">
        <is>
          <t>'130881</t>
        </is>
      </c>
      <c r="E261" s="0" t="inlineStr">
        <is>
          <t>IND HOLLIS I CL:130881A-0-3M</t>
        </is>
      </c>
      <c r="F261" s="0" t="inlineStr">
        <is>
          <t>'806130881003</t>
        </is>
      </c>
      <c r="G261" s="0" t="inlineStr">
        <is>
          <t>INFANT</t>
        </is>
      </c>
      <c r="H261" s="0" t="inlineStr">
        <is>
          <t>0-3M</t>
        </is>
      </c>
      <c r="I261" s="0">
        <v>29.99</v>
      </c>
      <c r="J261" s="0">
        <v>1</v>
      </c>
    </row>
    <row r="262" spans="1:10" customHeight="0">
      <c r="A262" s="0">
        <f>HYPERLINK("https://dl.dropboxusercontent.com/scl/fi/qtrzchobjgc3uj162djms/hollis-130881-f.jpg?rlkey=wzuxtyragx5w9fq73oqndigo9&amp;dl=0","Click to download Image")</f>
      </c>
      <c r="C262" s="0" t="inlineStr">
        <is>
          <t>Hollis Infant Bodysuit</t>
        </is>
      </c>
      <c r="D262" s="0" t="inlineStr">
        <is>
          <t>'130881</t>
        </is>
      </c>
      <c r="E262" s="0" t="inlineStr">
        <is>
          <t>IND HOLLIS I CL:130881B-3-6M</t>
        </is>
      </c>
      <c r="F262" s="0" t="inlineStr">
        <is>
          <t>'806130881010</t>
        </is>
      </c>
      <c r="G262" s="0" t="inlineStr">
        <is>
          <t>INFANT</t>
        </is>
      </c>
      <c r="H262" s="0" t="inlineStr">
        <is>
          <t>3-6M</t>
        </is>
      </c>
      <c r="I262" s="0">
        <v>29.99</v>
      </c>
      <c r="J262" s="0">
        <v>0</v>
      </c>
    </row>
    <row r="263" spans="1:10" customHeight="0">
      <c r="A263" s="0">
        <f>HYPERLINK("https://dl.dropboxusercontent.com/scl/fi/qtrzchobjgc3uj162djms/hollis-130881-f.jpg?rlkey=wzuxtyragx5w9fq73oqndigo9&amp;dl=0","Click to download Image")</f>
      </c>
      <c r="C263" s="0" t="inlineStr">
        <is>
          <t>Hollis Infant Bodysuit</t>
        </is>
      </c>
      <c r="D263" s="0" t="inlineStr">
        <is>
          <t>'130881</t>
        </is>
      </c>
      <c r="E263" s="0" t="inlineStr">
        <is>
          <t>IND HOLLIS I CL:130881C-6-9M</t>
        </is>
      </c>
      <c r="F263" s="0" t="inlineStr">
        <is>
          <t>'806130881027</t>
        </is>
      </c>
      <c r="G263" s="0" t="inlineStr">
        <is>
          <t>INFANT</t>
        </is>
      </c>
      <c r="H263" s="0" t="inlineStr">
        <is>
          <t>6-9M</t>
        </is>
      </c>
      <c r="I263" s="0">
        <v>29.99</v>
      </c>
      <c r="J263" s="0">
        <v>0</v>
      </c>
    </row>
    <row r="264" spans="1:10" customHeight="0">
      <c r="A264" s="0">
        <f>HYPERLINK("https://dl.dropboxusercontent.com/scl/fi/qtrzchobjgc3uj162djms/hollis-130881-f.jpg?rlkey=wzuxtyragx5w9fq73oqndigo9&amp;dl=0","Click to download Image")</f>
      </c>
      <c r="C264" s="0" t="inlineStr">
        <is>
          <t>Hollis Infant Bodysuit</t>
        </is>
      </c>
      <c r="D264" s="0" t="inlineStr">
        <is>
          <t>'130881</t>
        </is>
      </c>
      <c r="E264" s="0" t="inlineStr">
        <is>
          <t>IND HOLLIS I CL:130881F-12M</t>
        </is>
      </c>
      <c r="F264" s="0" t="inlineStr">
        <is>
          <t>'806130881034</t>
        </is>
      </c>
      <c r="G264" s="0" t="inlineStr">
        <is>
          <t>INFANT</t>
        </is>
      </c>
      <c r="H264" s="0" t="inlineStr">
        <is>
          <t>12M</t>
        </is>
      </c>
      <c r="I264" s="0">
        <v>29.99</v>
      </c>
      <c r="J264" s="0">
        <v>0</v>
      </c>
    </row>
    <row r="265" spans="1:10" customHeight="0">
      <c r="A265" s="0">
        <f>HYPERLINK("https://dl.dropboxusercontent.com/scl/fi/qtrzchobjgc3uj162djms/hollis-130881-f.jpg?rlkey=wzuxtyragx5w9fq73oqndigo9&amp;dl=0","Click to download Image")</f>
      </c>
      <c r="C265" s="0" t="inlineStr">
        <is>
          <t>Hollis Infant Bodysuit</t>
        </is>
      </c>
      <c r="D265" s="0" t="inlineStr">
        <is>
          <t>'130881</t>
        </is>
      </c>
      <c r="E265" s="0" t="inlineStr">
        <is>
          <t>IND HOLLIS I CL 12PK:130881Z-12PK</t>
        </is>
      </c>
      <c r="F265" s="0" t="inlineStr">
        <is>
          <t>'806130881997</t>
        </is>
      </c>
      <c r="G265" s="0" t="inlineStr">
        <is>
          <t>INFANT</t>
        </is>
      </c>
      <c r="H265" s="0" t="inlineStr">
        <is>
          <t>12 PACK</t>
        </is>
      </c>
      <c r="I265" s="0">
        <v>288</v>
      </c>
      <c r="J265" s="0">
        <v>0</v>
      </c>
    </row>
    <row r="266" spans="1:10" customHeight="0">
      <c r="A266" s="0">
        <f>HYPERLINK("https://dl.dropboxusercontent.com/scl/fi/1dzfpjk1dtrig2ziu6mkg/tackle-151401-tn.jpg?rlkey=8vdn5ncv5p0znuqqtjs54toln&amp;dl=0","Click to download Image")</f>
      </c>
      <c r="C266" s="0" t="inlineStr">
        <is>
          <t>Tackle Infant Bodysuit</t>
        </is>
      </c>
      <c r="D266" s="0" t="inlineStr">
        <is>
          <t>'151401</t>
        </is>
      </c>
      <c r="E266" s="0" t="inlineStr">
        <is>
          <t>KSU TACKLE I PE:151401A-0-3M</t>
        </is>
      </c>
      <c r="F266" s="0" t="inlineStr">
        <is>
          <t>'805151401009</t>
        </is>
      </c>
      <c r="G266" s="0" t="inlineStr">
        <is>
          <t>INFANT</t>
        </is>
      </c>
      <c r="H266" s="0" t="inlineStr">
        <is>
          <t>0-3M</t>
        </is>
      </c>
      <c r="I266" s="0">
        <v>24.99</v>
      </c>
      <c r="J266" s="0">
        <v>0</v>
      </c>
    </row>
    <row r="267" spans="1:10" customHeight="0">
      <c r="A267" s="0">
        <f>HYPERLINK("https://dl.dropboxusercontent.com/scl/fi/1dzfpjk1dtrig2ziu6mkg/tackle-151401-tn.jpg?rlkey=8vdn5ncv5p0znuqqtjs54toln&amp;dl=0","Click to download Image")</f>
      </c>
      <c r="C267" s="0" t="inlineStr">
        <is>
          <t>Tackle Infant Bodysuit</t>
        </is>
      </c>
      <c r="D267" s="0" t="inlineStr">
        <is>
          <t>'151401</t>
        </is>
      </c>
      <c r="E267" s="0" t="inlineStr">
        <is>
          <t>KSU TACKLE I PE:151401B-3-6M</t>
        </is>
      </c>
      <c r="F267" s="0" t="inlineStr">
        <is>
          <t>'805151401016</t>
        </is>
      </c>
      <c r="G267" s="0" t="inlineStr">
        <is>
          <t>INFANT</t>
        </is>
      </c>
      <c r="H267" s="0" t="inlineStr">
        <is>
          <t>3-6M</t>
        </is>
      </c>
      <c r="I267" s="0">
        <v>24.99</v>
      </c>
      <c r="J267" s="0">
        <v>0</v>
      </c>
    </row>
    <row r="268" spans="1:10" customHeight="0">
      <c r="A268" s="0">
        <f>HYPERLINK("https://dl.dropboxusercontent.com/scl/fi/1dzfpjk1dtrig2ziu6mkg/tackle-151401-tn.jpg?rlkey=8vdn5ncv5p0znuqqtjs54toln&amp;dl=0","Click to download Image")</f>
      </c>
      <c r="C268" s="0" t="inlineStr">
        <is>
          <t>Tackle Infant Bodysuit</t>
        </is>
      </c>
      <c r="D268" s="0" t="inlineStr">
        <is>
          <t>'151401</t>
        </is>
      </c>
      <c r="E268" s="0" t="inlineStr">
        <is>
          <t>KSU TACKLE I PE:151401C-6-9M</t>
        </is>
      </c>
      <c r="F268" s="0" t="inlineStr">
        <is>
          <t>'805151401023</t>
        </is>
      </c>
      <c r="G268" s="0" t="inlineStr">
        <is>
          <t>INFANT</t>
        </is>
      </c>
      <c r="H268" s="0" t="inlineStr">
        <is>
          <t>6-9M</t>
        </is>
      </c>
      <c r="I268" s="0">
        <v>24.99</v>
      </c>
      <c r="J268" s="0">
        <v>0</v>
      </c>
    </row>
    <row r="269" spans="1:10" customHeight="0">
      <c r="A269" s="0">
        <f>HYPERLINK("https://dl.dropboxusercontent.com/scl/fi/1dzfpjk1dtrig2ziu6mkg/tackle-151401-tn.jpg?rlkey=8vdn5ncv5p0znuqqtjs54toln&amp;dl=0","Click to download Image")</f>
      </c>
      <c r="C269" s="0" t="inlineStr">
        <is>
          <t>Tackle Infant Bodysuit</t>
        </is>
      </c>
      <c r="D269" s="0" t="inlineStr">
        <is>
          <t>'151401</t>
        </is>
      </c>
      <c r="E269" s="0" t="inlineStr">
        <is>
          <t>KSU TACKLE I PE:151401F-12M</t>
        </is>
      </c>
      <c r="F269" s="0" t="inlineStr">
        <is>
          <t>'805151401030</t>
        </is>
      </c>
      <c r="G269" s="0" t="inlineStr">
        <is>
          <t>INFANT</t>
        </is>
      </c>
      <c r="H269" s="0" t="inlineStr">
        <is>
          <t>12M</t>
        </is>
      </c>
      <c r="I269" s="0">
        <v>24.99</v>
      </c>
      <c r="J269" s="0">
        <v>6</v>
      </c>
    </row>
    <row r="270" spans="1:10" customHeight="0">
      <c r="A270" s="0">
        <f>HYPERLINK("https://dl.dropboxusercontent.com/scl/fi/1dzfpjk1dtrig2ziu6mkg/tackle-151401-tn.jpg?rlkey=8vdn5ncv5p0znuqqtjs54toln&amp;dl=0","Click to download Image")</f>
      </c>
      <c r="C270" s="0" t="inlineStr">
        <is>
          <t>Tackle Infant Bodysuit</t>
        </is>
      </c>
      <c r="D270" s="0" t="inlineStr">
        <is>
          <t>'151401</t>
        </is>
      </c>
      <c r="E270" s="0" t="inlineStr">
        <is>
          <t>KSU TACKLE I PE:151401Z-12PK</t>
        </is>
      </c>
      <c r="F270" s="0" t="inlineStr">
        <is>
          <t>'805151401979</t>
        </is>
      </c>
      <c r="G270" s="0" t="inlineStr">
        <is>
          <t>INFANT</t>
        </is>
      </c>
      <c r="H270" s="0" t="inlineStr">
        <is>
          <t>12 PACK</t>
        </is>
      </c>
      <c r="I270" s="0">
        <v>240</v>
      </c>
      <c r="J270" s="0">
        <v>0</v>
      </c>
    </row>
    <row r="271" spans="1:10" customHeight="0">
      <c r="A271" s="0">
        <f>HYPERLINK("https://dl.dropboxusercontent.com/scl/fi/7yx242dq8456s30tqjxjh/hali-151000-tn.jpg?rlkey=628nybvvcc0oaz5krymq59qgv&amp;dl=0","Click to download Image")</f>
      </c>
      <c r="C271" s="0" t="inlineStr">
        <is>
          <t>Hali Infant Bodysuit</t>
        </is>
      </c>
      <c r="D271" s="0" t="inlineStr">
        <is>
          <t>'151000</t>
        </is>
      </c>
      <c r="E271" s="0" t="inlineStr">
        <is>
          <t>KSU HALI I PE:151000A-0-3M</t>
        </is>
      </c>
      <c r="F271" s="0" t="inlineStr">
        <is>
          <t>'805151000004</t>
        </is>
      </c>
      <c r="G271" s="0" t="inlineStr">
        <is>
          <t>INFANT</t>
        </is>
      </c>
      <c r="H271" s="0" t="inlineStr">
        <is>
          <t>0-3M</t>
        </is>
      </c>
      <c r="I271" s="0">
        <v>24.99</v>
      </c>
      <c r="J271" s="0">
        <v>0</v>
      </c>
    </row>
    <row r="272" spans="1:10" customHeight="0">
      <c r="A272" s="0">
        <f>HYPERLINK("https://dl.dropboxusercontent.com/scl/fi/7yx242dq8456s30tqjxjh/hali-151000-tn.jpg?rlkey=628nybvvcc0oaz5krymq59qgv&amp;dl=0","Click to download Image")</f>
      </c>
      <c r="C272" s="0" t="inlineStr">
        <is>
          <t>Hali Infant Bodysuit</t>
        </is>
      </c>
      <c r="D272" s="0" t="inlineStr">
        <is>
          <t>'151000</t>
        </is>
      </c>
      <c r="E272" s="0" t="inlineStr">
        <is>
          <t>KSU HALI I PE:151000B-3-6M</t>
        </is>
      </c>
      <c r="F272" s="0" t="inlineStr">
        <is>
          <t>'805151000011</t>
        </is>
      </c>
      <c r="G272" s="0" t="inlineStr">
        <is>
          <t>INFANT</t>
        </is>
      </c>
      <c r="H272" s="0" t="inlineStr">
        <is>
          <t>3-6M</t>
        </is>
      </c>
      <c r="I272" s="0">
        <v>24.99</v>
      </c>
      <c r="J272" s="0">
        <v>0</v>
      </c>
    </row>
    <row r="273" spans="1:10" customHeight="0">
      <c r="A273" s="0">
        <f>HYPERLINK("https://dl.dropboxusercontent.com/scl/fi/7yx242dq8456s30tqjxjh/hali-151000-tn.jpg?rlkey=628nybvvcc0oaz5krymq59qgv&amp;dl=0","Click to download Image")</f>
      </c>
      <c r="C273" s="0" t="inlineStr">
        <is>
          <t>Hali Infant Bodysuit</t>
        </is>
      </c>
      <c r="D273" s="0" t="inlineStr">
        <is>
          <t>'151000</t>
        </is>
      </c>
      <c r="E273" s="0" t="inlineStr">
        <is>
          <t>KSU HALI I PE:151000C-6-9M</t>
        </is>
      </c>
      <c r="F273" s="0" t="inlineStr">
        <is>
          <t>'805151000028</t>
        </is>
      </c>
      <c r="G273" s="0" t="inlineStr">
        <is>
          <t>INFANT</t>
        </is>
      </c>
      <c r="H273" s="0" t="inlineStr">
        <is>
          <t>6-9M</t>
        </is>
      </c>
      <c r="I273" s="0">
        <v>24.99</v>
      </c>
      <c r="J273" s="0">
        <v>0</v>
      </c>
    </row>
    <row r="274" spans="1:10" customHeight="0">
      <c r="A274" s="0">
        <f>HYPERLINK("https://dl.dropboxusercontent.com/scl/fi/7yx242dq8456s30tqjxjh/hali-151000-tn.jpg?rlkey=628nybvvcc0oaz5krymq59qgv&amp;dl=0","Click to download Image")</f>
      </c>
      <c r="C274" s="0" t="inlineStr">
        <is>
          <t>Hali Infant Bodysuit</t>
        </is>
      </c>
      <c r="D274" s="0" t="inlineStr">
        <is>
          <t>'151000</t>
        </is>
      </c>
      <c r="E274" s="0" t="inlineStr">
        <is>
          <t>KSU HALI I PE:151000F-12M</t>
        </is>
      </c>
      <c r="F274" s="0" t="inlineStr">
        <is>
          <t>'805151000035</t>
        </is>
      </c>
      <c r="G274" s="0" t="inlineStr">
        <is>
          <t>INFANT</t>
        </is>
      </c>
      <c r="H274" s="0" t="inlineStr">
        <is>
          <t>12M</t>
        </is>
      </c>
      <c r="I274" s="0">
        <v>24.99</v>
      </c>
      <c r="J274" s="0">
        <v>5</v>
      </c>
    </row>
    <row r="275" spans="1:10" customHeight="0">
      <c r="A275" s="0">
        <f>HYPERLINK("https://dl.dropboxusercontent.com/scl/fi/7yx242dq8456s30tqjxjh/hali-151000-tn.jpg?rlkey=628nybvvcc0oaz5krymq59qgv&amp;dl=0","Click to download Image")</f>
      </c>
      <c r="C275" s="0" t="inlineStr">
        <is>
          <t>Hali Infant Bodysuit</t>
        </is>
      </c>
      <c r="D275" s="0" t="inlineStr">
        <is>
          <t>'151000</t>
        </is>
      </c>
      <c r="E275" s="0" t="inlineStr">
        <is>
          <t>KSU HALI I PE:151000Z-12PK</t>
        </is>
      </c>
      <c r="F275" s="0" t="inlineStr">
        <is>
          <t>'805151000974</t>
        </is>
      </c>
      <c r="G275" s="0" t="inlineStr">
        <is>
          <t>INFANT</t>
        </is>
      </c>
      <c r="H275" s="0" t="inlineStr">
        <is>
          <t>12 PACK</t>
        </is>
      </c>
      <c r="I275" s="0">
        <v>240</v>
      </c>
      <c r="J275" s="0">
        <v>0</v>
      </c>
    </row>
    <row r="276" spans="1:10" customHeight="0">
      <c r="A276" s="0">
        <f>HYPERLINK("https://dl.dropboxusercontent.com/scl/fi/6fa1now1i0kyumvcdr90q/ia-slate-f-copy.jpg?rlkey=13xcj5rf0zafihkhwg9xlkd96&amp;dl=0","Click to download Image")</f>
      </c>
      <c r="C276" s="0" t="inlineStr">
        <is>
          <t>Slate Women's Long Sleeve Shirt</t>
        </is>
      </c>
      <c r="D276" s="0" t="inlineStr">
        <is>
          <t>'151107</t>
        </is>
      </c>
      <c r="E276" s="0" t="inlineStr">
        <is>
          <t>IOWA SLATE W BK:151107A-S</t>
        </is>
      </c>
      <c r="F276" s="0" t="inlineStr">
        <is>
          <t>'800151107043</t>
        </is>
      </c>
      <c r="G276" s="0" t="inlineStr">
        <is>
          <t>WOMENS</t>
        </is>
      </c>
      <c r="H276" s="0" t="inlineStr">
        <is>
          <t>S</t>
        </is>
      </c>
      <c r="I276" s="0">
        <v>32.99</v>
      </c>
      <c r="J276" s="0">
        <v>0</v>
      </c>
    </row>
    <row r="277" spans="1:10" customHeight="0">
      <c r="A277" s="0">
        <f>HYPERLINK("https://dl.dropboxusercontent.com/scl/fi/6fa1now1i0kyumvcdr90q/ia-slate-f-copy.jpg?rlkey=13xcj5rf0zafihkhwg9xlkd96&amp;dl=0","Click to download Image")</f>
      </c>
      <c r="C277" s="0" t="inlineStr">
        <is>
          <t>Slate Women's Long Sleeve Shirt</t>
        </is>
      </c>
      <c r="D277" s="0" t="inlineStr">
        <is>
          <t>'151107</t>
        </is>
      </c>
      <c r="E277" s="0" t="inlineStr">
        <is>
          <t>IOWA SLATE W BK:151107B-M</t>
        </is>
      </c>
      <c r="F277" s="0" t="inlineStr">
        <is>
          <t>'800151107050</t>
        </is>
      </c>
      <c r="G277" s="0" t="inlineStr">
        <is>
          <t>WOMENS</t>
        </is>
      </c>
      <c r="H277" s="0" t="inlineStr">
        <is>
          <t>M</t>
        </is>
      </c>
      <c r="I277" s="0">
        <v>32.99</v>
      </c>
      <c r="J277" s="0">
        <v>0</v>
      </c>
    </row>
    <row r="278" spans="1:10" customHeight="0">
      <c r="A278" s="0">
        <f>HYPERLINK("https://dl.dropboxusercontent.com/scl/fi/6fa1now1i0kyumvcdr90q/ia-slate-f-copy.jpg?rlkey=13xcj5rf0zafihkhwg9xlkd96&amp;dl=0","Click to download Image")</f>
      </c>
      <c r="C278" s="0" t="inlineStr">
        <is>
          <t>Slate Women's Long Sleeve Shirt</t>
        </is>
      </c>
      <c r="D278" s="0" t="inlineStr">
        <is>
          <t>'151107</t>
        </is>
      </c>
      <c r="E278" s="0" t="inlineStr">
        <is>
          <t>IOWA SLATE W BK:151107C-L</t>
        </is>
      </c>
      <c r="F278" s="0" t="inlineStr">
        <is>
          <t>'800151107067</t>
        </is>
      </c>
      <c r="G278" s="0" t="inlineStr">
        <is>
          <t>WOMENS</t>
        </is>
      </c>
      <c r="H278" s="0" t="inlineStr">
        <is>
          <t>L</t>
        </is>
      </c>
      <c r="I278" s="0">
        <v>32.99</v>
      </c>
      <c r="J278" s="0">
        <v>0</v>
      </c>
    </row>
    <row r="279" spans="1:10" customHeight="0">
      <c r="A279" s="0">
        <f>HYPERLINK("https://dl.dropboxusercontent.com/scl/fi/6fa1now1i0kyumvcdr90q/ia-slate-f-copy.jpg?rlkey=13xcj5rf0zafihkhwg9xlkd96&amp;dl=0","Click to download Image")</f>
      </c>
      <c r="C279" s="0" t="inlineStr">
        <is>
          <t>Slate Women's Long Sleeve Shirt</t>
        </is>
      </c>
      <c r="D279" s="0" t="inlineStr">
        <is>
          <t>'151107</t>
        </is>
      </c>
      <c r="E279" s="0" t="inlineStr">
        <is>
          <t>IOWA SLATE W BK:151107D-XL</t>
        </is>
      </c>
      <c r="F279" s="0" t="inlineStr">
        <is>
          <t>'800151107074</t>
        </is>
      </c>
      <c r="G279" s="0" t="inlineStr">
        <is>
          <t>WOMENS</t>
        </is>
      </c>
      <c r="H279" s="0" t="inlineStr">
        <is>
          <t>XL</t>
        </is>
      </c>
      <c r="I279" s="0">
        <v>32.99</v>
      </c>
      <c r="J279" s="0">
        <v>0</v>
      </c>
    </row>
    <row r="280" spans="1:10" customHeight="0">
      <c r="A280" s="0">
        <f>HYPERLINK("https://dl.dropboxusercontent.com/scl/fi/6fa1now1i0kyumvcdr90q/ia-slate-f-copy.jpg?rlkey=13xcj5rf0zafihkhwg9xlkd96&amp;dl=0","Click to download Image")</f>
      </c>
      <c r="C280" s="0" t="inlineStr">
        <is>
          <t>Slate Women's Long Sleeve Shirt</t>
        </is>
      </c>
      <c r="D280" s="0" t="inlineStr">
        <is>
          <t>'151107</t>
        </is>
      </c>
      <c r="E280" s="0" t="inlineStr">
        <is>
          <t>IOWA SLATE W BK:151107E-2XL</t>
        </is>
      </c>
      <c r="F280" s="0" t="inlineStr">
        <is>
          <t>'800151107081</t>
        </is>
      </c>
      <c r="G280" s="0" t="inlineStr">
        <is>
          <t>WOMENS</t>
        </is>
      </c>
      <c r="H280" s="0" t="inlineStr">
        <is>
          <t>2XL</t>
        </is>
      </c>
      <c r="I280" s="0">
        <v>32.99</v>
      </c>
      <c r="J280" s="0">
        <v>6</v>
      </c>
    </row>
    <row r="281" spans="1:10" customHeight="0">
      <c r="A281" s="0">
        <f>HYPERLINK("https://dl.dropboxusercontent.com/scl/fi/6fa1now1i0kyumvcdr90q/ia-slate-f-copy.jpg?rlkey=13xcj5rf0zafihkhwg9xlkd96&amp;dl=0","Click to download Image")</f>
      </c>
      <c r="C281" s="0" t="inlineStr">
        <is>
          <t>Slate Women's Long Sleeve Shirt</t>
        </is>
      </c>
      <c r="D281" s="0" t="inlineStr">
        <is>
          <t>'151107</t>
        </is>
      </c>
      <c r="E281" s="0" t="inlineStr">
        <is>
          <t>IOWA SLATE W BK:151107F-3XL</t>
        </is>
      </c>
      <c r="F281" s="0" t="inlineStr">
        <is>
          <t>'800151107098</t>
        </is>
      </c>
      <c r="G281" s="0" t="inlineStr">
        <is>
          <t>WOMENS</t>
        </is>
      </c>
      <c r="H281" s="0" t="inlineStr">
        <is>
          <t>3XL</t>
        </is>
      </c>
      <c r="I281" s="0">
        <v>32.99</v>
      </c>
      <c r="J281" s="0">
        <v>3</v>
      </c>
    </row>
    <row r="282" spans="1:10" customHeight="0">
      <c r="A282" s="0">
        <f>HYPERLINK("https://dl.dropboxusercontent.com/scl/fi/6fa1now1i0kyumvcdr90q/ia-slate-f-copy.jpg?rlkey=13xcj5rf0zafihkhwg9xlkd96&amp;dl=0","Click to download Image")</f>
      </c>
      <c r="C282" s="0" t="inlineStr">
        <is>
          <t>Slate Women's Long Sleeve Shirt</t>
        </is>
      </c>
      <c r="D282" s="0" t="inlineStr">
        <is>
          <t>'151107</t>
        </is>
      </c>
      <c r="E282" s="0" t="inlineStr">
        <is>
          <t>IOWA SLATE W BK:151107Z-12PK</t>
        </is>
      </c>
      <c r="F282" s="0" t="inlineStr">
        <is>
          <t>'800151107999</t>
        </is>
      </c>
      <c r="G282" s="0" t="inlineStr">
        <is>
          <t>WOMENS</t>
        </is>
      </c>
      <c r="H282" s="0" t="inlineStr">
        <is>
          <t>12 PACK</t>
        </is>
      </c>
      <c r="I282" s="0">
        <v>316.8</v>
      </c>
      <c r="J282" s="0">
        <v>0</v>
      </c>
    </row>
    <row r="283" spans="1:10" customHeight="0">
      <c r="A283" s="0">
        <f>HYPERLINK("https://dl.dropboxusercontent.com/scl/fi/ncacm18vli68ikl3udc2n/dsc7300.jpg?rlkey=ml258wrxoa8a93p8okpwubaz4&amp;dl=0","Click to download Image")</f>
      </c>
      <c r="B283" s="0">
        <f>HYPERLINK("https://dl.dropboxusercontent.com/scl/fi/brom2jbwdqoykfvs4oahh/womens-hoodie-and-sweatshirt-size-chartssutton.jpg?rlkey=7i9o7pr8wjk6kud8ags41g08n&amp;dl=0","Click to download SizeChart")</f>
      </c>
      <c r="C283" s="0" t="inlineStr">
        <is>
          <t>Sutton Women's Sweatshirt</t>
        </is>
      </c>
      <c r="D283" s="0" t="inlineStr">
        <is>
          <t>'151743</t>
        </is>
      </c>
      <c r="E283" s="0" t="inlineStr">
        <is>
          <t>ISU SUTTON W CL:151743A-S</t>
        </is>
      </c>
      <c r="F283" s="0" t="inlineStr">
        <is>
          <t>'801151743040</t>
        </is>
      </c>
      <c r="G283" s="0" t="inlineStr">
        <is>
          <t>WOMENS</t>
        </is>
      </c>
      <c r="H283" s="0" t="inlineStr">
        <is>
          <t>S</t>
        </is>
      </c>
      <c r="I283" s="0">
        <v>54.99</v>
      </c>
      <c r="J283" s="0">
        <v>0</v>
      </c>
    </row>
    <row r="284" spans="1:10" customHeight="0">
      <c r="A284" s="0">
        <f>HYPERLINK("https://dl.dropboxusercontent.com/scl/fi/ncacm18vli68ikl3udc2n/dsc7300.jpg?rlkey=ml258wrxoa8a93p8okpwubaz4&amp;dl=0","Click to download Image")</f>
      </c>
      <c r="B284" s="0">
        <f>HYPERLINK("https://dl.dropboxusercontent.com/scl/fi/brom2jbwdqoykfvs4oahh/womens-hoodie-and-sweatshirt-size-chartssutton.jpg?rlkey=7i9o7pr8wjk6kud8ags41g08n&amp;dl=0","Click to download SizeChart")</f>
      </c>
      <c r="C284" s="0" t="inlineStr">
        <is>
          <t>Sutton Women's Sweatshirt</t>
        </is>
      </c>
      <c r="D284" s="0" t="inlineStr">
        <is>
          <t>'151743</t>
        </is>
      </c>
      <c r="E284" s="0" t="inlineStr">
        <is>
          <t>ISU SUTTON W CL:151743B-M</t>
        </is>
      </c>
      <c r="F284" s="0" t="inlineStr">
        <is>
          <t>'801151743057</t>
        </is>
      </c>
      <c r="G284" s="0" t="inlineStr">
        <is>
          <t>WOMENS</t>
        </is>
      </c>
      <c r="H284" s="0" t="inlineStr">
        <is>
          <t>M</t>
        </is>
      </c>
      <c r="I284" s="0">
        <v>54.99</v>
      </c>
      <c r="J284" s="0">
        <v>1</v>
      </c>
    </row>
    <row r="285" spans="1:10" customHeight="0">
      <c r="A285" s="0">
        <f>HYPERLINK("https://dl.dropboxusercontent.com/scl/fi/ncacm18vli68ikl3udc2n/dsc7300.jpg?rlkey=ml258wrxoa8a93p8okpwubaz4&amp;dl=0","Click to download Image")</f>
      </c>
      <c r="B285" s="0">
        <f>HYPERLINK("https://dl.dropboxusercontent.com/scl/fi/brom2jbwdqoykfvs4oahh/womens-hoodie-and-sweatshirt-size-chartssutton.jpg?rlkey=7i9o7pr8wjk6kud8ags41g08n&amp;dl=0","Click to download SizeChart")</f>
      </c>
      <c r="C285" s="0" t="inlineStr">
        <is>
          <t>Sutton Women's Sweatshirt</t>
        </is>
      </c>
      <c r="D285" s="0" t="inlineStr">
        <is>
          <t>'151743</t>
        </is>
      </c>
      <c r="E285" s="0" t="inlineStr">
        <is>
          <t>ISU SUTTON W CL:151743C-L</t>
        </is>
      </c>
      <c r="F285" s="0" t="inlineStr">
        <is>
          <t>'801151743064</t>
        </is>
      </c>
      <c r="G285" s="0" t="inlineStr">
        <is>
          <t>WOMENS</t>
        </is>
      </c>
      <c r="H285" s="0" t="inlineStr">
        <is>
          <t>L</t>
        </is>
      </c>
      <c r="I285" s="0">
        <v>54.99</v>
      </c>
      <c r="J285" s="0">
        <v>0</v>
      </c>
    </row>
    <row r="286" spans="1:10" customHeight="0">
      <c r="A286" s="0">
        <f>HYPERLINK("https://dl.dropboxusercontent.com/scl/fi/ncacm18vli68ikl3udc2n/dsc7300.jpg?rlkey=ml258wrxoa8a93p8okpwubaz4&amp;dl=0","Click to download Image")</f>
      </c>
      <c r="B286" s="0">
        <f>HYPERLINK("https://dl.dropboxusercontent.com/scl/fi/brom2jbwdqoykfvs4oahh/womens-hoodie-and-sweatshirt-size-chartssutton.jpg?rlkey=7i9o7pr8wjk6kud8ags41g08n&amp;dl=0","Click to download SizeChart")</f>
      </c>
      <c r="C286" s="0" t="inlineStr">
        <is>
          <t>Sutton Women's Sweatshirt</t>
        </is>
      </c>
      <c r="D286" s="0" t="inlineStr">
        <is>
          <t>'151743</t>
        </is>
      </c>
      <c r="E286" s="0" t="inlineStr">
        <is>
          <t>ISU SUTTON W CL:151743D-XL</t>
        </is>
      </c>
      <c r="F286" s="0" t="inlineStr">
        <is>
          <t>'801151743071</t>
        </is>
      </c>
      <c r="G286" s="0" t="inlineStr">
        <is>
          <t>WOMENS</t>
        </is>
      </c>
      <c r="H286" s="0" t="inlineStr">
        <is>
          <t>XL</t>
        </is>
      </c>
      <c r="I286" s="0">
        <v>54.99</v>
      </c>
      <c r="J286" s="0">
        <v>0</v>
      </c>
    </row>
    <row r="287" spans="1:10" customHeight="0">
      <c r="A287" s="0">
        <f>HYPERLINK("https://dl.dropboxusercontent.com/scl/fi/ncacm18vli68ikl3udc2n/dsc7300.jpg?rlkey=ml258wrxoa8a93p8okpwubaz4&amp;dl=0","Click to download Image")</f>
      </c>
      <c r="B287" s="0">
        <f>HYPERLINK("https://dl.dropboxusercontent.com/scl/fi/brom2jbwdqoykfvs4oahh/womens-hoodie-and-sweatshirt-size-chartssutton.jpg?rlkey=7i9o7pr8wjk6kud8ags41g08n&amp;dl=0","Click to download SizeChart")</f>
      </c>
      <c r="C287" s="0" t="inlineStr">
        <is>
          <t>Sutton Women's Sweatshirt</t>
        </is>
      </c>
      <c r="D287" s="0" t="inlineStr">
        <is>
          <t>'151743</t>
        </is>
      </c>
      <c r="E287" s="0" t="inlineStr">
        <is>
          <t>ISU SUTTON W CL:151743E-2XL</t>
        </is>
      </c>
      <c r="F287" s="0" t="inlineStr">
        <is>
          <t>'801151743088</t>
        </is>
      </c>
      <c r="G287" s="0" t="inlineStr">
        <is>
          <t>WOMENS</t>
        </is>
      </c>
      <c r="H287" s="0" t="inlineStr">
        <is>
          <t>2XL</t>
        </is>
      </c>
      <c r="I287" s="0">
        <v>54.99</v>
      </c>
      <c r="J287" s="0">
        <v>0</v>
      </c>
    </row>
    <row r="288" spans="1:10" customHeight="0">
      <c r="A288" s="0">
        <f>HYPERLINK("https://dl.dropboxusercontent.com/scl/fi/ncacm18vli68ikl3udc2n/dsc7300.jpg?rlkey=ml258wrxoa8a93p8okpwubaz4&amp;dl=0","Click to download Image")</f>
      </c>
      <c r="B288" s="0">
        <f>HYPERLINK("https://dl.dropboxusercontent.com/scl/fi/brom2jbwdqoykfvs4oahh/womens-hoodie-and-sweatshirt-size-chartssutton.jpg?rlkey=7i9o7pr8wjk6kud8ags41g08n&amp;dl=0","Click to download SizeChart")</f>
      </c>
      <c r="C288" s="0" t="inlineStr">
        <is>
          <t>Sutton Women's Sweatshirt</t>
        </is>
      </c>
      <c r="D288" s="0" t="inlineStr">
        <is>
          <t>'151743</t>
        </is>
      </c>
      <c r="E288" s="0" t="inlineStr">
        <is>
          <t>ISU SUTTON W CL:151743F-3XL</t>
        </is>
      </c>
      <c r="F288" s="0" t="inlineStr">
        <is>
          <t>'801151743095</t>
        </is>
      </c>
      <c r="G288" s="0" t="inlineStr">
        <is>
          <t>WOMENS</t>
        </is>
      </c>
      <c r="H288" s="0" t="inlineStr">
        <is>
          <t>3XL</t>
        </is>
      </c>
      <c r="I288" s="0">
        <v>54.99</v>
      </c>
      <c r="J288" s="0">
        <v>0</v>
      </c>
    </row>
    <row r="289" spans="1:10" customHeight="0">
      <c r="A289" s="0">
        <f>HYPERLINK("https://dl.dropboxusercontent.com/scl/fi/ncacm18vli68ikl3udc2n/dsc7300.jpg?rlkey=ml258wrxoa8a93p8okpwubaz4&amp;dl=0","Click to download Image")</f>
      </c>
      <c r="B289" s="0">
        <f>HYPERLINK("https://dl.dropboxusercontent.com/scl/fi/brom2jbwdqoykfvs4oahh/womens-hoodie-and-sweatshirt-size-chartssutton.jpg?rlkey=7i9o7pr8wjk6kud8ags41g08n&amp;dl=0","Click to download SizeChart")</f>
      </c>
      <c r="C289" s="0" t="inlineStr">
        <is>
          <t>Sutton Women's Sweatshirt</t>
        </is>
      </c>
      <c r="D289" s="0" t="inlineStr">
        <is>
          <t>'151743</t>
        </is>
      </c>
      <c r="E289" s="0" t="inlineStr">
        <is>
          <t>ISU SUTTON W CL:151743Z-12PK</t>
        </is>
      </c>
      <c r="F289" s="0" t="inlineStr">
        <is>
          <t>'801151743996</t>
        </is>
      </c>
      <c r="G289" s="0" t="inlineStr">
        <is>
          <t>WOMENS</t>
        </is>
      </c>
      <c r="H289" s="0" t="inlineStr">
        <is>
          <t>12 PACK</t>
        </is>
      </c>
      <c r="I289" s="0">
        <v>528</v>
      </c>
      <c r="J289" s="0">
        <v>0</v>
      </c>
    </row>
    <row r="290" spans="1:10" customHeight="0">
      <c r="A290" s="0">
        <f>HYPERLINK("https://dl.dropboxusercontent.com/scl/fi/ktdlgxa6ycnlkgkh4aplh/ahrens-129917-f.jpg?rlkey=9b75k036qxy2pgz6sftg3ynlq&amp;dl=0","Click to download Image")</f>
      </c>
      <c r="B290" s="0">
        <f>HYPERLINK("https://dl.dropboxusercontent.com/scl/fi/tenxmtcs4z3w7hlqdtfv7/mens-polo-size-chartsahrens.jpg?rlkey=lkiy1j8uduzhaxtv592u8p236&amp;dl=0","Click to download SizeChart")</f>
      </c>
      <c r="C290" s="0" t="inlineStr">
        <is>
          <t>Ahrens Men's Polo</t>
        </is>
      </c>
      <c r="D290" s="0" t="inlineStr">
        <is>
          <t>'129917</t>
        </is>
      </c>
      <c r="E290" s="0" t="inlineStr">
        <is>
          <t>DRK AHRENS M RL:129917A-S</t>
        </is>
      </c>
      <c r="F290" s="0" t="inlineStr">
        <is>
          <t>'817129917047</t>
        </is>
      </c>
      <c r="G290" s="0" t="inlineStr">
        <is>
          <t>MENS</t>
        </is>
      </c>
      <c r="H290" s="0" t="inlineStr">
        <is>
          <t>S</t>
        </is>
      </c>
      <c r="I290" s="0">
        <v>49.99</v>
      </c>
      <c r="J290" s="0">
        <v>4</v>
      </c>
    </row>
    <row r="291" spans="1:10" customHeight="0">
      <c r="A291" s="0">
        <f>HYPERLINK("https://dl.dropboxusercontent.com/scl/fi/ktdlgxa6ycnlkgkh4aplh/ahrens-129917-f.jpg?rlkey=9b75k036qxy2pgz6sftg3ynlq&amp;dl=0","Click to download Image")</f>
      </c>
      <c r="B291" s="0">
        <f>HYPERLINK("https://dl.dropboxusercontent.com/scl/fi/tenxmtcs4z3w7hlqdtfv7/mens-polo-size-chartsahrens.jpg?rlkey=lkiy1j8uduzhaxtv592u8p236&amp;dl=0","Click to download SizeChart")</f>
      </c>
      <c r="C291" s="0" t="inlineStr">
        <is>
          <t>Ahrens Men's Polo</t>
        </is>
      </c>
      <c r="D291" s="0" t="inlineStr">
        <is>
          <t>'129917</t>
        </is>
      </c>
      <c r="E291" s="0" t="inlineStr">
        <is>
          <t>DRK AHRENS M RL:129917B-M</t>
        </is>
      </c>
      <c r="F291" s="0" t="inlineStr">
        <is>
          <t>'817129917054</t>
        </is>
      </c>
      <c r="G291" s="0" t="inlineStr">
        <is>
          <t>MENS</t>
        </is>
      </c>
      <c r="H291" s="0" t="inlineStr">
        <is>
          <t>M</t>
        </is>
      </c>
      <c r="I291" s="0">
        <v>49.99</v>
      </c>
      <c r="J291" s="0">
        <v>2</v>
      </c>
    </row>
    <row r="292" spans="1:10" customHeight="0">
      <c r="A292" s="0">
        <f>HYPERLINK("https://dl.dropboxusercontent.com/scl/fi/ktdlgxa6ycnlkgkh4aplh/ahrens-129917-f.jpg?rlkey=9b75k036qxy2pgz6sftg3ynlq&amp;dl=0","Click to download Image")</f>
      </c>
      <c r="B292" s="0">
        <f>HYPERLINK("https://dl.dropboxusercontent.com/scl/fi/tenxmtcs4z3w7hlqdtfv7/mens-polo-size-chartsahrens.jpg?rlkey=lkiy1j8uduzhaxtv592u8p236&amp;dl=0","Click to download SizeChart")</f>
      </c>
      <c r="C292" s="0" t="inlineStr">
        <is>
          <t>Ahrens Men's Polo</t>
        </is>
      </c>
      <c r="D292" s="0" t="inlineStr">
        <is>
          <t>'129917</t>
        </is>
      </c>
      <c r="E292" s="0" t="inlineStr">
        <is>
          <t>DRK AHRENS M RL:129917C-L</t>
        </is>
      </c>
      <c r="F292" s="0" t="inlineStr">
        <is>
          <t>'817129917061</t>
        </is>
      </c>
      <c r="G292" s="0" t="inlineStr">
        <is>
          <t>MENS</t>
        </is>
      </c>
      <c r="H292" s="0" t="inlineStr">
        <is>
          <t>L</t>
        </is>
      </c>
      <c r="I292" s="0">
        <v>49.99</v>
      </c>
      <c r="J292" s="0">
        <v>0</v>
      </c>
    </row>
    <row r="293" spans="1:10" customHeight="0">
      <c r="A293" s="0">
        <f>HYPERLINK("https://dl.dropboxusercontent.com/scl/fi/ktdlgxa6ycnlkgkh4aplh/ahrens-129917-f.jpg?rlkey=9b75k036qxy2pgz6sftg3ynlq&amp;dl=0","Click to download Image")</f>
      </c>
      <c r="B293" s="0">
        <f>HYPERLINK("https://dl.dropboxusercontent.com/scl/fi/tenxmtcs4z3w7hlqdtfv7/mens-polo-size-chartsahrens.jpg?rlkey=lkiy1j8uduzhaxtv592u8p236&amp;dl=0","Click to download SizeChart")</f>
      </c>
      <c r="C293" s="0" t="inlineStr">
        <is>
          <t>Ahrens Men's Polo</t>
        </is>
      </c>
      <c r="D293" s="0" t="inlineStr">
        <is>
          <t>'129917</t>
        </is>
      </c>
      <c r="E293" s="0" t="inlineStr">
        <is>
          <t>DRK AHRENS M RL:129917D-XL</t>
        </is>
      </c>
      <c r="F293" s="0" t="inlineStr">
        <is>
          <t>'817129917078</t>
        </is>
      </c>
      <c r="G293" s="0" t="inlineStr">
        <is>
          <t>MENS</t>
        </is>
      </c>
      <c r="H293" s="0" t="inlineStr">
        <is>
          <t>XL</t>
        </is>
      </c>
      <c r="I293" s="0">
        <v>49.99</v>
      </c>
      <c r="J293" s="0">
        <v>2</v>
      </c>
    </row>
    <row r="294" spans="1:10" customHeight="0">
      <c r="A294" s="0">
        <f>HYPERLINK("https://dl.dropboxusercontent.com/scl/fi/ktdlgxa6ycnlkgkh4aplh/ahrens-129917-f.jpg?rlkey=9b75k036qxy2pgz6sftg3ynlq&amp;dl=0","Click to download Image")</f>
      </c>
      <c r="B294" s="0">
        <f>HYPERLINK("https://dl.dropboxusercontent.com/scl/fi/tenxmtcs4z3w7hlqdtfv7/mens-polo-size-chartsahrens.jpg?rlkey=lkiy1j8uduzhaxtv592u8p236&amp;dl=0","Click to download SizeChart")</f>
      </c>
      <c r="C294" s="0" t="inlineStr">
        <is>
          <t>Ahrens Men's Polo</t>
        </is>
      </c>
      <c r="D294" s="0" t="inlineStr">
        <is>
          <t>'129917</t>
        </is>
      </c>
      <c r="E294" s="0" t="inlineStr">
        <is>
          <t>DRK AHRENS M RL:129917E-2XL</t>
        </is>
      </c>
      <c r="F294" s="0" t="inlineStr">
        <is>
          <t>'817129917085</t>
        </is>
      </c>
      <c r="G294" s="0" t="inlineStr">
        <is>
          <t>MENS</t>
        </is>
      </c>
      <c r="H294" s="0" t="inlineStr">
        <is>
          <t>2XL</t>
        </is>
      </c>
      <c r="I294" s="0">
        <v>49.99</v>
      </c>
      <c r="J294" s="0">
        <v>3</v>
      </c>
    </row>
    <row r="295" spans="1:10" customHeight="0">
      <c r="A295" s="0">
        <f>HYPERLINK("https://dl.dropboxusercontent.com/scl/fi/ktdlgxa6ycnlkgkh4aplh/ahrens-129917-f.jpg?rlkey=9b75k036qxy2pgz6sftg3ynlq&amp;dl=0","Click to download Image")</f>
      </c>
      <c r="B295" s="0">
        <f>HYPERLINK("https://dl.dropboxusercontent.com/scl/fi/tenxmtcs4z3w7hlqdtfv7/mens-polo-size-chartsahrens.jpg?rlkey=lkiy1j8uduzhaxtv592u8p236&amp;dl=0","Click to download SizeChart")</f>
      </c>
      <c r="C295" s="0" t="inlineStr">
        <is>
          <t>Ahrens Men's Polo</t>
        </is>
      </c>
      <c r="D295" s="0" t="inlineStr">
        <is>
          <t>'129917</t>
        </is>
      </c>
      <c r="E295" s="0" t="inlineStr">
        <is>
          <t>DRK AHRENS M RL:129917F-3XL</t>
        </is>
      </c>
      <c r="F295" s="0" t="inlineStr">
        <is>
          <t>'817129917092</t>
        </is>
      </c>
      <c r="G295" s="0" t="inlineStr">
        <is>
          <t>MENS</t>
        </is>
      </c>
      <c r="H295" s="0" t="inlineStr">
        <is>
          <t>3XL</t>
        </is>
      </c>
      <c r="I295" s="0">
        <v>49.99</v>
      </c>
      <c r="J295" s="0">
        <v>1</v>
      </c>
    </row>
    <row r="296" spans="1:10" customHeight="0">
      <c r="A296" s="0">
        <f>HYPERLINK("https://dl.dropboxusercontent.com/scl/fi/ktdlgxa6ycnlkgkh4aplh/ahrens-129917-f.jpg?rlkey=9b75k036qxy2pgz6sftg3ynlq&amp;dl=0","Click to download Image")</f>
      </c>
      <c r="B296" s="0">
        <f>HYPERLINK("https://dl.dropboxusercontent.com/scl/fi/tenxmtcs4z3w7hlqdtfv7/mens-polo-size-chartsahrens.jpg?rlkey=lkiy1j8uduzhaxtv592u8p236&amp;dl=0","Click to download SizeChart")</f>
      </c>
      <c r="C296" s="0" t="inlineStr">
        <is>
          <t>Ahrens Men's Polo</t>
        </is>
      </c>
      <c r="D296" s="0" t="inlineStr">
        <is>
          <t>'129917</t>
        </is>
      </c>
      <c r="E296" s="0" t="inlineStr">
        <is>
          <t>DRK AHRENS M RL 12PK:129917Z-12PK</t>
        </is>
      </c>
      <c r="F296" s="0" t="inlineStr">
        <is>
          <t>'817129917993</t>
        </is>
      </c>
      <c r="G296" s="0" t="inlineStr">
        <is>
          <t>MENS</t>
        </is>
      </c>
      <c r="H296" s="0" t="inlineStr">
        <is>
          <t>12 PACK</t>
        </is>
      </c>
      <c r="I296" s="0">
        <v>482</v>
      </c>
      <c r="J296" s="0">
        <v>0</v>
      </c>
    </row>
    <row r="297" spans="1:10" customHeight="0">
      <c r="A297" s="0">
        <f>HYPERLINK("https://dl.dropboxusercontent.com/scl/fi/7xcjhxdegak84uwxbda3x/ahrens-129915-f.jpg?rlkey=kjdcwqg4yrxzhi74pfwftr4h3&amp;dl=0","Click to download Image")</f>
      </c>
      <c r="B297" s="0">
        <f>HYPERLINK("https://dl.dropboxusercontent.com/scl/fi/tenxmtcs4z3w7hlqdtfv7/mens-polo-size-chartsahrens.jpg?rlkey=lkiy1j8uduzhaxtv592u8p236&amp;dl=0","Click to download SizeChart")</f>
      </c>
      <c r="C297" s="0" t="inlineStr">
        <is>
          <t>Ahrens Men's Polo</t>
        </is>
      </c>
      <c r="D297" s="0" t="inlineStr">
        <is>
          <t>'129915</t>
        </is>
      </c>
      <c r="E297" s="0" t="inlineStr">
        <is>
          <t>ISU AHRENS M CL:129915A-S</t>
        </is>
      </c>
      <c r="F297" s="0" t="inlineStr">
        <is>
          <t>'801129915042</t>
        </is>
      </c>
      <c r="G297" s="0" t="inlineStr">
        <is>
          <t>MENS</t>
        </is>
      </c>
      <c r="H297" s="0" t="inlineStr">
        <is>
          <t>S</t>
        </is>
      </c>
      <c r="I297" s="0">
        <v>49.99</v>
      </c>
      <c r="J297" s="0">
        <v>3</v>
      </c>
    </row>
    <row r="298" spans="1:10" customHeight="0">
      <c r="A298" s="0">
        <f>HYPERLINK("https://dl.dropboxusercontent.com/scl/fi/7xcjhxdegak84uwxbda3x/ahrens-129915-f.jpg?rlkey=kjdcwqg4yrxzhi74pfwftr4h3&amp;dl=0","Click to download Image")</f>
      </c>
      <c r="B298" s="0">
        <f>HYPERLINK("https://dl.dropboxusercontent.com/scl/fi/tenxmtcs4z3w7hlqdtfv7/mens-polo-size-chartsahrens.jpg?rlkey=lkiy1j8uduzhaxtv592u8p236&amp;dl=0","Click to download SizeChart")</f>
      </c>
      <c r="C298" s="0" t="inlineStr">
        <is>
          <t>Ahrens Men's Polo</t>
        </is>
      </c>
      <c r="D298" s="0" t="inlineStr">
        <is>
          <t>'129915</t>
        </is>
      </c>
      <c r="E298" s="0" t="inlineStr">
        <is>
          <t>ISU AHRENS M CL:129915B-M</t>
        </is>
      </c>
      <c r="F298" s="0" t="inlineStr">
        <is>
          <t>'801129915059</t>
        </is>
      </c>
      <c r="G298" s="0" t="inlineStr">
        <is>
          <t>MENS</t>
        </is>
      </c>
      <c r="H298" s="0" t="inlineStr">
        <is>
          <t>M</t>
        </is>
      </c>
      <c r="I298" s="0">
        <v>49.99</v>
      </c>
      <c r="J298" s="0">
        <v>0</v>
      </c>
    </row>
    <row r="299" spans="1:10" customHeight="0">
      <c r="A299" s="0">
        <f>HYPERLINK("https://dl.dropboxusercontent.com/scl/fi/7xcjhxdegak84uwxbda3x/ahrens-129915-f.jpg?rlkey=kjdcwqg4yrxzhi74pfwftr4h3&amp;dl=0","Click to download Image")</f>
      </c>
      <c r="B299" s="0">
        <f>HYPERLINK("https://dl.dropboxusercontent.com/scl/fi/tenxmtcs4z3w7hlqdtfv7/mens-polo-size-chartsahrens.jpg?rlkey=lkiy1j8uduzhaxtv592u8p236&amp;dl=0","Click to download SizeChart")</f>
      </c>
      <c r="C299" s="0" t="inlineStr">
        <is>
          <t>Ahrens Men's Polo</t>
        </is>
      </c>
      <c r="D299" s="0" t="inlineStr">
        <is>
          <t>'129915</t>
        </is>
      </c>
      <c r="E299" s="0" t="inlineStr">
        <is>
          <t>ISU AHRENS M CL:129915C-L</t>
        </is>
      </c>
      <c r="F299" s="0" t="inlineStr">
        <is>
          <t>'801129915066</t>
        </is>
      </c>
      <c r="G299" s="0" t="inlineStr">
        <is>
          <t>MENS</t>
        </is>
      </c>
      <c r="H299" s="0" t="inlineStr">
        <is>
          <t>L</t>
        </is>
      </c>
      <c r="I299" s="0">
        <v>49.99</v>
      </c>
      <c r="J299" s="0">
        <v>0</v>
      </c>
    </row>
    <row r="300" spans="1:10" customHeight="0">
      <c r="A300" s="0">
        <f>HYPERLINK("https://dl.dropboxusercontent.com/scl/fi/7xcjhxdegak84uwxbda3x/ahrens-129915-f.jpg?rlkey=kjdcwqg4yrxzhi74pfwftr4h3&amp;dl=0","Click to download Image")</f>
      </c>
      <c r="B300" s="0">
        <f>HYPERLINK("https://dl.dropboxusercontent.com/scl/fi/tenxmtcs4z3w7hlqdtfv7/mens-polo-size-chartsahrens.jpg?rlkey=lkiy1j8uduzhaxtv592u8p236&amp;dl=0","Click to download SizeChart")</f>
      </c>
      <c r="C300" s="0" t="inlineStr">
        <is>
          <t>Ahrens Men's Polo</t>
        </is>
      </c>
      <c r="D300" s="0" t="inlineStr">
        <is>
          <t>'129915</t>
        </is>
      </c>
      <c r="E300" s="0" t="inlineStr">
        <is>
          <t>ISU AHRENS M CL:129915D-XL</t>
        </is>
      </c>
      <c r="F300" s="0" t="inlineStr">
        <is>
          <t>'801129915073</t>
        </is>
      </c>
      <c r="G300" s="0" t="inlineStr">
        <is>
          <t>MENS</t>
        </is>
      </c>
      <c r="H300" s="0" t="inlineStr">
        <is>
          <t>XL</t>
        </is>
      </c>
      <c r="I300" s="0">
        <v>49.99</v>
      </c>
      <c r="J300" s="0">
        <v>0</v>
      </c>
    </row>
    <row r="301" spans="1:10" customHeight="0">
      <c r="A301" s="0">
        <f>HYPERLINK("https://dl.dropboxusercontent.com/scl/fi/7xcjhxdegak84uwxbda3x/ahrens-129915-f.jpg?rlkey=kjdcwqg4yrxzhi74pfwftr4h3&amp;dl=0","Click to download Image")</f>
      </c>
      <c r="B301" s="0">
        <f>HYPERLINK("https://dl.dropboxusercontent.com/scl/fi/tenxmtcs4z3w7hlqdtfv7/mens-polo-size-chartsahrens.jpg?rlkey=lkiy1j8uduzhaxtv592u8p236&amp;dl=0","Click to download SizeChart")</f>
      </c>
      <c r="C301" s="0" t="inlineStr">
        <is>
          <t>Ahrens Men's Polo</t>
        </is>
      </c>
      <c r="D301" s="0" t="inlineStr">
        <is>
          <t>'129915</t>
        </is>
      </c>
      <c r="E301" s="0" t="inlineStr">
        <is>
          <t>ISU AHRENS M CL:129915E-2XL</t>
        </is>
      </c>
      <c r="F301" s="0" t="inlineStr">
        <is>
          <t>'801129915080</t>
        </is>
      </c>
      <c r="G301" s="0" t="inlineStr">
        <is>
          <t>MENS</t>
        </is>
      </c>
      <c r="H301" s="0" t="inlineStr">
        <is>
          <t>2XL</t>
        </is>
      </c>
      <c r="I301" s="0">
        <v>49.99</v>
      </c>
      <c r="J301" s="0">
        <v>0</v>
      </c>
    </row>
    <row r="302" spans="1:10" customHeight="0">
      <c r="A302" s="0">
        <f>HYPERLINK("https://dl.dropboxusercontent.com/scl/fi/7xcjhxdegak84uwxbda3x/ahrens-129915-f.jpg?rlkey=kjdcwqg4yrxzhi74pfwftr4h3&amp;dl=0","Click to download Image")</f>
      </c>
      <c r="B302" s="0">
        <f>HYPERLINK("https://dl.dropboxusercontent.com/scl/fi/tenxmtcs4z3w7hlqdtfv7/mens-polo-size-chartsahrens.jpg?rlkey=lkiy1j8uduzhaxtv592u8p236&amp;dl=0","Click to download SizeChart")</f>
      </c>
      <c r="C302" s="0" t="inlineStr">
        <is>
          <t>Ahrens Men's Polo</t>
        </is>
      </c>
      <c r="D302" s="0" t="inlineStr">
        <is>
          <t>'129915</t>
        </is>
      </c>
      <c r="E302" s="0" t="inlineStr">
        <is>
          <t>ISU AHRENS M CL:129915F-3XL</t>
        </is>
      </c>
      <c r="F302" s="0" t="inlineStr">
        <is>
          <t>'801129915097</t>
        </is>
      </c>
      <c r="G302" s="0" t="inlineStr">
        <is>
          <t>MENS</t>
        </is>
      </c>
      <c r="H302" s="0" t="inlineStr">
        <is>
          <t>3XL</t>
        </is>
      </c>
      <c r="I302" s="0">
        <v>49.99</v>
      </c>
      <c r="J302" s="0">
        <v>0</v>
      </c>
    </row>
    <row r="303" spans="1:10" customHeight="0">
      <c r="A303" s="0">
        <f>HYPERLINK("https://dl.dropboxusercontent.com/scl/fi/7xcjhxdegak84uwxbda3x/ahrens-129915-f.jpg?rlkey=kjdcwqg4yrxzhi74pfwftr4h3&amp;dl=0","Click to download Image")</f>
      </c>
      <c r="B303" s="0">
        <f>HYPERLINK("https://dl.dropboxusercontent.com/scl/fi/tenxmtcs4z3w7hlqdtfv7/mens-polo-size-chartsahrens.jpg?rlkey=lkiy1j8uduzhaxtv592u8p236&amp;dl=0","Click to download SizeChart")</f>
      </c>
      <c r="C303" s="0" t="inlineStr">
        <is>
          <t>Ahrens Men's Polo</t>
        </is>
      </c>
      <c r="D303" s="0" t="inlineStr">
        <is>
          <t>'129915</t>
        </is>
      </c>
      <c r="E303" s="0" t="inlineStr">
        <is>
          <t>ISU AHRENS M CL 12PK:129915Z-12PK</t>
        </is>
      </c>
      <c r="F303" s="0" t="inlineStr">
        <is>
          <t>'801129915998</t>
        </is>
      </c>
      <c r="G303" s="0" t="inlineStr">
        <is>
          <t>MENS</t>
        </is>
      </c>
      <c r="H303" s="0" t="inlineStr">
        <is>
          <t>12 PACK</t>
        </is>
      </c>
      <c r="I303" s="0">
        <v>482</v>
      </c>
      <c r="J303" s="0">
        <v>0</v>
      </c>
    </row>
    <row r="304" spans="1:10" customHeight="0">
      <c r="A304" s="0">
        <f>HYPERLINK("https://dl.dropboxusercontent.com/scl/fi/0wj4r2478vtb05ifr6k6b/ahrens-130523-f.jpg?rlkey=dlo799gylvvzzszz79fpb5s9o&amp;dl=0","Click to download Image")</f>
      </c>
      <c r="B304" s="0">
        <f>HYPERLINK("https://dl.dropboxusercontent.com/scl/fi/tenxmtcs4z3w7hlqdtfv7/mens-polo-size-chartsahrens.jpg?rlkey=lkiy1j8uduzhaxtv592u8p236&amp;dl=0","Click to download SizeChart")</f>
      </c>
      <c r="C304" s="0" t="inlineStr">
        <is>
          <t>Ahrens Men's Polo</t>
        </is>
      </c>
      <c r="D304" s="0" t="inlineStr">
        <is>
          <t>'130523</t>
        </is>
      </c>
      <c r="E304" s="0" t="inlineStr">
        <is>
          <t>SDSU AHRENS M RL:130523A-S</t>
        </is>
      </c>
      <c r="F304" s="0" t="inlineStr">
        <is>
          <t>'816130523049</t>
        </is>
      </c>
      <c r="G304" s="0" t="inlineStr">
        <is>
          <t>MENS</t>
        </is>
      </c>
      <c r="H304" s="0" t="inlineStr">
        <is>
          <t>S</t>
        </is>
      </c>
      <c r="I304" s="0">
        <v>49.99</v>
      </c>
      <c r="J304" s="0">
        <v>10</v>
      </c>
    </row>
    <row r="305" spans="1:10" customHeight="0">
      <c r="A305" s="0">
        <f>HYPERLINK("https://dl.dropboxusercontent.com/scl/fi/0wj4r2478vtb05ifr6k6b/ahrens-130523-f.jpg?rlkey=dlo799gylvvzzszz79fpb5s9o&amp;dl=0","Click to download Image")</f>
      </c>
      <c r="B305" s="0">
        <f>HYPERLINK("https://dl.dropboxusercontent.com/scl/fi/tenxmtcs4z3w7hlqdtfv7/mens-polo-size-chartsahrens.jpg?rlkey=lkiy1j8uduzhaxtv592u8p236&amp;dl=0","Click to download SizeChart")</f>
      </c>
      <c r="C305" s="0" t="inlineStr">
        <is>
          <t>Ahrens Men's Polo</t>
        </is>
      </c>
      <c r="D305" s="0" t="inlineStr">
        <is>
          <t>'130523</t>
        </is>
      </c>
      <c r="E305" s="0" t="inlineStr">
        <is>
          <t>SDSU AHRENS M RL:130523B-M</t>
        </is>
      </c>
      <c r="F305" s="0" t="inlineStr">
        <is>
          <t>'816130523056</t>
        </is>
      </c>
      <c r="G305" s="0" t="inlineStr">
        <is>
          <t>MENS</t>
        </is>
      </c>
      <c r="H305" s="0" t="inlineStr">
        <is>
          <t>M</t>
        </is>
      </c>
      <c r="I305" s="0">
        <v>49.99</v>
      </c>
      <c r="J305" s="0">
        <v>12</v>
      </c>
    </row>
    <row r="306" spans="1:10" customHeight="0">
      <c r="A306" s="0">
        <f>HYPERLINK("https://dl.dropboxusercontent.com/scl/fi/0wj4r2478vtb05ifr6k6b/ahrens-130523-f.jpg?rlkey=dlo799gylvvzzszz79fpb5s9o&amp;dl=0","Click to download Image")</f>
      </c>
      <c r="B306" s="0">
        <f>HYPERLINK("https://dl.dropboxusercontent.com/scl/fi/tenxmtcs4z3w7hlqdtfv7/mens-polo-size-chartsahrens.jpg?rlkey=lkiy1j8uduzhaxtv592u8p236&amp;dl=0","Click to download SizeChart")</f>
      </c>
      <c r="C306" s="0" t="inlineStr">
        <is>
          <t>Ahrens Men's Polo</t>
        </is>
      </c>
      <c r="D306" s="0" t="inlineStr">
        <is>
          <t>'130523</t>
        </is>
      </c>
      <c r="E306" s="0" t="inlineStr">
        <is>
          <t>SDSU AHRENS M RL:130523C-L</t>
        </is>
      </c>
      <c r="F306" s="0" t="inlineStr">
        <is>
          <t>'816130523063</t>
        </is>
      </c>
      <c r="G306" s="0" t="inlineStr">
        <is>
          <t>MENS</t>
        </is>
      </c>
      <c r="H306" s="0" t="inlineStr">
        <is>
          <t>L</t>
        </is>
      </c>
      <c r="I306" s="0">
        <v>49.99</v>
      </c>
      <c r="J306" s="0">
        <v>0</v>
      </c>
    </row>
    <row r="307" spans="1:10" customHeight="0">
      <c r="A307" s="0">
        <f>HYPERLINK("https://dl.dropboxusercontent.com/scl/fi/0wj4r2478vtb05ifr6k6b/ahrens-130523-f.jpg?rlkey=dlo799gylvvzzszz79fpb5s9o&amp;dl=0","Click to download Image")</f>
      </c>
      <c r="B307" s="0">
        <f>HYPERLINK("https://dl.dropboxusercontent.com/scl/fi/tenxmtcs4z3w7hlqdtfv7/mens-polo-size-chartsahrens.jpg?rlkey=lkiy1j8uduzhaxtv592u8p236&amp;dl=0","Click to download SizeChart")</f>
      </c>
      <c r="C307" s="0" t="inlineStr">
        <is>
          <t>Ahrens Men's Polo</t>
        </is>
      </c>
      <c r="D307" s="0" t="inlineStr">
        <is>
          <t>'130523</t>
        </is>
      </c>
      <c r="E307" s="0" t="inlineStr">
        <is>
          <t>SDSU AHRENS M RL:130523D-XL</t>
        </is>
      </c>
      <c r="F307" s="0" t="inlineStr">
        <is>
          <t>'816130523070</t>
        </is>
      </c>
      <c r="G307" s="0" t="inlineStr">
        <is>
          <t>MENS</t>
        </is>
      </c>
      <c r="H307" s="0" t="inlineStr">
        <is>
          <t>XL</t>
        </is>
      </c>
      <c r="I307" s="0">
        <v>49.99</v>
      </c>
      <c r="J307" s="0">
        <v>6</v>
      </c>
    </row>
    <row r="308" spans="1:10" customHeight="0">
      <c r="A308" s="0">
        <f>HYPERLINK("https://dl.dropboxusercontent.com/scl/fi/0wj4r2478vtb05ifr6k6b/ahrens-130523-f.jpg?rlkey=dlo799gylvvzzszz79fpb5s9o&amp;dl=0","Click to download Image")</f>
      </c>
      <c r="B308" s="0">
        <f>HYPERLINK("https://dl.dropboxusercontent.com/scl/fi/tenxmtcs4z3w7hlqdtfv7/mens-polo-size-chartsahrens.jpg?rlkey=lkiy1j8uduzhaxtv592u8p236&amp;dl=0","Click to download SizeChart")</f>
      </c>
      <c r="C308" s="0" t="inlineStr">
        <is>
          <t>Ahrens Men's Polo</t>
        </is>
      </c>
      <c r="D308" s="0" t="inlineStr">
        <is>
          <t>'130523</t>
        </is>
      </c>
      <c r="E308" s="0" t="inlineStr">
        <is>
          <t>SDSU AHRENS M RL:130523E-2XL</t>
        </is>
      </c>
      <c r="F308" s="0" t="inlineStr">
        <is>
          <t>'816130523087</t>
        </is>
      </c>
      <c r="G308" s="0" t="inlineStr">
        <is>
          <t>MENS</t>
        </is>
      </c>
      <c r="H308" s="0" t="inlineStr">
        <is>
          <t>2XL</t>
        </is>
      </c>
      <c r="I308" s="0">
        <v>49.99</v>
      </c>
      <c r="J308" s="0">
        <v>4</v>
      </c>
    </row>
    <row r="309" spans="1:10" customHeight="0">
      <c r="A309" s="0">
        <f>HYPERLINK("https://dl.dropboxusercontent.com/scl/fi/0wj4r2478vtb05ifr6k6b/ahrens-130523-f.jpg?rlkey=dlo799gylvvzzszz79fpb5s9o&amp;dl=0","Click to download Image")</f>
      </c>
      <c r="B309" s="0">
        <f>HYPERLINK("https://dl.dropboxusercontent.com/scl/fi/tenxmtcs4z3w7hlqdtfv7/mens-polo-size-chartsahrens.jpg?rlkey=lkiy1j8uduzhaxtv592u8p236&amp;dl=0","Click to download SizeChart")</f>
      </c>
      <c r="C309" s="0" t="inlineStr">
        <is>
          <t>Ahrens Men's Polo</t>
        </is>
      </c>
      <c r="D309" s="0" t="inlineStr">
        <is>
          <t>'130523</t>
        </is>
      </c>
      <c r="E309" s="0" t="inlineStr">
        <is>
          <t>SDSU AHRENS M RL:130523F-3XL</t>
        </is>
      </c>
      <c r="F309" s="0" t="inlineStr">
        <is>
          <t>'816130523094</t>
        </is>
      </c>
      <c r="G309" s="0" t="inlineStr">
        <is>
          <t>MENS</t>
        </is>
      </c>
      <c r="H309" s="0" t="inlineStr">
        <is>
          <t>3XL</t>
        </is>
      </c>
      <c r="I309" s="0">
        <v>49.99</v>
      </c>
      <c r="J309" s="0">
        <v>1</v>
      </c>
    </row>
    <row r="310" spans="1:10" customHeight="0">
      <c r="A310" s="0">
        <f>HYPERLINK("https://dl.dropboxusercontent.com/scl/fi/0wj4r2478vtb05ifr6k6b/ahrens-130523-f.jpg?rlkey=dlo799gylvvzzszz79fpb5s9o&amp;dl=0","Click to download Image")</f>
      </c>
      <c r="B310" s="0">
        <f>HYPERLINK("https://dl.dropboxusercontent.com/scl/fi/tenxmtcs4z3w7hlqdtfv7/mens-polo-size-chartsahrens.jpg?rlkey=lkiy1j8uduzhaxtv592u8p236&amp;dl=0","Click to download SizeChart")</f>
      </c>
      <c r="C310" s="0" t="inlineStr">
        <is>
          <t>Ahrens Men's Polo</t>
        </is>
      </c>
      <c r="D310" s="0" t="inlineStr">
        <is>
          <t>'130523</t>
        </is>
      </c>
      <c r="E310" s="0" t="inlineStr">
        <is>
          <t>SDSU AHRENS M RL 12PK:130523Z-12PK</t>
        </is>
      </c>
      <c r="F310" s="0" t="inlineStr">
        <is>
          <t>'816130523995</t>
        </is>
      </c>
      <c r="G310" s="0" t="inlineStr">
        <is>
          <t>MENS</t>
        </is>
      </c>
      <c r="H310" s="0" t="inlineStr">
        <is>
          <t>12 PACK</t>
        </is>
      </c>
      <c r="I310" s="0">
        <v>482</v>
      </c>
      <c r="J310" s="0">
        <v>0</v>
      </c>
    </row>
    <row r="311" spans="1:10" customHeight="0">
      <c r="A311" s="0">
        <f>HYPERLINK("https://dl.dropboxusercontent.com/scl/fi/ko3y103cmjjw3tzgkv6fh/144384f.jpg?rlkey=7lgstddd9yq5dx539sj1srjik&amp;dl=0","Click to download Image")</f>
      </c>
      <c r="B311" s="0">
        <f>HYPERLINK("https://dl.dropboxusercontent.com/scl/fi/tenxmtcs4z3w7hlqdtfv7/mens-polo-size-chartsahrens.jpg?rlkey=lkiy1j8uduzhaxtv592u8p236&amp;dl=0","Click to download SizeChart")</f>
      </c>
      <c r="C311" s="0" t="inlineStr">
        <is>
          <t>Ahrens Men's Polo</t>
        </is>
      </c>
      <c r="D311" s="0" t="inlineStr">
        <is>
          <t>'144384</t>
        </is>
      </c>
      <c r="E311" s="0" t="inlineStr">
        <is>
          <t>IOWA AHRENS M GY:144384A-S</t>
        </is>
      </c>
      <c r="F311" s="0" t="inlineStr">
        <is>
          <t>'800144384048</t>
        </is>
      </c>
      <c r="G311" s="0" t="inlineStr">
        <is>
          <t>MENS</t>
        </is>
      </c>
      <c r="H311" s="0" t="inlineStr">
        <is>
          <t>S</t>
        </is>
      </c>
      <c r="I311" s="0">
        <v>49.99</v>
      </c>
      <c r="J311" s="0">
        <v>2</v>
      </c>
    </row>
    <row r="312" spans="1:10" customHeight="0">
      <c r="A312" s="0">
        <f>HYPERLINK("https://dl.dropboxusercontent.com/scl/fi/ko3y103cmjjw3tzgkv6fh/144384f.jpg?rlkey=7lgstddd9yq5dx539sj1srjik&amp;dl=0","Click to download Image")</f>
      </c>
      <c r="B312" s="0">
        <f>HYPERLINK("https://dl.dropboxusercontent.com/scl/fi/tenxmtcs4z3w7hlqdtfv7/mens-polo-size-chartsahrens.jpg?rlkey=lkiy1j8uduzhaxtv592u8p236&amp;dl=0","Click to download SizeChart")</f>
      </c>
      <c r="C312" s="0" t="inlineStr">
        <is>
          <t>Ahrens Men's Polo</t>
        </is>
      </c>
      <c r="D312" s="0" t="inlineStr">
        <is>
          <t>'144384</t>
        </is>
      </c>
      <c r="E312" s="0" t="inlineStr">
        <is>
          <t>IOWA AHRENS M GY:144384B-M</t>
        </is>
      </c>
      <c r="F312" s="0" t="inlineStr">
        <is>
          <t>'800144384055</t>
        </is>
      </c>
      <c r="G312" s="0" t="inlineStr">
        <is>
          <t>MENS</t>
        </is>
      </c>
      <c r="H312" s="0" t="inlineStr">
        <is>
          <t>M</t>
        </is>
      </c>
      <c r="I312" s="0">
        <v>49.99</v>
      </c>
      <c r="J312" s="0">
        <v>1</v>
      </c>
    </row>
    <row r="313" spans="1:10" customHeight="0">
      <c r="A313" s="0">
        <f>HYPERLINK("https://dl.dropboxusercontent.com/scl/fi/ko3y103cmjjw3tzgkv6fh/144384f.jpg?rlkey=7lgstddd9yq5dx539sj1srjik&amp;dl=0","Click to download Image")</f>
      </c>
      <c r="B313" s="0">
        <f>HYPERLINK("https://dl.dropboxusercontent.com/scl/fi/tenxmtcs4z3w7hlqdtfv7/mens-polo-size-chartsahrens.jpg?rlkey=lkiy1j8uduzhaxtv592u8p236&amp;dl=0","Click to download SizeChart")</f>
      </c>
      <c r="C313" s="0" t="inlineStr">
        <is>
          <t>Ahrens Men's Polo</t>
        </is>
      </c>
      <c r="D313" s="0" t="inlineStr">
        <is>
          <t>'144384</t>
        </is>
      </c>
      <c r="E313" s="0" t="inlineStr">
        <is>
          <t>IOWA AHRENS M GY:144384C-L</t>
        </is>
      </c>
      <c r="F313" s="0" t="inlineStr">
        <is>
          <t>'800144384062</t>
        </is>
      </c>
      <c r="G313" s="0" t="inlineStr">
        <is>
          <t>MENS</t>
        </is>
      </c>
      <c r="H313" s="0" t="inlineStr">
        <is>
          <t>L</t>
        </is>
      </c>
      <c r="I313" s="0">
        <v>49.99</v>
      </c>
      <c r="J313" s="0">
        <v>0</v>
      </c>
    </row>
    <row r="314" spans="1:10" customHeight="0">
      <c r="A314" s="0">
        <f>HYPERLINK("https://dl.dropboxusercontent.com/scl/fi/ko3y103cmjjw3tzgkv6fh/144384f.jpg?rlkey=7lgstddd9yq5dx539sj1srjik&amp;dl=0","Click to download Image")</f>
      </c>
      <c r="B314" s="0">
        <f>HYPERLINK("https://dl.dropboxusercontent.com/scl/fi/tenxmtcs4z3w7hlqdtfv7/mens-polo-size-chartsahrens.jpg?rlkey=lkiy1j8uduzhaxtv592u8p236&amp;dl=0","Click to download SizeChart")</f>
      </c>
      <c r="C314" s="0" t="inlineStr">
        <is>
          <t>Ahrens Men's Polo</t>
        </is>
      </c>
      <c r="D314" s="0" t="inlineStr">
        <is>
          <t>'144384</t>
        </is>
      </c>
      <c r="E314" s="0" t="inlineStr">
        <is>
          <t>IOWA AHRENS M GY:144384D-XL</t>
        </is>
      </c>
      <c r="F314" s="0" t="inlineStr">
        <is>
          <t>'800144384079</t>
        </is>
      </c>
      <c r="G314" s="0" t="inlineStr">
        <is>
          <t>MENS</t>
        </is>
      </c>
      <c r="H314" s="0" t="inlineStr">
        <is>
          <t>XL</t>
        </is>
      </c>
      <c r="I314" s="0">
        <v>49.99</v>
      </c>
      <c r="J314" s="0">
        <v>1</v>
      </c>
    </row>
    <row r="315" spans="1:10" customHeight="0">
      <c r="A315" s="0">
        <f>HYPERLINK("https://dl.dropboxusercontent.com/scl/fi/ko3y103cmjjw3tzgkv6fh/144384f.jpg?rlkey=7lgstddd9yq5dx539sj1srjik&amp;dl=0","Click to download Image")</f>
      </c>
      <c r="B315" s="0">
        <f>HYPERLINK("https://dl.dropboxusercontent.com/scl/fi/tenxmtcs4z3w7hlqdtfv7/mens-polo-size-chartsahrens.jpg?rlkey=lkiy1j8uduzhaxtv592u8p236&amp;dl=0","Click to download SizeChart")</f>
      </c>
      <c r="C315" s="0" t="inlineStr">
        <is>
          <t>Ahrens Men's Polo</t>
        </is>
      </c>
      <c r="D315" s="0" t="inlineStr">
        <is>
          <t>'144384</t>
        </is>
      </c>
      <c r="E315" s="0" t="inlineStr">
        <is>
          <t>IOWA AHRENS M GY:144384E-2XL</t>
        </is>
      </c>
      <c r="F315" s="0" t="inlineStr">
        <is>
          <t>'800144384086</t>
        </is>
      </c>
      <c r="G315" s="0" t="inlineStr">
        <is>
          <t>MENS</t>
        </is>
      </c>
      <c r="H315" s="0" t="inlineStr">
        <is>
          <t>2XL</t>
        </is>
      </c>
      <c r="I315" s="0">
        <v>49.99</v>
      </c>
      <c r="J315" s="0">
        <v>0</v>
      </c>
    </row>
    <row r="316" spans="1:10" customHeight="0">
      <c r="A316" s="0">
        <f>HYPERLINK("https://dl.dropboxusercontent.com/scl/fi/ko3y103cmjjw3tzgkv6fh/144384f.jpg?rlkey=7lgstddd9yq5dx539sj1srjik&amp;dl=0","Click to download Image")</f>
      </c>
      <c r="B316" s="0">
        <f>HYPERLINK("https://dl.dropboxusercontent.com/scl/fi/tenxmtcs4z3w7hlqdtfv7/mens-polo-size-chartsahrens.jpg?rlkey=lkiy1j8uduzhaxtv592u8p236&amp;dl=0","Click to download SizeChart")</f>
      </c>
      <c r="C316" s="0" t="inlineStr">
        <is>
          <t>Ahrens Men's Polo</t>
        </is>
      </c>
      <c r="D316" s="0" t="inlineStr">
        <is>
          <t>'144384</t>
        </is>
      </c>
      <c r="E316" s="0" t="inlineStr">
        <is>
          <t>IOWA AHRENS M GY:144384F-3XL</t>
        </is>
      </c>
      <c r="F316" s="0" t="inlineStr">
        <is>
          <t>'800144384093</t>
        </is>
      </c>
      <c r="G316" s="0" t="inlineStr">
        <is>
          <t>MENS</t>
        </is>
      </c>
      <c r="H316" s="0" t="inlineStr">
        <is>
          <t>3XL</t>
        </is>
      </c>
      <c r="I316" s="0">
        <v>49.99</v>
      </c>
      <c r="J316" s="0">
        <v>1</v>
      </c>
    </row>
    <row r="317" spans="1:10" customHeight="0">
      <c r="A317" s="0">
        <f>HYPERLINK("https://dl.dropboxusercontent.com/scl/fi/s3zfrtd2419brfs1jk4ha/drake-133244-af.jpg?rlkey=zqb455r74ugf8gdys5wkblacz&amp;dl=0","Click to download Image")</f>
      </c>
      <c r="C317" s="0" t="inlineStr">
        <is>
          <t>Draco Infant Cap</t>
        </is>
      </c>
      <c r="D317" s="0" t="inlineStr">
        <is>
          <t>'133244</t>
        </is>
      </c>
      <c r="E317" s="0" t="inlineStr">
        <is>
          <t>DRK DRACO I BK:133244</t>
        </is>
      </c>
      <c r="F317" s="0" t="inlineStr">
        <is>
          <t>'717133244057</t>
        </is>
      </c>
      <c r="G317" s="0" t="inlineStr">
        <is>
          <t>INFANT</t>
        </is>
      </c>
      <c r="H317" s="0" t="inlineStr">
        <is>
          <t>STANDARD:47CM</t>
        </is>
      </c>
      <c r="I317" s="0">
        <v>24.99</v>
      </c>
      <c r="J317" s="0">
        <v>11</v>
      </c>
    </row>
    <row r="318" spans="1:10" customHeight="0">
      <c r="A318" s="0">
        <f>HYPERLINK("https://dl.dropboxusercontent.com/scl/fi/crnuod4a6wtauqix2f73r/draco-133691-af.jpg?rlkey=o2xexjq18cpajdu2k5jsthk52&amp;dl=0","Click to download Image")</f>
      </c>
      <c r="C318" s="0" t="inlineStr">
        <is>
          <t>Draco Infant Cap</t>
        </is>
      </c>
      <c r="D318" s="0" t="inlineStr">
        <is>
          <t>'133691</t>
        </is>
      </c>
      <c r="E318" s="0" t="inlineStr">
        <is>
          <t>ISU DRACO I BK:133691</t>
        </is>
      </c>
      <c r="F318" s="0" t="inlineStr">
        <is>
          <t>'701133691058</t>
        </is>
      </c>
      <c r="G318" s="0" t="inlineStr">
        <is>
          <t>INFANT</t>
        </is>
      </c>
      <c r="H318" s="0" t="inlineStr">
        <is>
          <t>STANDARD:47CM</t>
        </is>
      </c>
      <c r="I318" s="0">
        <v>24.99</v>
      </c>
      <c r="J318" s="0">
        <v>6</v>
      </c>
    </row>
    <row r="319" spans="1:10" customHeight="0">
      <c r="A319" s="0">
        <f>HYPERLINK("https://dl.dropboxusercontent.com/scl/fi/3hll4yz6wqj13hhsw2l4u/fielder-132460-f.jpg?rlkey=wmaufy7z3myvdlo80kb38wq3e&amp;dl=0","Click to download Image")</f>
      </c>
      <c r="C319" s="0" t="inlineStr">
        <is>
          <t>Fielder Youth Hoodie</t>
        </is>
      </c>
      <c r="D319" s="0" t="inlineStr">
        <is>
          <t>'132460</t>
        </is>
      </c>
      <c r="E319" s="0" t="inlineStr">
        <is>
          <t>USD FIELDE Y BC:132460B-YS</t>
        </is>
      </c>
      <c r="F319" s="0" t="inlineStr">
        <is>
          <t>'811132460019</t>
        </is>
      </c>
      <c r="G319" s="0" t="inlineStr">
        <is>
          <t>YOUTH</t>
        </is>
      </c>
      <c r="H319" s="0" t="inlineStr">
        <is>
          <t>YS</t>
        </is>
      </c>
      <c r="I319" s="0">
        <v>59.99</v>
      </c>
      <c r="J319" s="0">
        <v>1</v>
      </c>
    </row>
    <row r="320" spans="1:10" customHeight="0">
      <c r="A320" s="0">
        <f>HYPERLINK("https://dl.dropboxusercontent.com/scl/fi/3hll4yz6wqj13hhsw2l4u/fielder-132460-f.jpg?rlkey=wmaufy7z3myvdlo80kb38wq3e&amp;dl=0","Click to download Image")</f>
      </c>
      <c r="C320" s="0" t="inlineStr">
        <is>
          <t>Fielder Youth Hoodie</t>
        </is>
      </c>
      <c r="D320" s="0" t="inlineStr">
        <is>
          <t>'132460</t>
        </is>
      </c>
      <c r="E320" s="0" t="inlineStr">
        <is>
          <t>USD FIELDE Y BC:132460C-YM</t>
        </is>
      </c>
      <c r="F320" s="0" t="inlineStr">
        <is>
          <t>'811132460026</t>
        </is>
      </c>
      <c r="G320" s="0" t="inlineStr">
        <is>
          <t>YOUTH</t>
        </is>
      </c>
      <c r="H320" s="0" t="inlineStr">
        <is>
          <t>YM</t>
        </is>
      </c>
      <c r="I320" s="0">
        <v>59.99</v>
      </c>
      <c r="J320" s="0">
        <v>0</v>
      </c>
    </row>
    <row r="321" spans="1:10" customHeight="0">
      <c r="A321" s="0">
        <f>HYPERLINK("https://dl.dropboxusercontent.com/scl/fi/3hll4yz6wqj13hhsw2l4u/fielder-132460-f.jpg?rlkey=wmaufy7z3myvdlo80kb38wq3e&amp;dl=0","Click to download Image")</f>
      </c>
      <c r="C321" s="0" t="inlineStr">
        <is>
          <t>Fielder Youth Hoodie</t>
        </is>
      </c>
      <c r="D321" s="0" t="inlineStr">
        <is>
          <t>'132460</t>
        </is>
      </c>
      <c r="E321" s="0" t="inlineStr">
        <is>
          <t>USD FIELDE Y BC:132460D-YL</t>
        </is>
      </c>
      <c r="F321" s="0" t="inlineStr">
        <is>
          <t>'811132460033</t>
        </is>
      </c>
      <c r="G321" s="0" t="inlineStr">
        <is>
          <t>YOUTH</t>
        </is>
      </c>
      <c r="H321" s="0" t="inlineStr">
        <is>
          <t>YL</t>
        </is>
      </c>
      <c r="I321" s="0">
        <v>59.99</v>
      </c>
      <c r="J321" s="0">
        <v>0</v>
      </c>
    </row>
    <row r="322" spans="1:10" customHeight="0">
      <c r="A322" s="0">
        <f>HYPERLINK("https://dl.dropboxusercontent.com/scl/fi/3hll4yz6wqj13hhsw2l4u/fielder-132460-f.jpg?rlkey=wmaufy7z3myvdlo80kb38wq3e&amp;dl=0","Click to download Image")</f>
      </c>
      <c r="C322" s="0" t="inlineStr">
        <is>
          <t>Fielder Youth Hoodie</t>
        </is>
      </c>
      <c r="D322" s="0" t="inlineStr">
        <is>
          <t>'132460</t>
        </is>
      </c>
      <c r="E322" s="0" t="inlineStr">
        <is>
          <t>USD FIELDE Y BC:132460E-YXL</t>
        </is>
      </c>
      <c r="F322" s="0" t="inlineStr">
        <is>
          <t>'811132460040</t>
        </is>
      </c>
      <c r="G322" s="0" t="inlineStr">
        <is>
          <t>YOUTH</t>
        </is>
      </c>
      <c r="H322" s="0" t="inlineStr">
        <is>
          <t>YXL</t>
        </is>
      </c>
      <c r="I322" s="0">
        <v>59.99</v>
      </c>
      <c r="J322" s="0">
        <v>0</v>
      </c>
    </row>
    <row r="323" spans="1:10" customHeight="0">
      <c r="A323" s="0">
        <f>HYPERLINK("https://dl.dropboxusercontent.com/scl/fi/3hll4yz6wqj13hhsw2l4u/fielder-132460-f.jpg?rlkey=wmaufy7z3myvdlo80kb38wq3e&amp;dl=0","Click to download Image")</f>
      </c>
      <c r="C323" s="0" t="inlineStr">
        <is>
          <t>Fielder Youth Hoodie</t>
        </is>
      </c>
      <c r="D323" s="0" t="inlineStr">
        <is>
          <t>'132460</t>
        </is>
      </c>
      <c r="E323" s="0" t="inlineStr">
        <is>
          <t>USD FIELDE Y BC 12PK:132460Z-12PK</t>
        </is>
      </c>
      <c r="F323" s="0" t="inlineStr">
        <is>
          <t>'811132460996</t>
        </is>
      </c>
      <c r="G323" s="0" t="inlineStr">
        <is>
          <t>YOUTH</t>
        </is>
      </c>
      <c r="H323" s="0" t="inlineStr">
        <is>
          <t>12 PACK</t>
        </is>
      </c>
      <c r="I323" s="0">
        <v>528</v>
      </c>
      <c r="J323" s="0">
        <v>0</v>
      </c>
    </row>
    <row r="324" spans="1:10" customHeight="0">
      <c r="A324" s="0">
        <f>HYPERLINK("https://dl.dropboxusercontent.com/scl/fi/7olo0d4kabrqf1fc7yjpu/131193-f.jpg?rlkey=7j4ggdpgw5jnmwrqz7dgs06sn&amp;dl=0","Click to download Image")</f>
      </c>
      <c r="C324" s="0" t="inlineStr">
        <is>
          <t>Cooper Youth T-Shirt</t>
        </is>
      </c>
      <c r="D324" s="0" t="inlineStr">
        <is>
          <t>'131193</t>
        </is>
      </c>
      <c r="E324" s="0" t="inlineStr">
        <is>
          <t>IND COOPER Y DG:131193B-YS</t>
        </is>
      </c>
      <c r="F324" s="0" t="inlineStr">
        <is>
          <t>'806131193013</t>
        </is>
      </c>
      <c r="G324" s="0" t="inlineStr">
        <is>
          <t>YOUTH</t>
        </is>
      </c>
      <c r="H324" s="0" t="inlineStr">
        <is>
          <t>YS</t>
        </is>
      </c>
      <c r="I324" s="0">
        <v>29.99</v>
      </c>
      <c r="J324" s="0">
        <v>1</v>
      </c>
    </row>
    <row r="325" spans="1:10" customHeight="0">
      <c r="A325" s="0">
        <f>HYPERLINK("https://dl.dropboxusercontent.com/scl/fi/7olo0d4kabrqf1fc7yjpu/131193-f.jpg?rlkey=7j4ggdpgw5jnmwrqz7dgs06sn&amp;dl=0","Click to download Image")</f>
      </c>
      <c r="C325" s="0" t="inlineStr">
        <is>
          <t>Cooper Youth T-Shirt</t>
        </is>
      </c>
      <c r="D325" s="0" t="inlineStr">
        <is>
          <t>'131193</t>
        </is>
      </c>
      <c r="E325" s="0" t="inlineStr">
        <is>
          <t>IND COOPER Y DG:131193C-YM</t>
        </is>
      </c>
      <c r="F325" s="0" t="inlineStr">
        <is>
          <t>'806131193020</t>
        </is>
      </c>
      <c r="G325" s="0" t="inlineStr">
        <is>
          <t>YOUTH</t>
        </is>
      </c>
      <c r="H325" s="0" t="inlineStr">
        <is>
          <t>YM</t>
        </is>
      </c>
      <c r="I325" s="0">
        <v>29.99</v>
      </c>
      <c r="J325" s="0">
        <v>0</v>
      </c>
    </row>
    <row r="326" spans="1:10" customHeight="0">
      <c r="A326" s="0">
        <f>HYPERLINK("https://dl.dropboxusercontent.com/scl/fi/7olo0d4kabrqf1fc7yjpu/131193-f.jpg?rlkey=7j4ggdpgw5jnmwrqz7dgs06sn&amp;dl=0","Click to download Image")</f>
      </c>
      <c r="C326" s="0" t="inlineStr">
        <is>
          <t>Cooper Youth T-Shirt</t>
        </is>
      </c>
      <c r="D326" s="0" t="inlineStr">
        <is>
          <t>'131193</t>
        </is>
      </c>
      <c r="E326" s="0" t="inlineStr">
        <is>
          <t>IND COOPER Y DG:131193D-YL</t>
        </is>
      </c>
      <c r="F326" s="0" t="inlineStr">
        <is>
          <t>'806131193037</t>
        </is>
      </c>
      <c r="G326" s="0" t="inlineStr">
        <is>
          <t>YOUTH</t>
        </is>
      </c>
      <c r="H326" s="0" t="inlineStr">
        <is>
          <t>YL</t>
        </is>
      </c>
      <c r="I326" s="0">
        <v>29.99</v>
      </c>
      <c r="J326" s="0">
        <v>0</v>
      </c>
    </row>
    <row r="327" spans="1:10" customHeight="0">
      <c r="A327" s="0">
        <f>HYPERLINK("https://dl.dropboxusercontent.com/scl/fi/7olo0d4kabrqf1fc7yjpu/131193-f.jpg?rlkey=7j4ggdpgw5jnmwrqz7dgs06sn&amp;dl=0","Click to download Image")</f>
      </c>
      <c r="C327" s="0" t="inlineStr">
        <is>
          <t>Cooper Youth T-Shirt</t>
        </is>
      </c>
      <c r="D327" s="0" t="inlineStr">
        <is>
          <t>'131193</t>
        </is>
      </c>
      <c r="E327" s="0" t="inlineStr">
        <is>
          <t>IND COOPER Y DG:131193E-YXL</t>
        </is>
      </c>
      <c r="F327" s="0" t="inlineStr">
        <is>
          <t>'806131193044</t>
        </is>
      </c>
      <c r="G327" s="0" t="inlineStr">
        <is>
          <t>YOUTH</t>
        </is>
      </c>
      <c r="H327" s="0" t="inlineStr">
        <is>
          <t>YXL</t>
        </is>
      </c>
      <c r="I327" s="0">
        <v>29.99</v>
      </c>
      <c r="J327" s="0">
        <v>0</v>
      </c>
    </row>
    <row r="328" spans="1:10" customHeight="0">
      <c r="A328" s="0">
        <f>HYPERLINK("https://dl.dropboxusercontent.com/scl/fi/7olo0d4kabrqf1fc7yjpu/131193-f.jpg?rlkey=7j4ggdpgw5jnmwrqz7dgs06sn&amp;dl=0","Click to download Image")</f>
      </c>
      <c r="C328" s="0" t="inlineStr">
        <is>
          <t>Cooper Youth T-Shirt</t>
        </is>
      </c>
      <c r="D328" s="0" t="inlineStr">
        <is>
          <t>'131193</t>
        </is>
      </c>
      <c r="E328" s="0" t="inlineStr">
        <is>
          <t>IND COOPER Y DG 12PK:131193Z-12PK</t>
        </is>
      </c>
      <c r="F328" s="0" t="inlineStr">
        <is>
          <t>'806131193990</t>
        </is>
      </c>
      <c r="G328" s="0" t="inlineStr">
        <is>
          <t>YOUTH</t>
        </is>
      </c>
      <c r="H328" s="0" t="inlineStr">
        <is>
          <t>12 PACK</t>
        </is>
      </c>
      <c r="I328" s="0">
        <v>288</v>
      </c>
      <c r="J328" s="0">
        <v>0</v>
      </c>
    </row>
    <row r="329" spans="1:10" customHeight="0">
      <c r="A329" s="0">
        <f>HYPERLINK("https://dl.dropboxusercontent.com/scl/fi/gd6dac7bksmqyxslqhko3/jaxon-151520-tn.jpg?rlkey=t8scxd528wdshmqllpa86i352&amp;dl=0","Click to download Image")</f>
      </c>
      <c r="C329" s="0" t="inlineStr">
        <is>
          <t>Jaxon Youth Short Sleeve Shirt</t>
        </is>
      </c>
      <c r="D329" s="0" t="inlineStr">
        <is>
          <t>'152754</t>
        </is>
      </c>
      <c r="E329" s="0" t="inlineStr">
        <is>
          <t>KSU JAXON Y HG:152754B-YS</t>
        </is>
      </c>
      <c r="F329" s="0" t="inlineStr">
        <is>
          <t>'805152754012</t>
        </is>
      </c>
      <c r="G329" s="0" t="inlineStr">
        <is>
          <t>YOUTH</t>
        </is>
      </c>
      <c r="H329" s="0" t="inlineStr">
        <is>
          <t>YS</t>
        </is>
      </c>
      <c r="I329" s="0">
        <v>29.99</v>
      </c>
      <c r="J329" s="0">
        <v>0</v>
      </c>
    </row>
    <row r="330" spans="1:10" customHeight="0">
      <c r="A330" s="0">
        <f>HYPERLINK("https://dl.dropboxusercontent.com/scl/fi/gd6dac7bksmqyxslqhko3/jaxon-151520-tn.jpg?rlkey=t8scxd528wdshmqllpa86i352&amp;dl=0","Click to download Image")</f>
      </c>
      <c r="C330" s="0" t="inlineStr">
        <is>
          <t>Jaxon Youth Short Sleeve Shirt</t>
        </is>
      </c>
      <c r="D330" s="0" t="inlineStr">
        <is>
          <t>'152754</t>
        </is>
      </c>
      <c r="E330" s="0" t="inlineStr">
        <is>
          <t>KSU JAXON Y HG:152754C-YM</t>
        </is>
      </c>
      <c r="F330" s="0" t="inlineStr">
        <is>
          <t>'805152754029</t>
        </is>
      </c>
      <c r="G330" s="0" t="inlineStr">
        <is>
          <t>YOUTH</t>
        </is>
      </c>
      <c r="H330" s="0" t="inlineStr">
        <is>
          <t>YM</t>
        </is>
      </c>
      <c r="I330" s="0">
        <v>29.99</v>
      </c>
      <c r="J330" s="0">
        <v>0</v>
      </c>
    </row>
    <row r="331" spans="1:10" customHeight="0">
      <c r="A331" s="0">
        <f>HYPERLINK("https://dl.dropboxusercontent.com/scl/fi/gd6dac7bksmqyxslqhko3/jaxon-151520-tn.jpg?rlkey=t8scxd528wdshmqllpa86i352&amp;dl=0","Click to download Image")</f>
      </c>
      <c r="C331" s="0" t="inlineStr">
        <is>
          <t>Jaxon Youth Short Sleeve Shirt</t>
        </is>
      </c>
      <c r="D331" s="0" t="inlineStr">
        <is>
          <t>'152754</t>
        </is>
      </c>
      <c r="E331" s="0" t="inlineStr">
        <is>
          <t>KSU JAXON Y HG:152754D-YL</t>
        </is>
      </c>
      <c r="F331" s="0" t="inlineStr">
        <is>
          <t>'805152754036</t>
        </is>
      </c>
      <c r="G331" s="0" t="inlineStr">
        <is>
          <t>YOUTH</t>
        </is>
      </c>
      <c r="H331" s="0" t="inlineStr">
        <is>
          <t>YL</t>
        </is>
      </c>
      <c r="I331" s="0">
        <v>29.99</v>
      </c>
      <c r="J331" s="0">
        <v>0</v>
      </c>
    </row>
    <row r="332" spans="1:10" customHeight="0">
      <c r="A332" s="0">
        <f>HYPERLINK("https://dl.dropboxusercontent.com/scl/fi/gd6dac7bksmqyxslqhko3/jaxon-151520-tn.jpg?rlkey=t8scxd528wdshmqllpa86i352&amp;dl=0","Click to download Image")</f>
      </c>
      <c r="C332" s="0" t="inlineStr">
        <is>
          <t>Jaxon Youth Short Sleeve Shirt</t>
        </is>
      </c>
      <c r="D332" s="0" t="inlineStr">
        <is>
          <t>'152754</t>
        </is>
      </c>
      <c r="E332" s="0" t="inlineStr">
        <is>
          <t>KSU JAXON Y HG:152754E-YXL</t>
        </is>
      </c>
      <c r="F332" s="0" t="inlineStr">
        <is>
          <t>'805152754043</t>
        </is>
      </c>
      <c r="G332" s="0" t="inlineStr">
        <is>
          <t>YOUTH</t>
        </is>
      </c>
      <c r="H332" s="0" t="inlineStr">
        <is>
          <t>YXL</t>
        </is>
      </c>
      <c r="I332" s="0">
        <v>29.99</v>
      </c>
      <c r="J332" s="0">
        <v>5</v>
      </c>
    </row>
    <row r="333" spans="1:10" customHeight="0">
      <c r="A333" s="0">
        <f>HYPERLINK("https://dl.dropboxusercontent.com/scl/fi/gd6dac7bksmqyxslqhko3/jaxon-151520-tn.jpg?rlkey=t8scxd528wdshmqllpa86i352&amp;dl=0","Click to download Image")</f>
      </c>
      <c r="C333" s="0" t="inlineStr">
        <is>
          <t>Jaxon Youth Short Sleeve Shirt</t>
        </is>
      </c>
      <c r="D333" s="0" t="inlineStr">
        <is>
          <t>'152754</t>
        </is>
      </c>
      <c r="E333" s="0" t="inlineStr">
        <is>
          <t>KSU JAXON Y HG:152754Z-12PK</t>
        </is>
      </c>
      <c r="F333" s="0" t="inlineStr">
        <is>
          <t>'805152754999</t>
        </is>
      </c>
      <c r="G333" s="0" t="inlineStr">
        <is>
          <t>YOUTH</t>
        </is>
      </c>
      <c r="H333" s="0" t="inlineStr">
        <is>
          <t>12 PACK</t>
        </is>
      </c>
      <c r="I333" s="0">
        <v>288</v>
      </c>
      <c r="J333" s="0">
        <v>0</v>
      </c>
    </row>
    <row r="334" spans="1:10" customHeight="0">
      <c r="A334" s="0">
        <f>HYPERLINK("https://dl.dropboxusercontent.com/scl/fi/1fge49i282lnpbm6x18ml/editdsc8189-copy.jpg?rlkey=4pchg35frzsarpc6wbbcg3te8&amp;dl=0","Click to download Image")</f>
      </c>
      <c r="C334" s="0" t="inlineStr">
        <is>
          <t>Iker Infant Jumpsuit</t>
        </is>
      </c>
      <c r="D334" s="0" t="inlineStr">
        <is>
          <t>'144360</t>
        </is>
      </c>
      <c r="E334" s="0" t="inlineStr">
        <is>
          <t>ISU IKER I CL:144360A-0-3M</t>
        </is>
      </c>
      <c r="F334" s="0" t="inlineStr">
        <is>
          <t>'801144360001</t>
        </is>
      </c>
      <c r="G334" s="0" t="inlineStr">
        <is>
          <t>INFANT</t>
        </is>
      </c>
      <c r="H334" s="0" t="inlineStr">
        <is>
          <t>0-3M</t>
        </is>
      </c>
      <c r="I334" s="0">
        <v>29.99</v>
      </c>
      <c r="J334" s="0">
        <v>2</v>
      </c>
    </row>
    <row r="335" spans="1:10" customHeight="0">
      <c r="A335" s="0">
        <f>HYPERLINK("https://dl.dropboxusercontent.com/scl/fi/1fge49i282lnpbm6x18ml/editdsc8189-copy.jpg?rlkey=4pchg35frzsarpc6wbbcg3te8&amp;dl=0","Click to download Image")</f>
      </c>
      <c r="C335" s="0" t="inlineStr">
        <is>
          <t>Iker Infant Jumpsuit</t>
        </is>
      </c>
      <c r="D335" s="0" t="inlineStr">
        <is>
          <t>'144360</t>
        </is>
      </c>
      <c r="E335" s="0" t="inlineStr">
        <is>
          <t>ISU IKER I CL:144360B-3-6M</t>
        </is>
      </c>
      <c r="F335" s="0" t="inlineStr">
        <is>
          <t>'801144360018</t>
        </is>
      </c>
      <c r="G335" s="0" t="inlineStr">
        <is>
          <t>INFANT</t>
        </is>
      </c>
      <c r="H335" s="0" t="inlineStr">
        <is>
          <t>3-6M</t>
        </is>
      </c>
      <c r="I335" s="0">
        <v>29.99</v>
      </c>
      <c r="J335" s="0">
        <v>0</v>
      </c>
    </row>
    <row r="336" spans="1:10" customHeight="0">
      <c r="A336" s="0">
        <f>HYPERLINK("https://dl.dropboxusercontent.com/scl/fi/1fge49i282lnpbm6x18ml/editdsc8189-copy.jpg?rlkey=4pchg35frzsarpc6wbbcg3te8&amp;dl=0","Click to download Image")</f>
      </c>
      <c r="C336" s="0" t="inlineStr">
        <is>
          <t>Iker Infant Jumpsuit</t>
        </is>
      </c>
      <c r="D336" s="0" t="inlineStr">
        <is>
          <t>'144360</t>
        </is>
      </c>
      <c r="E336" s="0" t="inlineStr">
        <is>
          <t>ISU IKER I CL:144360C-6-9M</t>
        </is>
      </c>
      <c r="F336" s="0" t="inlineStr">
        <is>
          <t>'801144360025</t>
        </is>
      </c>
      <c r="G336" s="0" t="inlineStr">
        <is>
          <t>INFANT</t>
        </is>
      </c>
      <c r="H336" s="0" t="inlineStr">
        <is>
          <t>6-9M</t>
        </is>
      </c>
      <c r="I336" s="0">
        <v>29.99</v>
      </c>
      <c r="J336" s="0">
        <v>0</v>
      </c>
    </row>
    <row r="337" spans="1:10" customHeight="0">
      <c r="A337" s="0">
        <f>HYPERLINK("https://dl.dropboxusercontent.com/scl/fi/1fge49i282lnpbm6x18ml/editdsc8189-copy.jpg?rlkey=4pchg35frzsarpc6wbbcg3te8&amp;dl=0","Click to download Image")</f>
      </c>
      <c r="C337" s="0" t="inlineStr">
        <is>
          <t>Iker Infant Jumpsuit</t>
        </is>
      </c>
      <c r="D337" s="0" t="inlineStr">
        <is>
          <t>'144360</t>
        </is>
      </c>
      <c r="E337" s="0" t="inlineStr">
        <is>
          <t>ISU IKER I CL:144360F-12M</t>
        </is>
      </c>
      <c r="F337" s="0" t="inlineStr">
        <is>
          <t>'801144360032</t>
        </is>
      </c>
      <c r="G337" s="0" t="inlineStr">
        <is>
          <t>INFANT</t>
        </is>
      </c>
      <c r="H337" s="0" t="inlineStr">
        <is>
          <t>12M</t>
        </is>
      </c>
      <c r="I337" s="0">
        <v>29.99</v>
      </c>
      <c r="J337" s="0">
        <v>0</v>
      </c>
    </row>
    <row r="338" spans="1:10" customHeight="0">
      <c r="A338" s="0">
        <f>HYPERLINK("https://dl.dropboxusercontent.com/scl/fi/1fge49i282lnpbm6x18ml/editdsc8189-copy.jpg?rlkey=4pchg35frzsarpc6wbbcg3te8&amp;dl=0","Click to download Image")</f>
      </c>
      <c r="C338" s="0" t="inlineStr">
        <is>
          <t>Iker Infant Jumpsuit</t>
        </is>
      </c>
      <c r="D338" s="0" t="inlineStr">
        <is>
          <t>'144360</t>
        </is>
      </c>
      <c r="E338" s="0" t="inlineStr">
        <is>
          <t>ISU IKER I CL:144360Z-12PK</t>
        </is>
      </c>
      <c r="F338" s="0" t="inlineStr">
        <is>
          <t>'801144360971</t>
        </is>
      </c>
      <c r="G338" s="0" t="inlineStr">
        <is>
          <t>INFANT</t>
        </is>
      </c>
      <c r="H338" s="0" t="inlineStr">
        <is>
          <t>12 PACK</t>
        </is>
      </c>
      <c r="I338" s="0">
        <v>288</v>
      </c>
      <c r="J338" s="0">
        <v>0</v>
      </c>
    </row>
    <row r="339" spans="1:10" customHeight="0">
      <c r="A339" s="0">
        <f>HYPERLINK("https://dl.dropboxusercontent.com/scl/fi/q4lvjw2wdxi5nwdqv0ptn/summit-151597-tn.jpg?rlkey=n8insyjo3xfxotspbyktef56n&amp;dl=0","Click to download Image")</f>
      </c>
      <c r="B339" s="0">
        <f>HYPERLINK("https://dl.dropboxusercontent.com/scl/fi/9jqczxn1hnwmjj7jn4070/mens-pullover-size-chartssummit.jpg?rlkey=olxg9hazegr3hvfy80cdzpscy&amp;dl=0","Click to download SizeChart")</f>
      </c>
      <c r="C339" s="0" t="inlineStr">
        <is>
          <t>Summit Men's Pullover</t>
        </is>
      </c>
      <c r="D339" s="0" t="inlineStr">
        <is>
          <t>'151597</t>
        </is>
      </c>
      <c r="E339" s="0" t="inlineStr">
        <is>
          <t>IOWA SUMMIT M DG:151597A-S</t>
        </is>
      </c>
      <c r="F339" s="0" t="inlineStr">
        <is>
          <t>'800151597042</t>
        </is>
      </c>
      <c r="G339" s="0" t="inlineStr">
        <is>
          <t>MENS</t>
        </is>
      </c>
      <c r="H339" s="0" t="inlineStr">
        <is>
          <t>S</t>
        </is>
      </c>
      <c r="I339" s="0">
        <v>59.99</v>
      </c>
      <c r="J339" s="0">
        <v>1</v>
      </c>
    </row>
    <row r="340" spans="1:10" customHeight="0">
      <c r="A340" s="0">
        <f>HYPERLINK("https://dl.dropboxusercontent.com/scl/fi/q4lvjw2wdxi5nwdqv0ptn/summit-151597-tn.jpg?rlkey=n8insyjo3xfxotspbyktef56n&amp;dl=0","Click to download Image")</f>
      </c>
      <c r="B340" s="0">
        <f>HYPERLINK("https://dl.dropboxusercontent.com/scl/fi/9jqczxn1hnwmjj7jn4070/mens-pullover-size-chartssummit.jpg?rlkey=olxg9hazegr3hvfy80cdzpscy&amp;dl=0","Click to download SizeChart")</f>
      </c>
      <c r="C340" s="0" t="inlineStr">
        <is>
          <t>Summit Men's Pullover</t>
        </is>
      </c>
      <c r="D340" s="0" t="inlineStr">
        <is>
          <t>'151597</t>
        </is>
      </c>
      <c r="E340" s="0" t="inlineStr">
        <is>
          <t>IOWA SUMMIT M DG:151597B-M</t>
        </is>
      </c>
      <c r="F340" s="0" t="inlineStr">
        <is>
          <t>'800151597059</t>
        </is>
      </c>
      <c r="G340" s="0" t="inlineStr">
        <is>
          <t>MENS</t>
        </is>
      </c>
      <c r="H340" s="0" t="inlineStr">
        <is>
          <t>M</t>
        </is>
      </c>
      <c r="I340" s="0">
        <v>59.99</v>
      </c>
      <c r="J340" s="0">
        <v>0</v>
      </c>
    </row>
    <row r="341" spans="1:10" customHeight="0">
      <c r="A341" s="0">
        <f>HYPERLINK("https://dl.dropboxusercontent.com/scl/fi/q4lvjw2wdxi5nwdqv0ptn/summit-151597-tn.jpg?rlkey=n8insyjo3xfxotspbyktef56n&amp;dl=0","Click to download Image")</f>
      </c>
      <c r="B341" s="0">
        <f>HYPERLINK("https://dl.dropboxusercontent.com/scl/fi/9jqczxn1hnwmjj7jn4070/mens-pullover-size-chartssummit.jpg?rlkey=olxg9hazegr3hvfy80cdzpscy&amp;dl=0","Click to download SizeChart")</f>
      </c>
      <c r="C341" s="0" t="inlineStr">
        <is>
          <t>Summit Men's Pullover</t>
        </is>
      </c>
      <c r="D341" s="0" t="inlineStr">
        <is>
          <t>'151597</t>
        </is>
      </c>
      <c r="E341" s="0" t="inlineStr">
        <is>
          <t>IOWA SUMMIT M DG:151597C-L</t>
        </is>
      </c>
      <c r="F341" s="0" t="inlineStr">
        <is>
          <t>'800151597066</t>
        </is>
      </c>
      <c r="G341" s="0" t="inlineStr">
        <is>
          <t>MENS</t>
        </is>
      </c>
      <c r="H341" s="0" t="inlineStr">
        <is>
          <t>L</t>
        </is>
      </c>
      <c r="I341" s="0">
        <v>59.99</v>
      </c>
      <c r="J341" s="0">
        <v>0</v>
      </c>
    </row>
    <row r="342" spans="1:10" customHeight="0">
      <c r="A342" s="0">
        <f>HYPERLINK("https://dl.dropboxusercontent.com/scl/fi/q4lvjw2wdxi5nwdqv0ptn/summit-151597-tn.jpg?rlkey=n8insyjo3xfxotspbyktef56n&amp;dl=0","Click to download Image")</f>
      </c>
      <c r="B342" s="0">
        <f>HYPERLINK("https://dl.dropboxusercontent.com/scl/fi/9jqczxn1hnwmjj7jn4070/mens-pullover-size-chartssummit.jpg?rlkey=olxg9hazegr3hvfy80cdzpscy&amp;dl=0","Click to download SizeChart")</f>
      </c>
      <c r="C342" s="0" t="inlineStr">
        <is>
          <t>Summit Men's Pullover</t>
        </is>
      </c>
      <c r="D342" s="0" t="inlineStr">
        <is>
          <t>'151597</t>
        </is>
      </c>
      <c r="E342" s="0" t="inlineStr">
        <is>
          <t>IOWA SUMMIT M DG:151597D-XL</t>
        </is>
      </c>
      <c r="F342" s="0" t="inlineStr">
        <is>
          <t>'800151597073</t>
        </is>
      </c>
      <c r="G342" s="0" t="inlineStr">
        <is>
          <t>MENS</t>
        </is>
      </c>
      <c r="H342" s="0" t="inlineStr">
        <is>
          <t>XL</t>
        </is>
      </c>
      <c r="I342" s="0">
        <v>59.99</v>
      </c>
      <c r="J342" s="0">
        <v>0</v>
      </c>
    </row>
    <row r="343" spans="1:10" customHeight="0">
      <c r="A343" s="0">
        <f>HYPERLINK("https://dl.dropboxusercontent.com/scl/fi/q4lvjw2wdxi5nwdqv0ptn/summit-151597-tn.jpg?rlkey=n8insyjo3xfxotspbyktef56n&amp;dl=0","Click to download Image")</f>
      </c>
      <c r="B343" s="0">
        <f>HYPERLINK("https://dl.dropboxusercontent.com/scl/fi/9jqczxn1hnwmjj7jn4070/mens-pullover-size-chartssummit.jpg?rlkey=olxg9hazegr3hvfy80cdzpscy&amp;dl=0","Click to download SizeChart")</f>
      </c>
      <c r="C343" s="0" t="inlineStr">
        <is>
          <t>Summit Men's Pullover</t>
        </is>
      </c>
      <c r="D343" s="0" t="inlineStr">
        <is>
          <t>'151597</t>
        </is>
      </c>
      <c r="E343" s="0" t="inlineStr">
        <is>
          <t>IOWA SUMMIT M DG:151597E-2XL</t>
        </is>
      </c>
      <c r="F343" s="0" t="inlineStr">
        <is>
          <t>'800151597080</t>
        </is>
      </c>
      <c r="G343" s="0" t="inlineStr">
        <is>
          <t>MENS</t>
        </is>
      </c>
      <c r="H343" s="0" t="inlineStr">
        <is>
          <t>2XL</t>
        </is>
      </c>
      <c r="I343" s="0">
        <v>59.99</v>
      </c>
      <c r="J343" s="0">
        <v>0</v>
      </c>
    </row>
    <row r="344" spans="1:10" customHeight="0">
      <c r="A344" s="0">
        <f>HYPERLINK("https://dl.dropboxusercontent.com/scl/fi/q4lvjw2wdxi5nwdqv0ptn/summit-151597-tn.jpg?rlkey=n8insyjo3xfxotspbyktef56n&amp;dl=0","Click to download Image")</f>
      </c>
      <c r="B344" s="0">
        <f>HYPERLINK("https://dl.dropboxusercontent.com/scl/fi/9jqczxn1hnwmjj7jn4070/mens-pullover-size-chartssummit.jpg?rlkey=olxg9hazegr3hvfy80cdzpscy&amp;dl=0","Click to download SizeChart")</f>
      </c>
      <c r="C344" s="0" t="inlineStr">
        <is>
          <t>Summit Men's Pullover</t>
        </is>
      </c>
      <c r="D344" s="0" t="inlineStr">
        <is>
          <t>'151597</t>
        </is>
      </c>
      <c r="E344" s="0" t="inlineStr">
        <is>
          <t>IOWA SUMMIT M DG:151597F-3XL</t>
        </is>
      </c>
      <c r="F344" s="0" t="inlineStr">
        <is>
          <t>'800151597097</t>
        </is>
      </c>
      <c r="G344" s="0" t="inlineStr">
        <is>
          <t>MENS</t>
        </is>
      </c>
      <c r="H344" s="0" t="inlineStr">
        <is>
          <t>3XL</t>
        </is>
      </c>
      <c r="I344" s="0">
        <v>59.99</v>
      </c>
      <c r="J344" s="0">
        <v>0</v>
      </c>
    </row>
    <row r="345" spans="1:10" customHeight="0">
      <c r="A345" s="0">
        <f>HYPERLINK("https://dl.dropboxusercontent.com/scl/fi/q4lvjw2wdxi5nwdqv0ptn/summit-151597-tn.jpg?rlkey=n8insyjo3xfxotspbyktef56n&amp;dl=0","Click to download Image")</f>
      </c>
      <c r="B345" s="0">
        <f>HYPERLINK("https://dl.dropboxusercontent.com/scl/fi/9jqczxn1hnwmjj7jn4070/mens-pullover-size-chartssummit.jpg?rlkey=olxg9hazegr3hvfy80cdzpscy&amp;dl=0","Click to download SizeChart")</f>
      </c>
      <c r="C345" s="0" t="inlineStr">
        <is>
          <t>Summit Men's Pullover</t>
        </is>
      </c>
      <c r="D345" s="0" t="inlineStr">
        <is>
          <t>'151597</t>
        </is>
      </c>
      <c r="E345" s="0" t="inlineStr">
        <is>
          <t>IOWA SUMMIT M DG:151597Z-12PK</t>
        </is>
      </c>
      <c r="F345" s="0" t="inlineStr">
        <is>
          <t>'800151597998</t>
        </is>
      </c>
      <c r="G345" s="0" t="inlineStr">
        <is>
          <t>MENS</t>
        </is>
      </c>
      <c r="H345" s="0" t="inlineStr">
        <is>
          <t>12 PACK</t>
        </is>
      </c>
      <c r="I345" s="0">
        <v>582</v>
      </c>
      <c r="J345" s="0">
        <v>0</v>
      </c>
    </row>
    <row r="346" spans="1:10" customHeight="0">
      <c r="A346" s="0">
        <f>HYPERLINK("https://dl.dropboxusercontent.com/scl/fi/svkwizrtkmdj47m60iezu/fleet-150832-tn.jpg?rlkey=ztmj22dy4ftixy0s8qq5tkyw6&amp;dl=0","Click to download Image")</f>
      </c>
      <c r="B346" s="0">
        <f>HYPERLINK("https://dl.dropboxusercontent.com/scl/fi/5vt7gg8pqsmwjazpkc6ql/mens-polo-size-chartsfleet.jpg?rlkey=ylatxj7dbqcy12jsfhyq4m2rn&amp;dl=0","Click to download SizeChart")</f>
      </c>
      <c r="C346" s="0" t="inlineStr">
        <is>
          <t>Fleet Men's Polo</t>
        </is>
      </c>
      <c r="D346" s="0" t="inlineStr">
        <is>
          <t>'150832</t>
        </is>
      </c>
      <c r="E346" s="0" t="inlineStr">
        <is>
          <t>IOWA FLEET M BK:150832A-S</t>
        </is>
      </c>
      <c r="F346" s="0" t="inlineStr">
        <is>
          <t>'800150832045</t>
        </is>
      </c>
      <c r="G346" s="0" t="inlineStr">
        <is>
          <t>MENS</t>
        </is>
      </c>
      <c r="H346" s="0" t="inlineStr">
        <is>
          <t>S</t>
        </is>
      </c>
      <c r="I346" s="0">
        <v>54.99</v>
      </c>
      <c r="J346" s="0">
        <v>1</v>
      </c>
    </row>
    <row r="347" spans="1:10" customHeight="0">
      <c r="A347" s="0">
        <f>HYPERLINK("https://dl.dropboxusercontent.com/scl/fi/svkwizrtkmdj47m60iezu/fleet-150832-tn.jpg?rlkey=ztmj22dy4ftixy0s8qq5tkyw6&amp;dl=0","Click to download Image")</f>
      </c>
      <c r="B347" s="0">
        <f>HYPERLINK("https://dl.dropboxusercontent.com/scl/fi/5vt7gg8pqsmwjazpkc6ql/mens-polo-size-chartsfleet.jpg?rlkey=ylatxj7dbqcy12jsfhyq4m2rn&amp;dl=0","Click to download SizeChart")</f>
      </c>
      <c r="C347" s="0" t="inlineStr">
        <is>
          <t>Fleet Men's Polo</t>
        </is>
      </c>
      <c r="D347" s="0" t="inlineStr">
        <is>
          <t>'150832</t>
        </is>
      </c>
      <c r="E347" s="0" t="inlineStr">
        <is>
          <t>IOWA FLEET M BK:150832B-M</t>
        </is>
      </c>
      <c r="F347" s="0" t="inlineStr">
        <is>
          <t>'800150832052</t>
        </is>
      </c>
      <c r="G347" s="0" t="inlineStr">
        <is>
          <t>MENS</t>
        </is>
      </c>
      <c r="H347" s="0" t="inlineStr">
        <is>
          <t>M</t>
        </is>
      </c>
      <c r="I347" s="0">
        <v>54.99</v>
      </c>
      <c r="J347" s="0">
        <v>2</v>
      </c>
    </row>
    <row r="348" spans="1:10" customHeight="0">
      <c r="A348" s="0">
        <f>HYPERLINK("https://dl.dropboxusercontent.com/scl/fi/svkwizrtkmdj47m60iezu/fleet-150832-tn.jpg?rlkey=ztmj22dy4ftixy0s8qq5tkyw6&amp;dl=0","Click to download Image")</f>
      </c>
      <c r="B348" s="0">
        <f>HYPERLINK("https://dl.dropboxusercontent.com/scl/fi/5vt7gg8pqsmwjazpkc6ql/mens-polo-size-chartsfleet.jpg?rlkey=ylatxj7dbqcy12jsfhyq4m2rn&amp;dl=0","Click to download SizeChart")</f>
      </c>
      <c r="C348" s="0" t="inlineStr">
        <is>
          <t>Fleet Men's Polo</t>
        </is>
      </c>
      <c r="D348" s="0" t="inlineStr">
        <is>
          <t>'150832</t>
        </is>
      </c>
      <c r="E348" s="0" t="inlineStr">
        <is>
          <t>IOWA FLEET M BK:150832C-L</t>
        </is>
      </c>
      <c r="F348" s="0" t="inlineStr">
        <is>
          <t>'800150832069</t>
        </is>
      </c>
      <c r="G348" s="0" t="inlineStr">
        <is>
          <t>MENS</t>
        </is>
      </c>
      <c r="H348" s="0" t="inlineStr">
        <is>
          <t>L</t>
        </is>
      </c>
      <c r="I348" s="0">
        <v>54.99</v>
      </c>
      <c r="J348" s="0">
        <v>1</v>
      </c>
    </row>
    <row r="349" spans="1:10" customHeight="0">
      <c r="A349" s="0">
        <f>HYPERLINK("https://dl.dropboxusercontent.com/scl/fi/svkwizrtkmdj47m60iezu/fleet-150832-tn.jpg?rlkey=ztmj22dy4ftixy0s8qq5tkyw6&amp;dl=0","Click to download Image")</f>
      </c>
      <c r="B349" s="0">
        <f>HYPERLINK("https://dl.dropboxusercontent.com/scl/fi/5vt7gg8pqsmwjazpkc6ql/mens-polo-size-chartsfleet.jpg?rlkey=ylatxj7dbqcy12jsfhyq4m2rn&amp;dl=0","Click to download SizeChart")</f>
      </c>
      <c r="C349" s="0" t="inlineStr">
        <is>
          <t>Fleet Men's Polo</t>
        </is>
      </c>
      <c r="D349" s="0" t="inlineStr">
        <is>
          <t>'150832</t>
        </is>
      </c>
      <c r="E349" s="0" t="inlineStr">
        <is>
          <t>IOWA FLEET M BK:150832D-XL</t>
        </is>
      </c>
      <c r="F349" s="0" t="inlineStr">
        <is>
          <t>'800150832076</t>
        </is>
      </c>
      <c r="G349" s="0" t="inlineStr">
        <is>
          <t>MENS</t>
        </is>
      </c>
      <c r="H349" s="0" t="inlineStr">
        <is>
          <t>XL</t>
        </is>
      </c>
      <c r="I349" s="0">
        <v>54.99</v>
      </c>
      <c r="J349" s="0">
        <v>3</v>
      </c>
    </row>
    <row r="350" spans="1:10" customHeight="0">
      <c r="A350" s="0">
        <f>HYPERLINK("https://dl.dropboxusercontent.com/scl/fi/svkwizrtkmdj47m60iezu/fleet-150832-tn.jpg?rlkey=ztmj22dy4ftixy0s8qq5tkyw6&amp;dl=0","Click to download Image")</f>
      </c>
      <c r="B350" s="0">
        <f>HYPERLINK("https://dl.dropboxusercontent.com/scl/fi/5vt7gg8pqsmwjazpkc6ql/mens-polo-size-chartsfleet.jpg?rlkey=ylatxj7dbqcy12jsfhyq4m2rn&amp;dl=0","Click to download SizeChart")</f>
      </c>
      <c r="C350" s="0" t="inlineStr">
        <is>
          <t>Fleet Men's Polo</t>
        </is>
      </c>
      <c r="D350" s="0" t="inlineStr">
        <is>
          <t>'150832</t>
        </is>
      </c>
      <c r="E350" s="0" t="inlineStr">
        <is>
          <t>IOWA FLEET M BK:150832E-2XL</t>
        </is>
      </c>
      <c r="F350" s="0" t="inlineStr">
        <is>
          <t>'800150832083</t>
        </is>
      </c>
      <c r="G350" s="0" t="inlineStr">
        <is>
          <t>MENS</t>
        </is>
      </c>
      <c r="H350" s="0" t="inlineStr">
        <is>
          <t>2XL</t>
        </is>
      </c>
      <c r="I350" s="0">
        <v>56.99</v>
      </c>
      <c r="J350" s="0">
        <v>0</v>
      </c>
    </row>
    <row r="351" spans="1:10" customHeight="0">
      <c r="A351" s="0">
        <f>HYPERLINK("https://dl.dropboxusercontent.com/scl/fi/svkwizrtkmdj47m60iezu/fleet-150832-tn.jpg?rlkey=ztmj22dy4ftixy0s8qq5tkyw6&amp;dl=0","Click to download Image")</f>
      </c>
      <c r="B351" s="0">
        <f>HYPERLINK("https://dl.dropboxusercontent.com/scl/fi/5vt7gg8pqsmwjazpkc6ql/mens-polo-size-chartsfleet.jpg?rlkey=ylatxj7dbqcy12jsfhyq4m2rn&amp;dl=0","Click to download SizeChart")</f>
      </c>
      <c r="C351" s="0" t="inlineStr">
        <is>
          <t>Fleet Men's Polo</t>
        </is>
      </c>
      <c r="D351" s="0" t="inlineStr">
        <is>
          <t>'150832</t>
        </is>
      </c>
      <c r="E351" s="0" t="inlineStr">
        <is>
          <t>IOWA FLEET M BK:150832F-3XL</t>
        </is>
      </c>
      <c r="F351" s="0" t="inlineStr">
        <is>
          <t>'800150832090</t>
        </is>
      </c>
      <c r="G351" s="0" t="inlineStr">
        <is>
          <t>MENS</t>
        </is>
      </c>
      <c r="H351" s="0" t="inlineStr">
        <is>
          <t>3XL</t>
        </is>
      </c>
      <c r="I351" s="0">
        <v>56.99</v>
      </c>
      <c r="J351" s="0">
        <v>2</v>
      </c>
    </row>
    <row r="352" spans="1:10" customHeight="0">
      <c r="A352" s="0">
        <f>HYPERLINK("https://dl.dropboxusercontent.com/scl/fi/svkwizrtkmdj47m60iezu/fleet-150832-tn.jpg?rlkey=ztmj22dy4ftixy0s8qq5tkyw6&amp;dl=0","Click to download Image")</f>
      </c>
      <c r="B352" s="0">
        <f>HYPERLINK("https://dl.dropboxusercontent.com/scl/fi/5vt7gg8pqsmwjazpkc6ql/mens-polo-size-chartsfleet.jpg?rlkey=ylatxj7dbqcy12jsfhyq4m2rn&amp;dl=0","Click to download SizeChart")</f>
      </c>
      <c r="C352" s="0" t="inlineStr">
        <is>
          <t>Fleet Men's Polo</t>
        </is>
      </c>
      <c r="D352" s="0" t="inlineStr">
        <is>
          <t>'150832</t>
        </is>
      </c>
      <c r="E352" s="0" t="inlineStr">
        <is>
          <t>IOWA FLEET M BK:150832Z-12PK</t>
        </is>
      </c>
      <c r="F352" s="0" t="inlineStr">
        <is>
          <t>'800150832991</t>
        </is>
      </c>
      <c r="G352" s="0" t="inlineStr">
        <is>
          <t>MENS</t>
        </is>
      </c>
      <c r="H352" s="0" t="inlineStr">
        <is>
          <t>12 PACK</t>
        </is>
      </c>
      <c r="I352" s="0">
        <v>534</v>
      </c>
      <c r="J352" s="0">
        <v>1</v>
      </c>
    </row>
    <row r="353" spans="1:10" customHeight="0">
      <c r="A353" s="0">
        <f>HYPERLINK("https://dl.dropboxusercontent.com/scl/fi/j94f51nu8khp2g999tqck/fleet-150834-tn.jpg?rlkey=qbjz8311ao2l0facluv7deg17&amp;dl=0","Click to download Image")</f>
      </c>
      <c r="B353" s="0">
        <f>HYPERLINK("https://dl.dropboxusercontent.com/scl/fi/5vt7gg8pqsmwjazpkc6ql/mens-polo-size-chartsfleet.jpg?rlkey=ylatxj7dbqcy12jsfhyq4m2rn&amp;dl=0","Click to download SizeChart")</f>
      </c>
      <c r="C353" s="0" t="inlineStr">
        <is>
          <t>Fleet Men's Polo</t>
        </is>
      </c>
      <c r="D353" s="0" t="inlineStr">
        <is>
          <t>'150834</t>
        </is>
      </c>
      <c r="E353" s="0" t="inlineStr">
        <is>
          <t>UNI FLEET M PE:150834A-S</t>
        </is>
      </c>
      <c r="F353" s="0" t="inlineStr">
        <is>
          <t>'802150834043</t>
        </is>
      </c>
      <c r="G353" s="0" t="inlineStr">
        <is>
          <t>MENS</t>
        </is>
      </c>
      <c r="H353" s="0" t="inlineStr">
        <is>
          <t>S</t>
        </is>
      </c>
      <c r="I353" s="0">
        <v>54.99</v>
      </c>
      <c r="J353" s="0">
        <v>0</v>
      </c>
    </row>
    <row r="354" spans="1:10" customHeight="0">
      <c r="A354" s="0">
        <f>HYPERLINK("https://dl.dropboxusercontent.com/scl/fi/j94f51nu8khp2g999tqck/fleet-150834-tn.jpg?rlkey=qbjz8311ao2l0facluv7deg17&amp;dl=0","Click to download Image")</f>
      </c>
      <c r="B354" s="0">
        <f>HYPERLINK("https://dl.dropboxusercontent.com/scl/fi/5vt7gg8pqsmwjazpkc6ql/mens-polo-size-chartsfleet.jpg?rlkey=ylatxj7dbqcy12jsfhyq4m2rn&amp;dl=0","Click to download SizeChart")</f>
      </c>
      <c r="C354" s="0" t="inlineStr">
        <is>
          <t>Fleet Men's Polo</t>
        </is>
      </c>
      <c r="D354" s="0" t="inlineStr">
        <is>
          <t>'150834</t>
        </is>
      </c>
      <c r="E354" s="0" t="inlineStr">
        <is>
          <t>UNI FLEET M PE:150834B-M</t>
        </is>
      </c>
      <c r="F354" s="0" t="inlineStr">
        <is>
          <t>'802150834050</t>
        </is>
      </c>
      <c r="G354" s="0" t="inlineStr">
        <is>
          <t>MENS</t>
        </is>
      </c>
      <c r="H354" s="0" t="inlineStr">
        <is>
          <t>M</t>
        </is>
      </c>
      <c r="I354" s="0">
        <v>54.99</v>
      </c>
      <c r="J354" s="0">
        <v>1</v>
      </c>
    </row>
    <row r="355" spans="1:10" customHeight="0">
      <c r="A355" s="0">
        <f>HYPERLINK("https://dl.dropboxusercontent.com/scl/fi/j94f51nu8khp2g999tqck/fleet-150834-tn.jpg?rlkey=qbjz8311ao2l0facluv7deg17&amp;dl=0","Click to download Image")</f>
      </c>
      <c r="B355" s="0">
        <f>HYPERLINK("https://dl.dropboxusercontent.com/scl/fi/5vt7gg8pqsmwjazpkc6ql/mens-polo-size-chartsfleet.jpg?rlkey=ylatxj7dbqcy12jsfhyq4m2rn&amp;dl=0","Click to download SizeChart")</f>
      </c>
      <c r="C355" s="0" t="inlineStr">
        <is>
          <t>Fleet Men's Polo</t>
        </is>
      </c>
      <c r="D355" s="0" t="inlineStr">
        <is>
          <t>'150834</t>
        </is>
      </c>
      <c r="E355" s="0" t="inlineStr">
        <is>
          <t>UNI FLEET M PE:150834C-L</t>
        </is>
      </c>
      <c r="F355" s="0" t="inlineStr">
        <is>
          <t>'802150834067</t>
        </is>
      </c>
      <c r="G355" s="0" t="inlineStr">
        <is>
          <t>MENS</t>
        </is>
      </c>
      <c r="H355" s="0" t="inlineStr">
        <is>
          <t>L</t>
        </is>
      </c>
      <c r="I355" s="0">
        <v>54.99</v>
      </c>
      <c r="J355" s="0">
        <v>1</v>
      </c>
    </row>
    <row r="356" spans="1:10" customHeight="0">
      <c r="A356" s="0">
        <f>HYPERLINK("https://dl.dropboxusercontent.com/scl/fi/j94f51nu8khp2g999tqck/fleet-150834-tn.jpg?rlkey=qbjz8311ao2l0facluv7deg17&amp;dl=0","Click to download Image")</f>
      </c>
      <c r="B356" s="0">
        <f>HYPERLINK("https://dl.dropboxusercontent.com/scl/fi/5vt7gg8pqsmwjazpkc6ql/mens-polo-size-chartsfleet.jpg?rlkey=ylatxj7dbqcy12jsfhyq4m2rn&amp;dl=0","Click to download SizeChart")</f>
      </c>
      <c r="C356" s="0" t="inlineStr">
        <is>
          <t>Fleet Men's Polo</t>
        </is>
      </c>
      <c r="D356" s="0" t="inlineStr">
        <is>
          <t>'150834</t>
        </is>
      </c>
      <c r="E356" s="0" t="inlineStr">
        <is>
          <t>UNI FLEET M PE:150834D-XL</t>
        </is>
      </c>
      <c r="F356" s="0" t="inlineStr">
        <is>
          <t>'802150834074</t>
        </is>
      </c>
      <c r="G356" s="0" t="inlineStr">
        <is>
          <t>MENS</t>
        </is>
      </c>
      <c r="H356" s="0" t="inlineStr">
        <is>
          <t>XL</t>
        </is>
      </c>
      <c r="I356" s="0">
        <v>54.99</v>
      </c>
      <c r="J356" s="0">
        <v>2</v>
      </c>
    </row>
    <row r="357" spans="1:10" customHeight="0">
      <c r="A357" s="0">
        <f>HYPERLINK("https://dl.dropboxusercontent.com/scl/fi/j94f51nu8khp2g999tqck/fleet-150834-tn.jpg?rlkey=qbjz8311ao2l0facluv7deg17&amp;dl=0","Click to download Image")</f>
      </c>
      <c r="B357" s="0">
        <f>HYPERLINK("https://dl.dropboxusercontent.com/scl/fi/5vt7gg8pqsmwjazpkc6ql/mens-polo-size-chartsfleet.jpg?rlkey=ylatxj7dbqcy12jsfhyq4m2rn&amp;dl=0","Click to download SizeChart")</f>
      </c>
      <c r="C357" s="0" t="inlineStr">
        <is>
          <t>Fleet Men's Polo</t>
        </is>
      </c>
      <c r="D357" s="0" t="inlineStr">
        <is>
          <t>'150834</t>
        </is>
      </c>
      <c r="E357" s="0" t="inlineStr">
        <is>
          <t>UNI FLEET M PE:150834E-2XL</t>
        </is>
      </c>
      <c r="F357" s="0" t="inlineStr">
        <is>
          <t>'802150834081</t>
        </is>
      </c>
      <c r="G357" s="0" t="inlineStr">
        <is>
          <t>MENS</t>
        </is>
      </c>
      <c r="H357" s="0" t="inlineStr">
        <is>
          <t>2XL</t>
        </is>
      </c>
      <c r="I357" s="0">
        <v>56.99</v>
      </c>
      <c r="J357" s="0">
        <v>2</v>
      </c>
    </row>
    <row r="358" spans="1:10" customHeight="0">
      <c r="A358" s="0">
        <f>HYPERLINK("https://dl.dropboxusercontent.com/scl/fi/j94f51nu8khp2g999tqck/fleet-150834-tn.jpg?rlkey=qbjz8311ao2l0facluv7deg17&amp;dl=0","Click to download Image")</f>
      </c>
      <c r="B358" s="0">
        <f>HYPERLINK("https://dl.dropboxusercontent.com/scl/fi/5vt7gg8pqsmwjazpkc6ql/mens-polo-size-chartsfleet.jpg?rlkey=ylatxj7dbqcy12jsfhyq4m2rn&amp;dl=0","Click to download SizeChart")</f>
      </c>
      <c r="C358" s="0" t="inlineStr">
        <is>
          <t>Fleet Men's Polo</t>
        </is>
      </c>
      <c r="D358" s="0" t="inlineStr">
        <is>
          <t>'150834</t>
        </is>
      </c>
      <c r="E358" s="0" t="inlineStr">
        <is>
          <t>UNI FLEET M PE:150834F-3XL</t>
        </is>
      </c>
      <c r="F358" s="0" t="inlineStr">
        <is>
          <t>'802150834098</t>
        </is>
      </c>
      <c r="G358" s="0" t="inlineStr">
        <is>
          <t>MENS</t>
        </is>
      </c>
      <c r="H358" s="0" t="inlineStr">
        <is>
          <t>3XL</t>
        </is>
      </c>
      <c r="I358" s="0">
        <v>56.99</v>
      </c>
      <c r="J358" s="0">
        <v>0</v>
      </c>
    </row>
    <row r="359" spans="1:10" customHeight="0">
      <c r="A359" s="0">
        <f>HYPERLINK("https://dl.dropboxusercontent.com/scl/fi/j94f51nu8khp2g999tqck/fleet-150834-tn.jpg?rlkey=qbjz8311ao2l0facluv7deg17&amp;dl=0","Click to download Image")</f>
      </c>
      <c r="B359" s="0">
        <f>HYPERLINK("https://dl.dropboxusercontent.com/scl/fi/5vt7gg8pqsmwjazpkc6ql/mens-polo-size-chartsfleet.jpg?rlkey=ylatxj7dbqcy12jsfhyq4m2rn&amp;dl=0","Click to download SizeChart")</f>
      </c>
      <c r="C359" s="0" t="inlineStr">
        <is>
          <t>Fleet Men's Polo</t>
        </is>
      </c>
      <c r="D359" s="0" t="inlineStr">
        <is>
          <t>'150834</t>
        </is>
      </c>
      <c r="E359" s="0" t="inlineStr">
        <is>
          <t>UNI FLEET M PE:150834Z-12PK</t>
        </is>
      </c>
      <c r="F359" s="0" t="inlineStr">
        <is>
          <t>'802150834999</t>
        </is>
      </c>
      <c r="G359" s="0" t="inlineStr">
        <is>
          <t>MENS</t>
        </is>
      </c>
      <c r="H359" s="0" t="inlineStr">
        <is>
          <t>12 PACK</t>
        </is>
      </c>
      <c r="I359" s="0">
        <v>534</v>
      </c>
      <c r="J359" s="0">
        <v>1</v>
      </c>
    </row>
    <row r="360" spans="1:10" customHeight="0">
      <c r="A360" s="0">
        <f>HYPERLINK("https://dl.dropboxusercontent.com/scl/fi/41mmmekrdxkjbk89kmiug/fleett11469.jpg?rlkey=pchznd1rdyfp6r3rxft53q23f&amp;dl=0","Click to download Image")</f>
      </c>
      <c r="B360" s="0">
        <f>HYPERLINK("https://dl.dropboxusercontent.com/scl/fi/5vt7gg8pqsmwjazpkc6ql/mens-polo-size-chartsfleet.jpg?rlkey=ylatxj7dbqcy12jsfhyq4m2rn&amp;dl=0","Click to download SizeChart")</f>
      </c>
      <c r="C360" s="0" t="inlineStr">
        <is>
          <t>Fleet Men's Polo</t>
        </is>
      </c>
      <c r="D360" s="0" t="inlineStr">
        <is>
          <t>'150835</t>
        </is>
      </c>
      <c r="E360" s="0" t="inlineStr">
        <is>
          <t>DRK FLEET M RL:150835A-S</t>
        </is>
      </c>
      <c r="F360" s="0" t="inlineStr">
        <is>
          <t>'817150835044</t>
        </is>
      </c>
      <c r="G360" s="0" t="inlineStr">
        <is>
          <t>MENS</t>
        </is>
      </c>
      <c r="H360" s="0" t="inlineStr">
        <is>
          <t>S</t>
        </is>
      </c>
      <c r="I360" s="0">
        <v>54.99</v>
      </c>
      <c r="J360" s="0">
        <v>2</v>
      </c>
    </row>
    <row r="361" spans="1:10" customHeight="0">
      <c r="A361" s="0">
        <f>HYPERLINK("https://dl.dropboxusercontent.com/scl/fi/41mmmekrdxkjbk89kmiug/fleett11469.jpg?rlkey=pchznd1rdyfp6r3rxft53q23f&amp;dl=0","Click to download Image")</f>
      </c>
      <c r="B361" s="0">
        <f>HYPERLINK("https://dl.dropboxusercontent.com/scl/fi/5vt7gg8pqsmwjazpkc6ql/mens-polo-size-chartsfleet.jpg?rlkey=ylatxj7dbqcy12jsfhyq4m2rn&amp;dl=0","Click to download SizeChart")</f>
      </c>
      <c r="C361" s="0" t="inlineStr">
        <is>
          <t>Fleet Men's Polo</t>
        </is>
      </c>
      <c r="D361" s="0" t="inlineStr">
        <is>
          <t>'150835</t>
        </is>
      </c>
      <c r="E361" s="0" t="inlineStr">
        <is>
          <t>DRK FLEET M RL:150835B-M</t>
        </is>
      </c>
      <c r="F361" s="0" t="inlineStr">
        <is>
          <t>'817150835051</t>
        </is>
      </c>
      <c r="G361" s="0" t="inlineStr">
        <is>
          <t>MENS</t>
        </is>
      </c>
      <c r="H361" s="0" t="inlineStr">
        <is>
          <t>M</t>
        </is>
      </c>
      <c r="I361" s="0">
        <v>54.99</v>
      </c>
      <c r="J361" s="0">
        <v>0</v>
      </c>
    </row>
    <row r="362" spans="1:10" customHeight="0">
      <c r="A362" s="0">
        <f>HYPERLINK("https://dl.dropboxusercontent.com/scl/fi/41mmmekrdxkjbk89kmiug/fleett11469.jpg?rlkey=pchznd1rdyfp6r3rxft53q23f&amp;dl=0","Click to download Image")</f>
      </c>
      <c r="B362" s="0">
        <f>HYPERLINK("https://dl.dropboxusercontent.com/scl/fi/5vt7gg8pqsmwjazpkc6ql/mens-polo-size-chartsfleet.jpg?rlkey=ylatxj7dbqcy12jsfhyq4m2rn&amp;dl=0","Click to download SizeChart")</f>
      </c>
      <c r="C362" s="0" t="inlineStr">
        <is>
          <t>Fleet Men's Polo</t>
        </is>
      </c>
      <c r="D362" s="0" t="inlineStr">
        <is>
          <t>'150835</t>
        </is>
      </c>
      <c r="E362" s="0" t="inlineStr">
        <is>
          <t>DRK FLEET M RL:150835C-L</t>
        </is>
      </c>
      <c r="F362" s="0" t="inlineStr">
        <is>
          <t>'817150835068</t>
        </is>
      </c>
      <c r="G362" s="0" t="inlineStr">
        <is>
          <t>MENS</t>
        </is>
      </c>
      <c r="H362" s="0" t="inlineStr">
        <is>
          <t>L</t>
        </is>
      </c>
      <c r="I362" s="0">
        <v>54.99</v>
      </c>
      <c r="J362" s="0">
        <v>0</v>
      </c>
    </row>
    <row r="363" spans="1:10" customHeight="0">
      <c r="A363" s="0">
        <f>HYPERLINK("https://dl.dropboxusercontent.com/scl/fi/41mmmekrdxkjbk89kmiug/fleett11469.jpg?rlkey=pchznd1rdyfp6r3rxft53q23f&amp;dl=0","Click to download Image")</f>
      </c>
      <c r="B363" s="0">
        <f>HYPERLINK("https://dl.dropboxusercontent.com/scl/fi/5vt7gg8pqsmwjazpkc6ql/mens-polo-size-chartsfleet.jpg?rlkey=ylatxj7dbqcy12jsfhyq4m2rn&amp;dl=0","Click to download SizeChart")</f>
      </c>
      <c r="C363" s="0" t="inlineStr">
        <is>
          <t>Fleet Men's Polo</t>
        </is>
      </c>
      <c r="D363" s="0" t="inlineStr">
        <is>
          <t>'150835</t>
        </is>
      </c>
      <c r="E363" s="0" t="inlineStr">
        <is>
          <t>DRK FLEET M RL:150835D-XL</t>
        </is>
      </c>
      <c r="F363" s="0" t="inlineStr">
        <is>
          <t>'817150835075</t>
        </is>
      </c>
      <c r="G363" s="0" t="inlineStr">
        <is>
          <t>MENS</t>
        </is>
      </c>
      <c r="H363" s="0" t="inlineStr">
        <is>
          <t>XL</t>
        </is>
      </c>
      <c r="I363" s="0">
        <v>54.99</v>
      </c>
      <c r="J363" s="0">
        <v>0</v>
      </c>
    </row>
    <row r="364" spans="1:10" customHeight="0">
      <c r="A364" s="0">
        <f>HYPERLINK("https://dl.dropboxusercontent.com/scl/fi/41mmmekrdxkjbk89kmiug/fleett11469.jpg?rlkey=pchznd1rdyfp6r3rxft53q23f&amp;dl=0","Click to download Image")</f>
      </c>
      <c r="B364" s="0">
        <f>HYPERLINK("https://dl.dropboxusercontent.com/scl/fi/5vt7gg8pqsmwjazpkc6ql/mens-polo-size-chartsfleet.jpg?rlkey=ylatxj7dbqcy12jsfhyq4m2rn&amp;dl=0","Click to download SizeChart")</f>
      </c>
      <c r="C364" s="0" t="inlineStr">
        <is>
          <t>Fleet Men's Polo</t>
        </is>
      </c>
      <c r="D364" s="0" t="inlineStr">
        <is>
          <t>'150835</t>
        </is>
      </c>
      <c r="E364" s="0" t="inlineStr">
        <is>
          <t>DRK FLEET M RL:150835E-2XL</t>
        </is>
      </c>
      <c r="F364" s="0" t="inlineStr">
        <is>
          <t>'817150835082</t>
        </is>
      </c>
      <c r="G364" s="0" t="inlineStr">
        <is>
          <t>MENS</t>
        </is>
      </c>
      <c r="H364" s="0" t="inlineStr">
        <is>
          <t>2XL</t>
        </is>
      </c>
      <c r="I364" s="0">
        <v>56.99</v>
      </c>
      <c r="J364" s="0">
        <v>0</v>
      </c>
    </row>
    <row r="365" spans="1:10" customHeight="0">
      <c r="A365" s="0">
        <f>HYPERLINK("https://dl.dropboxusercontent.com/scl/fi/41mmmekrdxkjbk89kmiug/fleett11469.jpg?rlkey=pchznd1rdyfp6r3rxft53q23f&amp;dl=0","Click to download Image")</f>
      </c>
      <c r="B365" s="0">
        <f>HYPERLINK("https://dl.dropboxusercontent.com/scl/fi/5vt7gg8pqsmwjazpkc6ql/mens-polo-size-chartsfleet.jpg?rlkey=ylatxj7dbqcy12jsfhyq4m2rn&amp;dl=0","Click to download SizeChart")</f>
      </c>
      <c r="C365" s="0" t="inlineStr">
        <is>
          <t>Fleet Men's Polo</t>
        </is>
      </c>
      <c r="D365" s="0" t="inlineStr">
        <is>
          <t>'150835</t>
        </is>
      </c>
      <c r="E365" s="0" t="inlineStr">
        <is>
          <t>DRK FLEET M RL:150835F-3XL</t>
        </is>
      </c>
      <c r="F365" s="0" t="inlineStr">
        <is>
          <t>'817150835099</t>
        </is>
      </c>
      <c r="G365" s="0" t="inlineStr">
        <is>
          <t>MENS</t>
        </is>
      </c>
      <c r="H365" s="0" t="inlineStr">
        <is>
          <t>3XL</t>
        </is>
      </c>
      <c r="I365" s="0">
        <v>56.99</v>
      </c>
      <c r="J365" s="0">
        <v>0</v>
      </c>
    </row>
    <row r="366" spans="1:10" customHeight="0">
      <c r="A366" s="0">
        <f>HYPERLINK("https://dl.dropboxusercontent.com/scl/fi/41mmmekrdxkjbk89kmiug/fleett11469.jpg?rlkey=pchznd1rdyfp6r3rxft53q23f&amp;dl=0","Click to download Image")</f>
      </c>
      <c r="B366" s="0">
        <f>HYPERLINK("https://dl.dropboxusercontent.com/scl/fi/5vt7gg8pqsmwjazpkc6ql/mens-polo-size-chartsfleet.jpg?rlkey=ylatxj7dbqcy12jsfhyq4m2rn&amp;dl=0","Click to download SizeChart")</f>
      </c>
      <c r="C366" s="0" t="inlineStr">
        <is>
          <t>Fleet Men's Polo</t>
        </is>
      </c>
      <c r="D366" s="0" t="inlineStr">
        <is>
          <t>'150835</t>
        </is>
      </c>
      <c r="E366" s="0" t="inlineStr">
        <is>
          <t>DRK FLEET M RL:150835Z-12PK</t>
        </is>
      </c>
      <c r="F366" s="0" t="inlineStr">
        <is>
          <t>'817150835990</t>
        </is>
      </c>
      <c r="G366" s="0" t="inlineStr">
        <is>
          <t>MENS</t>
        </is>
      </c>
      <c r="H366" s="0" t="inlineStr">
        <is>
          <t>12 PACK</t>
        </is>
      </c>
      <c r="I366" s="0">
        <v>534</v>
      </c>
      <c r="J366" s="0">
        <v>0</v>
      </c>
    </row>
    <row r="367" spans="1:10" customHeight="0">
      <c r="A367" s="0">
        <f>HYPERLINK("https://dl.dropboxusercontent.com/scl/fi/exw45f57o2zgyzxt2quo9/boaz-129700-f.jpg?rlkey=g9yng21rju41bskuzm72k5kfu&amp;dl=0","Click to download Image")</f>
      </c>
      <c r="C367" s="0" t="inlineStr">
        <is>
          <t>Boaz Youth Beanie</t>
        </is>
      </c>
      <c r="D367" s="0" t="inlineStr">
        <is>
          <t>'129700</t>
        </is>
      </c>
      <c r="E367" s="0" t="inlineStr">
        <is>
          <t>ISU BOAZ Y CL:129700</t>
        </is>
      </c>
      <c r="F367" s="0" t="inlineStr">
        <is>
          <t>'701129700016</t>
        </is>
      </c>
      <c r="G367" s="0" t="inlineStr">
        <is>
          <t>YOUTH</t>
        </is>
      </c>
      <c r="I367" s="0">
        <v>29.99</v>
      </c>
      <c r="J367" s="0">
        <v>11</v>
      </c>
    </row>
    <row r="368" spans="1:10" customHeight="0">
      <c r="A368" s="0">
        <f>HYPERLINK("https://dl.dropboxusercontent.com/scl/fi/70c0pf068teu3mboljivi/capital-153967-f.jpg?rlkey=fed2x2rdyj4zr499mnsfeb2ze&amp;dl=0","Click to download Image")</f>
      </c>
      <c r="B368" s="0">
        <f>HYPERLINK("https://dl.dropboxusercontent.com/scl/fi/ky0fp0s98ggv8afjhwdlt/mens-jackets-size-chartscapital.jpg?rlkey=2k23jcvmldj59qr67a6o8gvcx&amp;dl=0","Click to download SizeChart")</f>
      </c>
      <c r="C368" s="0" t="inlineStr">
        <is>
          <t>Capital Men's Jacket</t>
        </is>
      </c>
      <c r="D368" s="0" t="inlineStr">
        <is>
          <t>'153967</t>
        </is>
      </c>
      <c r="E368" s="0" t="inlineStr">
        <is>
          <t>IOWA CAPITAL M BK:153967A-S</t>
        </is>
      </c>
      <c r="F368" s="0" t="inlineStr">
        <is>
          <t>'800153967041</t>
        </is>
      </c>
      <c r="G368" s="0" t="inlineStr">
        <is>
          <t>MENS</t>
        </is>
      </c>
      <c r="H368" s="0" t="inlineStr">
        <is>
          <t>S</t>
        </is>
      </c>
      <c r="I368" s="0">
        <v>129.99</v>
      </c>
      <c r="J368" s="0">
        <v>1</v>
      </c>
    </row>
    <row r="369" spans="1:10" customHeight="0">
      <c r="A369" s="0">
        <f>HYPERLINK("https://dl.dropboxusercontent.com/scl/fi/70c0pf068teu3mboljivi/capital-153967-f.jpg?rlkey=fed2x2rdyj4zr499mnsfeb2ze&amp;dl=0","Click to download Image")</f>
      </c>
      <c r="B369" s="0">
        <f>HYPERLINK("https://dl.dropboxusercontent.com/scl/fi/ky0fp0s98ggv8afjhwdlt/mens-jackets-size-chartscapital.jpg?rlkey=2k23jcvmldj59qr67a6o8gvcx&amp;dl=0","Click to download SizeChart")</f>
      </c>
      <c r="C369" s="0" t="inlineStr">
        <is>
          <t>Capital Men's Jacket</t>
        </is>
      </c>
      <c r="D369" s="0" t="inlineStr">
        <is>
          <t>'153967</t>
        </is>
      </c>
      <c r="E369" s="0" t="inlineStr">
        <is>
          <t>IOWA CAPITAL M BK:153967B-M</t>
        </is>
      </c>
      <c r="F369" s="0" t="inlineStr">
        <is>
          <t>'800153967058</t>
        </is>
      </c>
      <c r="G369" s="0" t="inlineStr">
        <is>
          <t>MENS</t>
        </is>
      </c>
      <c r="H369" s="0" t="inlineStr">
        <is>
          <t>M</t>
        </is>
      </c>
      <c r="I369" s="0">
        <v>129.99</v>
      </c>
      <c r="J369" s="0">
        <v>2</v>
      </c>
    </row>
    <row r="370" spans="1:10" customHeight="0">
      <c r="A370" s="0">
        <f>HYPERLINK("https://dl.dropboxusercontent.com/scl/fi/70c0pf068teu3mboljivi/capital-153967-f.jpg?rlkey=fed2x2rdyj4zr499mnsfeb2ze&amp;dl=0","Click to download Image")</f>
      </c>
      <c r="B370" s="0">
        <f>HYPERLINK("https://dl.dropboxusercontent.com/scl/fi/ky0fp0s98ggv8afjhwdlt/mens-jackets-size-chartscapital.jpg?rlkey=2k23jcvmldj59qr67a6o8gvcx&amp;dl=0","Click to download SizeChart")</f>
      </c>
      <c r="C370" s="0" t="inlineStr">
        <is>
          <t>Capital Men's Jacket</t>
        </is>
      </c>
      <c r="D370" s="0" t="inlineStr">
        <is>
          <t>'153967</t>
        </is>
      </c>
      <c r="E370" s="0" t="inlineStr">
        <is>
          <t>IOWA CAPITAL M BK:153967C-L</t>
        </is>
      </c>
      <c r="F370" s="0" t="inlineStr">
        <is>
          <t>'800153967065</t>
        </is>
      </c>
      <c r="G370" s="0" t="inlineStr">
        <is>
          <t>MENS</t>
        </is>
      </c>
      <c r="H370" s="0" t="inlineStr">
        <is>
          <t>L</t>
        </is>
      </c>
      <c r="I370" s="0">
        <v>129.99</v>
      </c>
      <c r="J370" s="0">
        <v>0</v>
      </c>
    </row>
    <row r="371" spans="1:10" customHeight="0">
      <c r="A371" s="0">
        <f>HYPERLINK("https://dl.dropboxusercontent.com/scl/fi/70c0pf068teu3mboljivi/capital-153967-f.jpg?rlkey=fed2x2rdyj4zr499mnsfeb2ze&amp;dl=0","Click to download Image")</f>
      </c>
      <c r="B371" s="0">
        <f>HYPERLINK("https://dl.dropboxusercontent.com/scl/fi/ky0fp0s98ggv8afjhwdlt/mens-jackets-size-chartscapital.jpg?rlkey=2k23jcvmldj59qr67a6o8gvcx&amp;dl=0","Click to download SizeChart")</f>
      </c>
      <c r="C371" s="0" t="inlineStr">
        <is>
          <t>Capital Men's Jacket</t>
        </is>
      </c>
      <c r="D371" s="0" t="inlineStr">
        <is>
          <t>'153967</t>
        </is>
      </c>
      <c r="E371" s="0" t="inlineStr">
        <is>
          <t>IOWA CAPITAL M BK:153967D-XL</t>
        </is>
      </c>
      <c r="F371" s="0" t="inlineStr">
        <is>
          <t>'800153967072</t>
        </is>
      </c>
      <c r="G371" s="0" t="inlineStr">
        <is>
          <t>MENS</t>
        </is>
      </c>
      <c r="H371" s="0" t="inlineStr">
        <is>
          <t>XL</t>
        </is>
      </c>
      <c r="I371" s="0">
        <v>129.99</v>
      </c>
      <c r="J371" s="0">
        <v>3</v>
      </c>
    </row>
    <row r="372" spans="1:10" customHeight="0">
      <c r="A372" s="0">
        <f>HYPERLINK("https://dl.dropboxusercontent.com/scl/fi/70c0pf068teu3mboljivi/capital-153967-f.jpg?rlkey=fed2x2rdyj4zr499mnsfeb2ze&amp;dl=0","Click to download Image")</f>
      </c>
      <c r="B372" s="0">
        <f>HYPERLINK("https://dl.dropboxusercontent.com/scl/fi/ky0fp0s98ggv8afjhwdlt/mens-jackets-size-chartscapital.jpg?rlkey=2k23jcvmldj59qr67a6o8gvcx&amp;dl=0","Click to download SizeChart")</f>
      </c>
      <c r="C372" s="0" t="inlineStr">
        <is>
          <t>Capital Men's Jacket</t>
        </is>
      </c>
      <c r="D372" s="0" t="inlineStr">
        <is>
          <t>'153967</t>
        </is>
      </c>
      <c r="E372" s="0" t="inlineStr">
        <is>
          <t>IOWA CAPITAL M BK:153967E-2XL</t>
        </is>
      </c>
      <c r="F372" s="0" t="inlineStr">
        <is>
          <t>'800153967089</t>
        </is>
      </c>
      <c r="G372" s="0" t="inlineStr">
        <is>
          <t>MENS</t>
        </is>
      </c>
      <c r="H372" s="0" t="inlineStr">
        <is>
          <t>2XL</t>
        </is>
      </c>
      <c r="I372" s="0">
        <v>129.99</v>
      </c>
      <c r="J372" s="0">
        <v>1</v>
      </c>
    </row>
    <row r="373" spans="1:10" customHeight="0">
      <c r="A373" s="0">
        <f>HYPERLINK("https://dl.dropboxusercontent.com/scl/fi/70c0pf068teu3mboljivi/capital-153967-f.jpg?rlkey=fed2x2rdyj4zr499mnsfeb2ze&amp;dl=0","Click to download Image")</f>
      </c>
      <c r="B373" s="0">
        <f>HYPERLINK("https://dl.dropboxusercontent.com/scl/fi/ky0fp0s98ggv8afjhwdlt/mens-jackets-size-chartscapital.jpg?rlkey=2k23jcvmldj59qr67a6o8gvcx&amp;dl=0","Click to download SizeChart")</f>
      </c>
      <c r="C373" s="0" t="inlineStr">
        <is>
          <t>Capital Men's Jacket</t>
        </is>
      </c>
      <c r="D373" s="0" t="inlineStr">
        <is>
          <t>'153967</t>
        </is>
      </c>
      <c r="E373" s="0" t="inlineStr">
        <is>
          <t>IOWA CAPITAL M BK:153967F-3XL</t>
        </is>
      </c>
      <c r="F373" s="0" t="inlineStr">
        <is>
          <t>'800153967096</t>
        </is>
      </c>
      <c r="G373" s="0" t="inlineStr">
        <is>
          <t>MENS</t>
        </is>
      </c>
      <c r="H373" s="0" t="inlineStr">
        <is>
          <t>3XL</t>
        </is>
      </c>
      <c r="I373" s="0">
        <v>129.99</v>
      </c>
      <c r="J373" s="0">
        <v>0</v>
      </c>
    </row>
    <row r="374" spans="1:10" customHeight="0">
      <c r="A374" s="0">
        <f>HYPERLINK("https://dl.dropboxusercontent.com/scl/fi/lzs62qgmhp5q3hgq76vrb/117415-af.jpg?rlkey=gxkmzfy8zm4qneggb4nq6lbc6&amp;dl=0","Click to download Image")</f>
      </c>
      <c r="C374" s="0" t="inlineStr">
        <is>
          <t>Brix Mens T-shirt</t>
        </is>
      </c>
      <c r="D374" s="0" t="inlineStr">
        <is>
          <t>'117415</t>
        </is>
      </c>
      <c r="E374" s="0" t="inlineStr">
        <is>
          <t>ISU BRIX M WHITE:117415A-S</t>
        </is>
      </c>
      <c r="F374" s="0" t="inlineStr">
        <is>
          <t>'801117415042</t>
        </is>
      </c>
      <c r="G374" s="0" t="inlineStr">
        <is>
          <t>MENS</t>
        </is>
      </c>
      <c r="H374" s="0" t="inlineStr">
        <is>
          <t>S</t>
        </is>
      </c>
      <c r="I374" s="0">
        <v>24.99</v>
      </c>
      <c r="J374" s="0">
        <v>12</v>
      </c>
    </row>
    <row r="375" spans="1:10" customHeight="0">
      <c r="A375" s="0">
        <f>HYPERLINK("https://dl.dropboxusercontent.com/scl/fi/lzs62qgmhp5q3hgq76vrb/117415-af.jpg?rlkey=gxkmzfy8zm4qneggb4nq6lbc6&amp;dl=0","Click to download Image")</f>
      </c>
      <c r="C375" s="0" t="inlineStr">
        <is>
          <t>Brix Mens T-shirt</t>
        </is>
      </c>
      <c r="D375" s="0" t="inlineStr">
        <is>
          <t>'117415</t>
        </is>
      </c>
      <c r="E375" s="0" t="inlineStr">
        <is>
          <t>ISU BRIX M WHITE:117415B-M</t>
        </is>
      </c>
      <c r="F375" s="0" t="inlineStr">
        <is>
          <t>'801117415059</t>
        </is>
      </c>
      <c r="G375" s="0" t="inlineStr">
        <is>
          <t>MENS</t>
        </is>
      </c>
      <c r="H375" s="0" t="inlineStr">
        <is>
          <t>M</t>
        </is>
      </c>
      <c r="I375" s="0">
        <v>24.99</v>
      </c>
      <c r="J375" s="0">
        <v>24</v>
      </c>
    </row>
    <row r="376" spans="1:10" customHeight="0">
      <c r="A376" s="0">
        <f>HYPERLINK("https://dl.dropboxusercontent.com/scl/fi/lzs62qgmhp5q3hgq76vrb/117415-af.jpg?rlkey=gxkmzfy8zm4qneggb4nq6lbc6&amp;dl=0","Click to download Image")</f>
      </c>
      <c r="C376" s="0" t="inlineStr">
        <is>
          <t>Brix Mens T-shirt</t>
        </is>
      </c>
      <c r="D376" s="0" t="inlineStr">
        <is>
          <t>'117415</t>
        </is>
      </c>
      <c r="E376" s="0" t="inlineStr">
        <is>
          <t>ISU BRIX M WHITE:117415C-L</t>
        </is>
      </c>
      <c r="F376" s="0" t="inlineStr">
        <is>
          <t>'801117415066</t>
        </is>
      </c>
      <c r="G376" s="0" t="inlineStr">
        <is>
          <t>MENS</t>
        </is>
      </c>
      <c r="H376" s="0" t="inlineStr">
        <is>
          <t>L</t>
        </is>
      </c>
      <c r="I376" s="0">
        <v>24.99</v>
      </c>
      <c r="J376" s="0">
        <v>36</v>
      </c>
    </row>
    <row r="377" spans="1:10" customHeight="0">
      <c r="A377" s="0">
        <f>HYPERLINK("https://dl.dropboxusercontent.com/scl/fi/lzs62qgmhp5q3hgq76vrb/117415-af.jpg?rlkey=gxkmzfy8zm4qneggb4nq6lbc6&amp;dl=0","Click to download Image")</f>
      </c>
      <c r="C377" s="0" t="inlineStr">
        <is>
          <t>Brix Mens T-shirt</t>
        </is>
      </c>
      <c r="D377" s="0" t="inlineStr">
        <is>
          <t>'117415</t>
        </is>
      </c>
      <c r="E377" s="0" t="inlineStr">
        <is>
          <t>ISU BRIX M WHITE:117415D-XL</t>
        </is>
      </c>
      <c r="F377" s="0" t="inlineStr">
        <is>
          <t>'801117415073</t>
        </is>
      </c>
      <c r="G377" s="0" t="inlineStr">
        <is>
          <t>MENS</t>
        </is>
      </c>
      <c r="H377" s="0" t="inlineStr">
        <is>
          <t>XL</t>
        </is>
      </c>
      <c r="I377" s="0">
        <v>24.99</v>
      </c>
      <c r="J377" s="0">
        <v>36</v>
      </c>
    </row>
    <row r="378" spans="1:10" customHeight="0">
      <c r="A378" s="0">
        <f>HYPERLINK("https://dl.dropboxusercontent.com/scl/fi/lzs62qgmhp5q3hgq76vrb/117415-af.jpg?rlkey=gxkmzfy8zm4qneggb4nq6lbc6&amp;dl=0","Click to download Image")</f>
      </c>
      <c r="C378" s="0" t="inlineStr">
        <is>
          <t>Brix Mens T-shirt</t>
        </is>
      </c>
      <c r="D378" s="0" t="inlineStr">
        <is>
          <t>'117415</t>
        </is>
      </c>
      <c r="E378" s="0" t="inlineStr">
        <is>
          <t>ISU BRIX M WHITE:117415E-2XL</t>
        </is>
      </c>
      <c r="F378" s="0" t="inlineStr">
        <is>
          <t>'801117415080</t>
        </is>
      </c>
      <c r="G378" s="0" t="inlineStr">
        <is>
          <t>MENS</t>
        </is>
      </c>
      <c r="H378" s="0" t="inlineStr">
        <is>
          <t>2XL</t>
        </is>
      </c>
      <c r="I378" s="0">
        <v>24.99</v>
      </c>
      <c r="J378" s="0">
        <v>24</v>
      </c>
    </row>
    <row r="379" spans="1:10" customHeight="0">
      <c r="A379" s="0">
        <f>HYPERLINK("https://dl.dropboxusercontent.com/scl/fi/lzs62qgmhp5q3hgq76vrb/117415-af.jpg?rlkey=gxkmzfy8zm4qneggb4nq6lbc6&amp;dl=0","Click to download Image")</f>
      </c>
      <c r="C379" s="0" t="inlineStr">
        <is>
          <t>Brix Mens T-shirt</t>
        </is>
      </c>
      <c r="D379" s="0" t="inlineStr">
        <is>
          <t>'117415</t>
        </is>
      </c>
      <c r="E379" s="0" t="inlineStr">
        <is>
          <t>ISU BRIX M WHITE:117415F-3XL</t>
        </is>
      </c>
      <c r="F379" s="0" t="inlineStr">
        <is>
          <t>'801117415097</t>
        </is>
      </c>
      <c r="G379" s="0" t="inlineStr">
        <is>
          <t>MENS</t>
        </is>
      </c>
      <c r="H379" s="0" t="inlineStr">
        <is>
          <t>3XL</t>
        </is>
      </c>
      <c r="I379" s="0">
        <v>24.99</v>
      </c>
      <c r="J379" s="0">
        <v>12</v>
      </c>
    </row>
    <row r="380" spans="1:10" customHeight="0">
      <c r="A380" s="0">
        <f>HYPERLINK("https://dl.dropboxusercontent.com/scl/fi/lzs62qgmhp5q3hgq76vrb/117415-af.jpg?rlkey=gxkmzfy8zm4qneggb4nq6lbc6&amp;dl=0","Click to download Image")</f>
      </c>
      <c r="C380" s="0" t="inlineStr">
        <is>
          <t>Brix Mens T-shirt</t>
        </is>
      </c>
      <c r="D380" s="0" t="inlineStr">
        <is>
          <t>'117415</t>
        </is>
      </c>
      <c r="E380" s="0" t="inlineStr">
        <is>
          <t>ISU BRIX M WHITE 12PK:117415Z-12PK</t>
        </is>
      </c>
      <c r="F380" s="0" t="inlineStr">
        <is>
          <t>'801117415998</t>
        </is>
      </c>
      <c r="G380" s="0" t="inlineStr">
        <is>
          <t>MENS</t>
        </is>
      </c>
      <c r="H380" s="0" t="inlineStr">
        <is>
          <t>12 PACK</t>
        </is>
      </c>
      <c r="I380" s="0">
        <v>246</v>
      </c>
      <c r="J380" s="0">
        <v>12</v>
      </c>
    </row>
    <row r="381" spans="1:10" customHeight="0">
      <c r="A381" s="0">
        <f>HYPERLINK("https://dl.dropboxusercontent.com/scl/fi/ulcklme283t5m94o8iur2/124056-af.jpg?rlkey=x03mdhqqyd5905c7yrhsfvfwn&amp;dl=0","Click to download Image")</f>
      </c>
      <c r="C381" s="0" t="inlineStr">
        <is>
          <t>Brix Mens T-shirt</t>
        </is>
      </c>
      <c r="D381" s="0" t="inlineStr">
        <is>
          <t>'124056</t>
        </is>
      </c>
      <c r="E381" s="0" t="inlineStr">
        <is>
          <t>USD BRIX M WE:124056A-S</t>
        </is>
      </c>
      <c r="F381" s="0" t="inlineStr">
        <is>
          <t>'811124056046</t>
        </is>
      </c>
      <c r="G381" s="0" t="inlineStr">
        <is>
          <t>MENS</t>
        </is>
      </c>
      <c r="H381" s="0" t="inlineStr">
        <is>
          <t>S</t>
        </is>
      </c>
      <c r="I381" s="0">
        <v>24.99</v>
      </c>
      <c r="J381" s="0">
        <v>2</v>
      </c>
    </row>
    <row r="382" spans="1:10" customHeight="0">
      <c r="A382" s="0">
        <f>HYPERLINK("https://dl.dropboxusercontent.com/scl/fi/ulcklme283t5m94o8iur2/124056-af.jpg?rlkey=x03mdhqqyd5905c7yrhsfvfwn&amp;dl=0","Click to download Image")</f>
      </c>
      <c r="C382" s="0" t="inlineStr">
        <is>
          <t>Brix Mens T-shirt</t>
        </is>
      </c>
      <c r="D382" s="0" t="inlineStr">
        <is>
          <t>'124056</t>
        </is>
      </c>
      <c r="E382" s="0" t="inlineStr">
        <is>
          <t>USD BRIX M WE:124056B-M</t>
        </is>
      </c>
      <c r="F382" s="0" t="inlineStr">
        <is>
          <t>'811124056053</t>
        </is>
      </c>
      <c r="G382" s="0" t="inlineStr">
        <is>
          <t>MENS</t>
        </is>
      </c>
      <c r="H382" s="0" t="inlineStr">
        <is>
          <t>M</t>
        </is>
      </c>
      <c r="I382" s="0">
        <v>24.99</v>
      </c>
      <c r="J382" s="0">
        <v>4</v>
      </c>
    </row>
    <row r="383" spans="1:10" customHeight="0">
      <c r="A383" s="0">
        <f>HYPERLINK("https://dl.dropboxusercontent.com/scl/fi/ulcklme283t5m94o8iur2/124056-af.jpg?rlkey=x03mdhqqyd5905c7yrhsfvfwn&amp;dl=0","Click to download Image")</f>
      </c>
      <c r="C383" s="0" t="inlineStr">
        <is>
          <t>Brix Mens T-shirt</t>
        </is>
      </c>
      <c r="D383" s="0" t="inlineStr">
        <is>
          <t>'124056</t>
        </is>
      </c>
      <c r="E383" s="0" t="inlineStr">
        <is>
          <t>USD BRIX M WE:124056C-L</t>
        </is>
      </c>
      <c r="F383" s="0" t="inlineStr">
        <is>
          <t>'811124056060</t>
        </is>
      </c>
      <c r="G383" s="0" t="inlineStr">
        <is>
          <t>MENS</t>
        </is>
      </c>
      <c r="H383" s="0" t="inlineStr">
        <is>
          <t>L</t>
        </is>
      </c>
      <c r="I383" s="0">
        <v>24.99</v>
      </c>
      <c r="J383" s="0">
        <v>6</v>
      </c>
    </row>
    <row r="384" spans="1:10" customHeight="0">
      <c r="A384" s="0">
        <f>HYPERLINK("https://dl.dropboxusercontent.com/scl/fi/ulcklme283t5m94o8iur2/124056-af.jpg?rlkey=x03mdhqqyd5905c7yrhsfvfwn&amp;dl=0","Click to download Image")</f>
      </c>
      <c r="C384" s="0" t="inlineStr">
        <is>
          <t>Brix Mens T-shirt</t>
        </is>
      </c>
      <c r="D384" s="0" t="inlineStr">
        <is>
          <t>'124056</t>
        </is>
      </c>
      <c r="E384" s="0" t="inlineStr">
        <is>
          <t>USD BRIX M WE:124056D-XL</t>
        </is>
      </c>
      <c r="F384" s="0" t="inlineStr">
        <is>
          <t>'811124056077</t>
        </is>
      </c>
      <c r="G384" s="0" t="inlineStr">
        <is>
          <t>MENS</t>
        </is>
      </c>
      <c r="H384" s="0" t="inlineStr">
        <is>
          <t>XL</t>
        </is>
      </c>
      <c r="I384" s="0">
        <v>24.99</v>
      </c>
      <c r="J384" s="0">
        <v>6</v>
      </c>
    </row>
    <row r="385" spans="1:10" customHeight="0">
      <c r="A385" s="0">
        <f>HYPERLINK("https://dl.dropboxusercontent.com/scl/fi/ulcklme283t5m94o8iur2/124056-af.jpg?rlkey=x03mdhqqyd5905c7yrhsfvfwn&amp;dl=0","Click to download Image")</f>
      </c>
      <c r="C385" s="0" t="inlineStr">
        <is>
          <t>Brix Mens T-shirt</t>
        </is>
      </c>
      <c r="D385" s="0" t="inlineStr">
        <is>
          <t>'124056</t>
        </is>
      </c>
      <c r="E385" s="0" t="inlineStr">
        <is>
          <t>USD BRIX M WE:124056E-2XL</t>
        </is>
      </c>
      <c r="F385" s="0" t="inlineStr">
        <is>
          <t>'811124056084</t>
        </is>
      </c>
      <c r="G385" s="0" t="inlineStr">
        <is>
          <t>MENS</t>
        </is>
      </c>
      <c r="H385" s="0" t="inlineStr">
        <is>
          <t>2XL</t>
        </is>
      </c>
      <c r="I385" s="0">
        <v>24.99</v>
      </c>
      <c r="J385" s="0">
        <v>4</v>
      </c>
    </row>
    <row r="386" spans="1:10" customHeight="0">
      <c r="A386" s="0">
        <f>HYPERLINK("https://dl.dropboxusercontent.com/scl/fi/ulcklme283t5m94o8iur2/124056-af.jpg?rlkey=x03mdhqqyd5905c7yrhsfvfwn&amp;dl=0","Click to download Image")</f>
      </c>
      <c r="C386" s="0" t="inlineStr">
        <is>
          <t>Brix Mens T-shirt</t>
        </is>
      </c>
      <c r="D386" s="0" t="inlineStr">
        <is>
          <t>'124056</t>
        </is>
      </c>
      <c r="E386" s="0" t="inlineStr">
        <is>
          <t>USD BRIX M WE:124056F-3XL</t>
        </is>
      </c>
      <c r="F386" s="0" t="inlineStr">
        <is>
          <t>'811124056091</t>
        </is>
      </c>
      <c r="G386" s="0" t="inlineStr">
        <is>
          <t>MENS</t>
        </is>
      </c>
      <c r="H386" s="0" t="inlineStr">
        <is>
          <t>3XL</t>
        </is>
      </c>
      <c r="I386" s="0">
        <v>24.99</v>
      </c>
      <c r="J386" s="0">
        <v>1</v>
      </c>
    </row>
    <row r="387" spans="1:10" customHeight="0">
      <c r="A387" s="0">
        <f>HYPERLINK("https://dl.dropboxusercontent.com/scl/fi/ulcklme283t5m94o8iur2/124056-af.jpg?rlkey=x03mdhqqyd5905c7yrhsfvfwn&amp;dl=0","Click to download Image")</f>
      </c>
      <c r="C387" s="0" t="inlineStr">
        <is>
          <t>Brix Mens T-shirt</t>
        </is>
      </c>
      <c r="D387" s="0" t="inlineStr">
        <is>
          <t>'124056</t>
        </is>
      </c>
      <c r="E387" s="0" t="inlineStr">
        <is>
          <t>USD BRIX M WE 12PK:124056Z-12PK</t>
        </is>
      </c>
      <c r="F387" s="0" t="inlineStr">
        <is>
          <t>'811124056992</t>
        </is>
      </c>
      <c r="G387" s="0" t="inlineStr">
        <is>
          <t>MENS</t>
        </is>
      </c>
      <c r="H387" s="0" t="inlineStr">
        <is>
          <t>12 PACK</t>
        </is>
      </c>
      <c r="I387" s="0">
        <v>246</v>
      </c>
      <c r="J387" s="0">
        <v>1</v>
      </c>
    </row>
    <row r="388" spans="1:10" customHeight="0">
      <c r="A388" s="0">
        <f>HYPERLINK("https://dl.dropboxusercontent.com/scl/fi/g5vwk12owuslbiy445em2/alviat.jpg?rlkey=mlvb7ujz7tc8yjm71z4ago7r6&amp;dl=0","Click to download Image")</f>
      </c>
      <c r="C388" s="0" t="inlineStr">
        <is>
          <t>Alvia Tote Bag</t>
        </is>
      </c>
      <c r="D388" s="0" t="inlineStr">
        <is>
          <t>'123389</t>
        </is>
      </c>
      <c r="E388" s="0" t="inlineStr">
        <is>
          <t>IOWA ALVIA BK:123389</t>
        </is>
      </c>
      <c r="F388" s="0" t="inlineStr">
        <is>
          <t>'900123389016</t>
        </is>
      </c>
      <c r="H388" s="0" t="inlineStr">
        <is>
          <t>ONE SIZE</t>
        </is>
      </c>
      <c r="I388" s="0">
        <v>49.99</v>
      </c>
      <c r="J388" s="0">
        <v>17</v>
      </c>
    </row>
    <row r="389" spans="1:10" customHeight="0">
      <c r="A389" s="0">
        <f>HYPERLINK("https://dl.dropboxusercontent.com/scl/fi/ole1rm7mqqq0f84lq0m7o/125358-af2.jpg?rlkey=xtqh321oxjd6xo83yl90svjnk&amp;dl=0","Click to download Image")</f>
      </c>
      <c r="C389" s="0" t="inlineStr">
        <is>
          <t>Alvia Tote Bag</t>
        </is>
      </c>
      <c r="D389" s="0" t="inlineStr">
        <is>
          <t>'125358</t>
        </is>
      </c>
      <c r="E389" s="0" t="inlineStr">
        <is>
          <t>ISU ALVIA BK:125358</t>
        </is>
      </c>
      <c r="F389" s="0" t="inlineStr">
        <is>
          <t>'901125358017</t>
        </is>
      </c>
      <c r="H389" s="0" t="inlineStr">
        <is>
          <t>ONE SIZE</t>
        </is>
      </c>
      <c r="I389" s="0">
        <v>49.99</v>
      </c>
      <c r="J389" s="0">
        <v>20</v>
      </c>
    </row>
    <row r="390" spans="1:10" customHeight="0">
      <c r="A390" s="0">
        <f>HYPERLINK("https://dl.dropboxusercontent.com/scl/fi/0k9ra5vagxybdle9w2u4z/lyra-purdue.jpg?rlkey=l6mq4bxve3m59ok4vic6x1fn4&amp;dl=0","Click to download Image")</f>
      </c>
      <c r="B390" s="0">
        <f>HYPERLINK("https://dl.dropboxusercontent.com/scl/fi/anghe5gnts00ei6a10esg/womens-hoodie-and-sweatshirt-size-chartslyra.jpg?rlkey=dvqx311lgy3kknfkg22c4zmrr&amp;dl=0","Click to download SizeChart")</f>
      </c>
      <c r="C390" s="0" t="inlineStr">
        <is>
          <t>Lyra Women's Cropped Sweatshirt</t>
        </is>
      </c>
      <c r="D390" s="0" t="inlineStr">
        <is>
          <t>'123184</t>
        </is>
      </c>
      <c r="E390" s="0" t="inlineStr">
        <is>
          <t>PUR LYRA W BK:123184A-S</t>
        </is>
      </c>
      <c r="F390" s="0" t="inlineStr">
        <is>
          <t>'804123184049</t>
        </is>
      </c>
      <c r="G390" s="0" t="inlineStr">
        <is>
          <t>WOMENS</t>
        </is>
      </c>
      <c r="H390" s="0" t="inlineStr">
        <is>
          <t>S</t>
        </is>
      </c>
      <c r="I390" s="0">
        <v>39.99</v>
      </c>
      <c r="J390" s="0">
        <v>5</v>
      </c>
    </row>
    <row r="391" spans="1:10" customHeight="0">
      <c r="A391" s="0">
        <f>HYPERLINK("https://dl.dropboxusercontent.com/scl/fi/0k9ra5vagxybdle9w2u4z/lyra-purdue.jpg?rlkey=l6mq4bxve3m59ok4vic6x1fn4&amp;dl=0","Click to download Image")</f>
      </c>
      <c r="B391" s="0">
        <f>HYPERLINK("https://dl.dropboxusercontent.com/scl/fi/anghe5gnts00ei6a10esg/womens-hoodie-and-sweatshirt-size-chartslyra.jpg?rlkey=dvqx311lgy3kknfkg22c4zmrr&amp;dl=0","Click to download SizeChart")</f>
      </c>
      <c r="C391" s="0" t="inlineStr">
        <is>
          <t>Lyra Women's Cropped Sweatshirt</t>
        </is>
      </c>
      <c r="D391" s="0" t="inlineStr">
        <is>
          <t>'123184</t>
        </is>
      </c>
      <c r="E391" s="0" t="inlineStr">
        <is>
          <t>PUR LYRA W BK:123184B-M</t>
        </is>
      </c>
      <c r="F391" s="0" t="inlineStr">
        <is>
          <t>'804123184056</t>
        </is>
      </c>
      <c r="G391" s="0" t="inlineStr">
        <is>
          <t>WOMENS</t>
        </is>
      </c>
      <c r="H391" s="0" t="inlineStr">
        <is>
          <t>M</t>
        </is>
      </c>
      <c r="I391" s="0">
        <v>39.99</v>
      </c>
      <c r="J391" s="0">
        <v>8</v>
      </c>
    </row>
    <row r="392" spans="1:10" customHeight="0">
      <c r="A392" s="0">
        <f>HYPERLINK("https://dl.dropboxusercontent.com/scl/fi/0k9ra5vagxybdle9w2u4z/lyra-purdue.jpg?rlkey=l6mq4bxve3m59ok4vic6x1fn4&amp;dl=0","Click to download Image")</f>
      </c>
      <c r="B392" s="0">
        <f>HYPERLINK("https://dl.dropboxusercontent.com/scl/fi/anghe5gnts00ei6a10esg/womens-hoodie-and-sweatshirt-size-chartslyra.jpg?rlkey=dvqx311lgy3kknfkg22c4zmrr&amp;dl=0","Click to download SizeChart")</f>
      </c>
      <c r="C392" s="0" t="inlineStr">
        <is>
          <t>Lyra Women's Cropped Sweatshirt</t>
        </is>
      </c>
      <c r="D392" s="0" t="inlineStr">
        <is>
          <t>'123184</t>
        </is>
      </c>
      <c r="E392" s="0" t="inlineStr">
        <is>
          <t>PUR LYRA W BK:123184C-L</t>
        </is>
      </c>
      <c r="F392" s="0" t="inlineStr">
        <is>
          <t>'804123184063</t>
        </is>
      </c>
      <c r="G392" s="0" t="inlineStr">
        <is>
          <t>WOMENS</t>
        </is>
      </c>
      <c r="H392" s="0" t="inlineStr">
        <is>
          <t>L</t>
        </is>
      </c>
      <c r="I392" s="0">
        <v>39.99</v>
      </c>
      <c r="J392" s="0">
        <v>8</v>
      </c>
    </row>
    <row r="393" spans="1:10" customHeight="0">
      <c r="A393" s="0">
        <f>HYPERLINK("https://dl.dropboxusercontent.com/scl/fi/0k9ra5vagxybdle9w2u4z/lyra-purdue.jpg?rlkey=l6mq4bxve3m59ok4vic6x1fn4&amp;dl=0","Click to download Image")</f>
      </c>
      <c r="B393" s="0">
        <f>HYPERLINK("https://dl.dropboxusercontent.com/scl/fi/anghe5gnts00ei6a10esg/womens-hoodie-and-sweatshirt-size-chartslyra.jpg?rlkey=dvqx311lgy3kknfkg22c4zmrr&amp;dl=0","Click to download SizeChart")</f>
      </c>
      <c r="C393" s="0" t="inlineStr">
        <is>
          <t>Lyra Women's Cropped Sweatshirt</t>
        </is>
      </c>
      <c r="D393" s="0" t="inlineStr">
        <is>
          <t>'123184</t>
        </is>
      </c>
      <c r="E393" s="0" t="inlineStr">
        <is>
          <t>PUR LYRA W BK:123184D-XL</t>
        </is>
      </c>
      <c r="F393" s="0" t="inlineStr">
        <is>
          <t>'804123184070</t>
        </is>
      </c>
      <c r="G393" s="0" t="inlineStr">
        <is>
          <t>WOMENS</t>
        </is>
      </c>
      <c r="H393" s="0" t="inlineStr">
        <is>
          <t>XL</t>
        </is>
      </c>
      <c r="I393" s="0">
        <v>39.99</v>
      </c>
      <c r="J393" s="0">
        <v>4</v>
      </c>
    </row>
    <row r="394" spans="1:10" customHeight="0">
      <c r="A394" s="0">
        <f>HYPERLINK("https://dl.dropboxusercontent.com/scl/fi/0k9ra5vagxybdle9w2u4z/lyra-purdue.jpg?rlkey=l6mq4bxve3m59ok4vic6x1fn4&amp;dl=0","Click to download Image")</f>
      </c>
      <c r="B394" s="0">
        <f>HYPERLINK("https://dl.dropboxusercontent.com/scl/fi/anghe5gnts00ei6a10esg/womens-hoodie-and-sweatshirt-size-chartslyra.jpg?rlkey=dvqx311lgy3kknfkg22c4zmrr&amp;dl=0","Click to download SizeChart")</f>
      </c>
      <c r="C394" s="0" t="inlineStr">
        <is>
          <t>Lyra Women's Cropped Sweatshirt</t>
        </is>
      </c>
      <c r="D394" s="0" t="inlineStr">
        <is>
          <t>'123184</t>
        </is>
      </c>
      <c r="E394" s="0" t="inlineStr">
        <is>
          <t>PUR LYRA W BK:123184E-2XL</t>
        </is>
      </c>
      <c r="F394" s="0" t="inlineStr">
        <is>
          <t>'804123184087</t>
        </is>
      </c>
      <c r="G394" s="0" t="inlineStr">
        <is>
          <t>WOMENS</t>
        </is>
      </c>
      <c r="H394" s="0" t="inlineStr">
        <is>
          <t>2XL</t>
        </is>
      </c>
      <c r="I394" s="0">
        <v>43.99</v>
      </c>
      <c r="J394" s="0">
        <v>3</v>
      </c>
    </row>
    <row r="395" spans="1:10" customHeight="0">
      <c r="A395" s="0">
        <f>HYPERLINK("https://dl.dropboxusercontent.com/scl/fi/0k9ra5vagxybdle9w2u4z/lyra-purdue.jpg?rlkey=l6mq4bxve3m59ok4vic6x1fn4&amp;dl=0","Click to download Image")</f>
      </c>
      <c r="B395" s="0">
        <f>HYPERLINK("https://dl.dropboxusercontent.com/scl/fi/anghe5gnts00ei6a10esg/womens-hoodie-and-sweatshirt-size-chartslyra.jpg?rlkey=dvqx311lgy3kknfkg22c4zmrr&amp;dl=0","Click to download SizeChart")</f>
      </c>
      <c r="C395" s="0" t="inlineStr">
        <is>
          <t>Lyra Women's Cropped Sweatshirt</t>
        </is>
      </c>
      <c r="D395" s="0" t="inlineStr">
        <is>
          <t>'123184</t>
        </is>
      </c>
      <c r="E395" s="0" t="inlineStr">
        <is>
          <t>PUR LYRA W BK:123184F-3XL</t>
        </is>
      </c>
      <c r="F395" s="0" t="inlineStr">
        <is>
          <t>'804123184094</t>
        </is>
      </c>
      <c r="G395" s="0" t="inlineStr">
        <is>
          <t>WOMENS</t>
        </is>
      </c>
      <c r="H395" s="0" t="inlineStr">
        <is>
          <t>3XL</t>
        </is>
      </c>
      <c r="I395" s="0">
        <v>43.99</v>
      </c>
      <c r="J395" s="0">
        <v>1</v>
      </c>
    </row>
    <row r="396" spans="1:10" customHeight="0">
      <c r="A396" s="0">
        <f>HYPERLINK("https://dl.dropboxusercontent.com/scl/fi/0k9ra5vagxybdle9w2u4z/lyra-purdue.jpg?rlkey=l6mq4bxve3m59ok4vic6x1fn4&amp;dl=0","Click to download Image")</f>
      </c>
      <c r="B396" s="0">
        <f>HYPERLINK("https://dl.dropboxusercontent.com/scl/fi/anghe5gnts00ei6a10esg/womens-hoodie-and-sweatshirt-size-chartslyra.jpg?rlkey=dvqx311lgy3kknfkg22c4zmrr&amp;dl=0","Click to download SizeChart")</f>
      </c>
      <c r="C396" s="0" t="inlineStr">
        <is>
          <t>Lyra Women's Cropped Sweatshirt</t>
        </is>
      </c>
      <c r="D396" s="0" t="inlineStr">
        <is>
          <t>'123184</t>
        </is>
      </c>
      <c r="E396" s="0" t="inlineStr">
        <is>
          <t>PUR LYRA W BK 12PK:123184Z-12PK</t>
        </is>
      </c>
      <c r="F396" s="0" t="inlineStr">
        <is>
          <t>'804123184995</t>
        </is>
      </c>
      <c r="G396" s="0" t="inlineStr">
        <is>
          <t>WOMENS</t>
        </is>
      </c>
      <c r="H396" s="0" t="inlineStr">
        <is>
          <t>12 PACK</t>
        </is>
      </c>
      <c r="I396" s="0">
        <v>384</v>
      </c>
      <c r="J396" s="0">
        <v>1</v>
      </c>
    </row>
    <row r="397" spans="1:10" customHeight="0">
      <c r="A397" s="0">
        <f>HYPERLINK("https://dl.dropboxusercontent.com/scl/fi/0g4il26pgu6zk4r3pxoh4/123190-f.jpg?rlkey=d9zr1f5zesdx19v34n4rmpps0&amp;dl=0","Click to download Image")</f>
      </c>
      <c r="B397" s="0">
        <f>HYPERLINK("https://dl.dropboxusercontent.com/scl/fi/anghe5gnts00ei6a10esg/womens-hoodie-and-sweatshirt-size-chartslyra.jpg?rlkey=dvqx311lgy3kknfkg22c4zmrr&amp;dl=0","Click to download SizeChart")</f>
      </c>
      <c r="C397" s="0" t="inlineStr">
        <is>
          <t>Lyra Women's Cropped Sweatshirt</t>
        </is>
      </c>
      <c r="D397" s="0" t="inlineStr">
        <is>
          <t>'123190</t>
        </is>
      </c>
      <c r="E397" s="0" t="inlineStr">
        <is>
          <t>UNI LYRA W OG:123190A-S</t>
        </is>
      </c>
      <c r="F397" s="0" t="inlineStr">
        <is>
          <t>'802123190046</t>
        </is>
      </c>
      <c r="G397" s="0" t="inlineStr">
        <is>
          <t>WOMENS</t>
        </is>
      </c>
      <c r="H397" s="0" t="inlineStr">
        <is>
          <t>S</t>
        </is>
      </c>
      <c r="I397" s="0">
        <v>39.99</v>
      </c>
      <c r="J397" s="0">
        <v>0</v>
      </c>
    </row>
    <row r="398" spans="1:10" customHeight="0">
      <c r="A398" s="0">
        <f>HYPERLINK("https://dl.dropboxusercontent.com/scl/fi/0g4il26pgu6zk4r3pxoh4/123190-f.jpg?rlkey=d9zr1f5zesdx19v34n4rmpps0&amp;dl=0","Click to download Image")</f>
      </c>
      <c r="B398" s="0">
        <f>HYPERLINK("https://dl.dropboxusercontent.com/scl/fi/anghe5gnts00ei6a10esg/womens-hoodie-and-sweatshirt-size-chartslyra.jpg?rlkey=dvqx311lgy3kknfkg22c4zmrr&amp;dl=0","Click to download SizeChart")</f>
      </c>
      <c r="C398" s="0" t="inlineStr">
        <is>
          <t>Lyra Women's Cropped Sweatshirt</t>
        </is>
      </c>
      <c r="D398" s="0" t="inlineStr">
        <is>
          <t>'123190</t>
        </is>
      </c>
      <c r="E398" s="0" t="inlineStr">
        <is>
          <t>UNI LYRA W OG:123190B-M</t>
        </is>
      </c>
      <c r="F398" s="0" t="inlineStr">
        <is>
          <t>'802123190053</t>
        </is>
      </c>
      <c r="G398" s="0" t="inlineStr">
        <is>
          <t>WOMENS</t>
        </is>
      </c>
      <c r="H398" s="0" t="inlineStr">
        <is>
          <t>M</t>
        </is>
      </c>
      <c r="I398" s="0">
        <v>39.99</v>
      </c>
      <c r="J398" s="0">
        <v>3</v>
      </c>
    </row>
    <row r="399" spans="1:10" customHeight="0">
      <c r="A399" s="0">
        <f>HYPERLINK("https://dl.dropboxusercontent.com/scl/fi/0g4il26pgu6zk4r3pxoh4/123190-f.jpg?rlkey=d9zr1f5zesdx19v34n4rmpps0&amp;dl=0","Click to download Image")</f>
      </c>
      <c r="B399" s="0">
        <f>HYPERLINK("https://dl.dropboxusercontent.com/scl/fi/anghe5gnts00ei6a10esg/womens-hoodie-and-sweatshirt-size-chartslyra.jpg?rlkey=dvqx311lgy3kknfkg22c4zmrr&amp;dl=0","Click to download SizeChart")</f>
      </c>
      <c r="C399" s="0" t="inlineStr">
        <is>
          <t>Lyra Women's Cropped Sweatshirt</t>
        </is>
      </c>
      <c r="D399" s="0" t="inlineStr">
        <is>
          <t>'123190</t>
        </is>
      </c>
      <c r="E399" s="0" t="inlineStr">
        <is>
          <t>UNI LYRA W OG:123190C-L</t>
        </is>
      </c>
      <c r="F399" s="0" t="inlineStr">
        <is>
          <t>'802123190060</t>
        </is>
      </c>
      <c r="G399" s="0" t="inlineStr">
        <is>
          <t>WOMENS</t>
        </is>
      </c>
      <c r="H399" s="0" t="inlineStr">
        <is>
          <t>L</t>
        </is>
      </c>
      <c r="I399" s="0">
        <v>39.99</v>
      </c>
      <c r="J399" s="0">
        <v>3</v>
      </c>
    </row>
    <row r="400" spans="1:10" customHeight="0">
      <c r="A400" s="0">
        <f>HYPERLINK("https://dl.dropboxusercontent.com/scl/fi/0g4il26pgu6zk4r3pxoh4/123190-f.jpg?rlkey=d9zr1f5zesdx19v34n4rmpps0&amp;dl=0","Click to download Image")</f>
      </c>
      <c r="B400" s="0">
        <f>HYPERLINK("https://dl.dropboxusercontent.com/scl/fi/anghe5gnts00ei6a10esg/womens-hoodie-and-sweatshirt-size-chartslyra.jpg?rlkey=dvqx311lgy3kknfkg22c4zmrr&amp;dl=0","Click to download SizeChart")</f>
      </c>
      <c r="C400" s="0" t="inlineStr">
        <is>
          <t>Lyra Women's Cropped Sweatshirt</t>
        </is>
      </c>
      <c r="D400" s="0" t="inlineStr">
        <is>
          <t>'123190</t>
        </is>
      </c>
      <c r="E400" s="0" t="inlineStr">
        <is>
          <t>UNI LYRA W OG:123190D-XL</t>
        </is>
      </c>
      <c r="F400" s="0" t="inlineStr">
        <is>
          <t>'802123190077</t>
        </is>
      </c>
      <c r="G400" s="0" t="inlineStr">
        <is>
          <t>WOMENS</t>
        </is>
      </c>
      <c r="H400" s="0" t="inlineStr">
        <is>
          <t>XL</t>
        </is>
      </c>
      <c r="I400" s="0">
        <v>39.99</v>
      </c>
      <c r="J400" s="0">
        <v>0</v>
      </c>
    </row>
    <row r="401" spans="1:10" customHeight="0">
      <c r="A401" s="0">
        <f>HYPERLINK("https://dl.dropboxusercontent.com/scl/fi/0g4il26pgu6zk4r3pxoh4/123190-f.jpg?rlkey=d9zr1f5zesdx19v34n4rmpps0&amp;dl=0","Click to download Image")</f>
      </c>
      <c r="B401" s="0">
        <f>HYPERLINK("https://dl.dropboxusercontent.com/scl/fi/anghe5gnts00ei6a10esg/womens-hoodie-and-sweatshirt-size-chartslyra.jpg?rlkey=dvqx311lgy3kknfkg22c4zmrr&amp;dl=0","Click to download SizeChart")</f>
      </c>
      <c r="C401" s="0" t="inlineStr">
        <is>
          <t>Lyra Women's Cropped Sweatshirt</t>
        </is>
      </c>
      <c r="D401" s="0" t="inlineStr">
        <is>
          <t>'123190</t>
        </is>
      </c>
      <c r="E401" s="0" t="inlineStr">
        <is>
          <t>UNI LYRA W OG:123190E-2XL</t>
        </is>
      </c>
      <c r="F401" s="0" t="inlineStr">
        <is>
          <t>'802123190084</t>
        </is>
      </c>
      <c r="G401" s="0" t="inlineStr">
        <is>
          <t>WOMENS</t>
        </is>
      </c>
      <c r="H401" s="0" t="inlineStr">
        <is>
          <t>2XL</t>
        </is>
      </c>
      <c r="I401" s="0">
        <v>43.99</v>
      </c>
      <c r="J401" s="0">
        <v>3</v>
      </c>
    </row>
    <row r="402" spans="1:10" customHeight="0">
      <c r="A402" s="0">
        <f>HYPERLINK("https://dl.dropboxusercontent.com/scl/fi/0g4il26pgu6zk4r3pxoh4/123190-f.jpg?rlkey=d9zr1f5zesdx19v34n4rmpps0&amp;dl=0","Click to download Image")</f>
      </c>
      <c r="B402" s="0">
        <f>HYPERLINK("https://dl.dropboxusercontent.com/scl/fi/anghe5gnts00ei6a10esg/womens-hoodie-and-sweatshirt-size-chartslyra.jpg?rlkey=dvqx311lgy3kknfkg22c4zmrr&amp;dl=0","Click to download SizeChart")</f>
      </c>
      <c r="C402" s="0" t="inlineStr">
        <is>
          <t>Lyra Women's Cropped Sweatshirt</t>
        </is>
      </c>
      <c r="D402" s="0" t="inlineStr">
        <is>
          <t>'123190</t>
        </is>
      </c>
      <c r="E402" s="0" t="inlineStr">
        <is>
          <t>UNI LYRA W OG:123190F-3XL</t>
        </is>
      </c>
      <c r="F402" s="0" t="inlineStr">
        <is>
          <t>'802123190091</t>
        </is>
      </c>
      <c r="G402" s="0" t="inlineStr">
        <is>
          <t>WOMENS</t>
        </is>
      </c>
      <c r="H402" s="0" t="inlineStr">
        <is>
          <t>3XL</t>
        </is>
      </c>
      <c r="I402" s="0">
        <v>43.99</v>
      </c>
      <c r="J402" s="0">
        <v>1</v>
      </c>
    </row>
    <row r="403" spans="1:10" customHeight="0">
      <c r="A403" s="0">
        <f>HYPERLINK("https://dl.dropboxusercontent.com/scl/fi/0g4il26pgu6zk4r3pxoh4/123190-f.jpg?rlkey=d9zr1f5zesdx19v34n4rmpps0&amp;dl=0","Click to download Image")</f>
      </c>
      <c r="B403" s="0">
        <f>HYPERLINK("https://dl.dropboxusercontent.com/scl/fi/anghe5gnts00ei6a10esg/womens-hoodie-and-sweatshirt-size-chartslyra.jpg?rlkey=dvqx311lgy3kknfkg22c4zmrr&amp;dl=0","Click to download SizeChart")</f>
      </c>
      <c r="C403" s="0" t="inlineStr">
        <is>
          <t>Lyra Women's Cropped Sweatshirt</t>
        </is>
      </c>
      <c r="D403" s="0" t="inlineStr">
        <is>
          <t>'123190</t>
        </is>
      </c>
      <c r="E403" s="0" t="inlineStr">
        <is>
          <t>UNI LYRA W OG 12PK:123190Z-12PK</t>
        </is>
      </c>
      <c r="F403" s="0" t="inlineStr">
        <is>
          <t>'802123190992</t>
        </is>
      </c>
      <c r="G403" s="0" t="inlineStr">
        <is>
          <t>WOMENS</t>
        </is>
      </c>
      <c r="H403" s="0" t="inlineStr">
        <is>
          <t>12 PACK</t>
        </is>
      </c>
      <c r="I403" s="0">
        <v>384</v>
      </c>
      <c r="J403" s="0">
        <v>0</v>
      </c>
    </row>
    <row r="404" spans="1:10" customHeight="0">
      <c r="A404" s="0">
        <f>HYPERLINK("https://dl.dropboxusercontent.com/scl/fi/47tuyy0pb5sb3zbxey1e1/123194-f.jpg?rlkey=y7h1meorjuuvy8v032ozs2ih8&amp;dl=0","Click to download Image")</f>
      </c>
      <c r="B404" s="0">
        <f>HYPERLINK("https://dl.dropboxusercontent.com/scl/fi/anghe5gnts00ei6a10esg/womens-hoodie-and-sweatshirt-size-chartslyra.jpg?rlkey=dvqx311lgy3kknfkg22c4zmrr&amp;dl=0","Click to download SizeChart")</f>
      </c>
      <c r="C404" s="0" t="inlineStr">
        <is>
          <t>Lyra Women's Cropped Sweatshirt</t>
        </is>
      </c>
      <c r="D404" s="0" t="inlineStr">
        <is>
          <t>'123194</t>
        </is>
      </c>
      <c r="E404" s="0" t="inlineStr">
        <is>
          <t>IND LYRA W CL:123194A-S</t>
        </is>
      </c>
      <c r="F404" s="0" t="inlineStr">
        <is>
          <t>'806123194042</t>
        </is>
      </c>
      <c r="G404" s="0" t="inlineStr">
        <is>
          <t>WOMENS</t>
        </is>
      </c>
      <c r="H404" s="0" t="inlineStr">
        <is>
          <t>S</t>
        </is>
      </c>
      <c r="I404" s="0">
        <v>39.99</v>
      </c>
      <c r="J404" s="0">
        <v>3</v>
      </c>
    </row>
    <row r="405" spans="1:10" customHeight="0">
      <c r="A405" s="0">
        <f>HYPERLINK("https://dl.dropboxusercontent.com/scl/fi/47tuyy0pb5sb3zbxey1e1/123194-f.jpg?rlkey=y7h1meorjuuvy8v032ozs2ih8&amp;dl=0","Click to download Image")</f>
      </c>
      <c r="B405" s="0">
        <f>HYPERLINK("https://dl.dropboxusercontent.com/scl/fi/anghe5gnts00ei6a10esg/womens-hoodie-and-sweatshirt-size-chartslyra.jpg?rlkey=dvqx311lgy3kknfkg22c4zmrr&amp;dl=0","Click to download SizeChart")</f>
      </c>
      <c r="C405" s="0" t="inlineStr">
        <is>
          <t>Lyra Women's Cropped Sweatshirt</t>
        </is>
      </c>
      <c r="D405" s="0" t="inlineStr">
        <is>
          <t>'123194</t>
        </is>
      </c>
      <c r="E405" s="0" t="inlineStr">
        <is>
          <t>IND LYRA W CL:123194B-M</t>
        </is>
      </c>
      <c r="F405" s="0" t="inlineStr">
        <is>
          <t>'806123194059</t>
        </is>
      </c>
      <c r="G405" s="0" t="inlineStr">
        <is>
          <t>WOMENS</t>
        </is>
      </c>
      <c r="H405" s="0" t="inlineStr">
        <is>
          <t>M</t>
        </is>
      </c>
      <c r="I405" s="0">
        <v>39.99</v>
      </c>
      <c r="J405" s="0">
        <v>6</v>
      </c>
    </row>
    <row r="406" spans="1:10" customHeight="0">
      <c r="A406" s="0">
        <f>HYPERLINK("https://dl.dropboxusercontent.com/scl/fi/47tuyy0pb5sb3zbxey1e1/123194-f.jpg?rlkey=y7h1meorjuuvy8v032ozs2ih8&amp;dl=0","Click to download Image")</f>
      </c>
      <c r="B406" s="0">
        <f>HYPERLINK("https://dl.dropboxusercontent.com/scl/fi/anghe5gnts00ei6a10esg/womens-hoodie-and-sweatshirt-size-chartslyra.jpg?rlkey=dvqx311lgy3kknfkg22c4zmrr&amp;dl=0","Click to download SizeChart")</f>
      </c>
      <c r="C406" s="0" t="inlineStr">
        <is>
          <t>Lyra Women's Cropped Sweatshirt</t>
        </is>
      </c>
      <c r="D406" s="0" t="inlineStr">
        <is>
          <t>'123194</t>
        </is>
      </c>
      <c r="E406" s="0" t="inlineStr">
        <is>
          <t>IND LYRA W CL:123194C-L</t>
        </is>
      </c>
      <c r="F406" s="0" t="inlineStr">
        <is>
          <t>'806123194066</t>
        </is>
      </c>
      <c r="G406" s="0" t="inlineStr">
        <is>
          <t>WOMENS</t>
        </is>
      </c>
      <c r="H406" s="0" t="inlineStr">
        <is>
          <t>L</t>
        </is>
      </c>
      <c r="I406" s="0">
        <v>39.99</v>
      </c>
      <c r="J406" s="0">
        <v>6</v>
      </c>
    </row>
    <row r="407" spans="1:10" customHeight="0">
      <c r="A407" s="0">
        <f>HYPERLINK("https://dl.dropboxusercontent.com/scl/fi/47tuyy0pb5sb3zbxey1e1/123194-f.jpg?rlkey=y7h1meorjuuvy8v032ozs2ih8&amp;dl=0","Click to download Image")</f>
      </c>
      <c r="B407" s="0">
        <f>HYPERLINK("https://dl.dropboxusercontent.com/scl/fi/anghe5gnts00ei6a10esg/womens-hoodie-and-sweatshirt-size-chartslyra.jpg?rlkey=dvqx311lgy3kknfkg22c4zmrr&amp;dl=0","Click to download SizeChart")</f>
      </c>
      <c r="C407" s="0" t="inlineStr">
        <is>
          <t>Lyra Women's Cropped Sweatshirt</t>
        </is>
      </c>
      <c r="D407" s="0" t="inlineStr">
        <is>
          <t>'123194</t>
        </is>
      </c>
      <c r="E407" s="0" t="inlineStr">
        <is>
          <t>IND LYRA W CL:123194D-XL</t>
        </is>
      </c>
      <c r="F407" s="0" t="inlineStr">
        <is>
          <t>'806123194073</t>
        </is>
      </c>
      <c r="G407" s="0" t="inlineStr">
        <is>
          <t>WOMENS</t>
        </is>
      </c>
      <c r="H407" s="0" t="inlineStr">
        <is>
          <t>XL</t>
        </is>
      </c>
      <c r="I407" s="0">
        <v>39.99</v>
      </c>
      <c r="J407" s="0">
        <v>4</v>
      </c>
    </row>
    <row r="408" spans="1:10" customHeight="0">
      <c r="A408" s="0">
        <f>HYPERLINK("https://dl.dropboxusercontent.com/scl/fi/47tuyy0pb5sb3zbxey1e1/123194-f.jpg?rlkey=y7h1meorjuuvy8v032ozs2ih8&amp;dl=0","Click to download Image")</f>
      </c>
      <c r="B408" s="0">
        <f>HYPERLINK("https://dl.dropboxusercontent.com/scl/fi/anghe5gnts00ei6a10esg/womens-hoodie-and-sweatshirt-size-chartslyra.jpg?rlkey=dvqx311lgy3kknfkg22c4zmrr&amp;dl=0","Click to download SizeChart")</f>
      </c>
      <c r="C408" s="0" t="inlineStr">
        <is>
          <t>Lyra Women's Cropped Sweatshirt</t>
        </is>
      </c>
      <c r="D408" s="0" t="inlineStr">
        <is>
          <t>'123194</t>
        </is>
      </c>
      <c r="E408" s="0" t="inlineStr">
        <is>
          <t>IND LYRA W CL:123194E-2XL</t>
        </is>
      </c>
      <c r="F408" s="0" t="inlineStr">
        <is>
          <t>'806123194080</t>
        </is>
      </c>
      <c r="G408" s="0" t="inlineStr">
        <is>
          <t>WOMENS</t>
        </is>
      </c>
      <c r="H408" s="0" t="inlineStr">
        <is>
          <t>2XL</t>
        </is>
      </c>
      <c r="I408" s="0">
        <v>43.99</v>
      </c>
      <c r="J408" s="0">
        <v>3</v>
      </c>
    </row>
    <row r="409" spans="1:10" customHeight="0">
      <c r="A409" s="0">
        <f>HYPERLINK("https://dl.dropboxusercontent.com/scl/fi/47tuyy0pb5sb3zbxey1e1/123194-f.jpg?rlkey=y7h1meorjuuvy8v032ozs2ih8&amp;dl=0","Click to download Image")</f>
      </c>
      <c r="B409" s="0">
        <f>HYPERLINK("https://dl.dropboxusercontent.com/scl/fi/anghe5gnts00ei6a10esg/womens-hoodie-and-sweatshirt-size-chartslyra.jpg?rlkey=dvqx311lgy3kknfkg22c4zmrr&amp;dl=0","Click to download SizeChart")</f>
      </c>
      <c r="C409" s="0" t="inlineStr">
        <is>
          <t>Lyra Women's Cropped Sweatshirt</t>
        </is>
      </c>
      <c r="D409" s="0" t="inlineStr">
        <is>
          <t>'123194</t>
        </is>
      </c>
      <c r="E409" s="0" t="inlineStr">
        <is>
          <t>IND LYRA W CL:123194F-3XL</t>
        </is>
      </c>
      <c r="F409" s="0" t="inlineStr">
        <is>
          <t>'806123194097</t>
        </is>
      </c>
      <c r="G409" s="0" t="inlineStr">
        <is>
          <t>WOMENS</t>
        </is>
      </c>
      <c r="H409" s="0" t="inlineStr">
        <is>
          <t>3XL</t>
        </is>
      </c>
      <c r="I409" s="0">
        <v>43.99</v>
      </c>
      <c r="J409" s="0">
        <v>1</v>
      </c>
    </row>
    <row r="410" spans="1:10" customHeight="0">
      <c r="A410" s="0">
        <f>HYPERLINK("https://dl.dropboxusercontent.com/scl/fi/47tuyy0pb5sb3zbxey1e1/123194-f.jpg?rlkey=y7h1meorjuuvy8v032ozs2ih8&amp;dl=0","Click to download Image")</f>
      </c>
      <c r="B410" s="0">
        <f>HYPERLINK("https://dl.dropboxusercontent.com/scl/fi/anghe5gnts00ei6a10esg/womens-hoodie-and-sweatshirt-size-chartslyra.jpg?rlkey=dvqx311lgy3kknfkg22c4zmrr&amp;dl=0","Click to download SizeChart")</f>
      </c>
      <c r="C410" s="0" t="inlineStr">
        <is>
          <t>Lyra Women's Cropped Sweatshirt</t>
        </is>
      </c>
      <c r="D410" s="0" t="inlineStr">
        <is>
          <t>'123194</t>
        </is>
      </c>
      <c r="E410" s="0" t="inlineStr">
        <is>
          <t>IND LYRA W CL 12PK:123194Z-12PK</t>
        </is>
      </c>
      <c r="F410" s="0" t="inlineStr">
        <is>
          <t>'806123194998</t>
        </is>
      </c>
      <c r="G410" s="0" t="inlineStr">
        <is>
          <t>WOMENS</t>
        </is>
      </c>
      <c r="H410" s="0" t="inlineStr">
        <is>
          <t>12 PACK</t>
        </is>
      </c>
      <c r="I410" s="0">
        <v>384</v>
      </c>
      <c r="J410" s="0">
        <v>1</v>
      </c>
    </row>
    <row r="411" spans="1:10" customHeight="0">
      <c r="A411" s="0">
        <f>HYPERLINK("https://dl.dropboxusercontent.com/scl/fi/at5mkqddjjdu0dr41jwha/123193-f.jpg?rlkey=vmlqktkna14nin7654eu8m2f3&amp;dl=0","Click to download Image")</f>
      </c>
      <c r="B411" s="0">
        <f>HYPERLINK("https://dl.dropboxusercontent.com/scl/fi/anghe5gnts00ei6a10esg/womens-hoodie-and-sweatshirt-size-chartslyra.jpg?rlkey=dvqx311lgy3kknfkg22c4zmrr&amp;dl=0","Click to download SizeChart")</f>
      </c>
      <c r="C411" s="0" t="inlineStr">
        <is>
          <t>Lyra Women's Cropped Sweatshirt</t>
        </is>
      </c>
      <c r="D411" s="0" t="inlineStr">
        <is>
          <t>'123193</t>
        </is>
      </c>
      <c r="E411" s="0" t="inlineStr">
        <is>
          <t>ISU LYRA W OG:123193A-S</t>
        </is>
      </c>
      <c r="F411" s="0" t="inlineStr">
        <is>
          <t>'801123193040</t>
        </is>
      </c>
      <c r="G411" s="0" t="inlineStr">
        <is>
          <t>WOMENS</t>
        </is>
      </c>
      <c r="H411" s="0" t="inlineStr">
        <is>
          <t>S</t>
        </is>
      </c>
      <c r="I411" s="0">
        <v>39.99</v>
      </c>
      <c r="J411" s="0">
        <v>0</v>
      </c>
    </row>
    <row r="412" spans="1:10" customHeight="0">
      <c r="A412" s="0">
        <f>HYPERLINK("https://dl.dropboxusercontent.com/scl/fi/at5mkqddjjdu0dr41jwha/123193-f.jpg?rlkey=vmlqktkna14nin7654eu8m2f3&amp;dl=0","Click to download Image")</f>
      </c>
      <c r="B412" s="0">
        <f>HYPERLINK("https://dl.dropboxusercontent.com/scl/fi/anghe5gnts00ei6a10esg/womens-hoodie-and-sweatshirt-size-chartslyra.jpg?rlkey=dvqx311lgy3kknfkg22c4zmrr&amp;dl=0","Click to download SizeChart")</f>
      </c>
      <c r="C412" s="0" t="inlineStr">
        <is>
          <t>Lyra Women's Cropped Sweatshirt</t>
        </is>
      </c>
      <c r="D412" s="0" t="inlineStr">
        <is>
          <t>'123193</t>
        </is>
      </c>
      <c r="E412" s="0" t="inlineStr">
        <is>
          <t>ISU LYRA W OG:123193B-M</t>
        </is>
      </c>
      <c r="F412" s="0" t="inlineStr">
        <is>
          <t>'801123193057</t>
        </is>
      </c>
      <c r="G412" s="0" t="inlineStr">
        <is>
          <t>WOMENS</t>
        </is>
      </c>
      <c r="H412" s="0" t="inlineStr">
        <is>
          <t>M</t>
        </is>
      </c>
      <c r="I412" s="0">
        <v>39.99</v>
      </c>
      <c r="J412" s="0">
        <v>0</v>
      </c>
    </row>
    <row r="413" spans="1:10" customHeight="0">
      <c r="A413" s="0">
        <f>HYPERLINK("https://dl.dropboxusercontent.com/scl/fi/at5mkqddjjdu0dr41jwha/123193-f.jpg?rlkey=vmlqktkna14nin7654eu8m2f3&amp;dl=0","Click to download Image")</f>
      </c>
      <c r="B413" s="0">
        <f>HYPERLINK("https://dl.dropboxusercontent.com/scl/fi/anghe5gnts00ei6a10esg/womens-hoodie-and-sweatshirt-size-chartslyra.jpg?rlkey=dvqx311lgy3kknfkg22c4zmrr&amp;dl=0","Click to download SizeChart")</f>
      </c>
      <c r="C413" s="0" t="inlineStr">
        <is>
          <t>Lyra Women's Cropped Sweatshirt</t>
        </is>
      </c>
      <c r="D413" s="0" t="inlineStr">
        <is>
          <t>'123193</t>
        </is>
      </c>
      <c r="E413" s="0" t="inlineStr">
        <is>
          <t>ISU LYRA W OG:123193C-L</t>
        </is>
      </c>
      <c r="F413" s="0" t="inlineStr">
        <is>
          <t>'801123193064</t>
        </is>
      </c>
      <c r="G413" s="0" t="inlineStr">
        <is>
          <t>WOMENS</t>
        </is>
      </c>
      <c r="H413" s="0" t="inlineStr">
        <is>
          <t>L</t>
        </is>
      </c>
      <c r="I413" s="0">
        <v>39.99</v>
      </c>
      <c r="J413" s="0">
        <v>0</v>
      </c>
    </row>
    <row r="414" spans="1:10" customHeight="0">
      <c r="A414" s="0">
        <f>HYPERLINK("https://dl.dropboxusercontent.com/scl/fi/at5mkqddjjdu0dr41jwha/123193-f.jpg?rlkey=vmlqktkna14nin7654eu8m2f3&amp;dl=0","Click to download Image")</f>
      </c>
      <c r="B414" s="0">
        <f>HYPERLINK("https://dl.dropboxusercontent.com/scl/fi/anghe5gnts00ei6a10esg/womens-hoodie-and-sweatshirt-size-chartslyra.jpg?rlkey=dvqx311lgy3kknfkg22c4zmrr&amp;dl=0","Click to download SizeChart")</f>
      </c>
      <c r="C414" s="0" t="inlineStr">
        <is>
          <t>Lyra Women's Cropped Sweatshirt</t>
        </is>
      </c>
      <c r="D414" s="0" t="inlineStr">
        <is>
          <t>'123193</t>
        </is>
      </c>
      <c r="E414" s="0" t="inlineStr">
        <is>
          <t>ISU LYRA W OG:123193D-XL</t>
        </is>
      </c>
      <c r="F414" s="0" t="inlineStr">
        <is>
          <t>'801123193071</t>
        </is>
      </c>
      <c r="G414" s="0" t="inlineStr">
        <is>
          <t>WOMENS</t>
        </is>
      </c>
      <c r="H414" s="0" t="inlineStr">
        <is>
          <t>XL</t>
        </is>
      </c>
      <c r="I414" s="0">
        <v>39.99</v>
      </c>
      <c r="J414" s="0">
        <v>0</v>
      </c>
    </row>
    <row r="415" spans="1:10" customHeight="0">
      <c r="A415" s="0">
        <f>HYPERLINK("https://dl.dropboxusercontent.com/scl/fi/at5mkqddjjdu0dr41jwha/123193-f.jpg?rlkey=vmlqktkna14nin7654eu8m2f3&amp;dl=0","Click to download Image")</f>
      </c>
      <c r="B415" s="0">
        <f>HYPERLINK("https://dl.dropboxusercontent.com/scl/fi/anghe5gnts00ei6a10esg/womens-hoodie-and-sweatshirt-size-chartslyra.jpg?rlkey=dvqx311lgy3kknfkg22c4zmrr&amp;dl=0","Click to download SizeChart")</f>
      </c>
      <c r="C415" s="0" t="inlineStr">
        <is>
          <t>Lyra Women's Cropped Sweatshirt</t>
        </is>
      </c>
      <c r="D415" s="0" t="inlineStr">
        <is>
          <t>'123193</t>
        </is>
      </c>
      <c r="E415" s="0" t="inlineStr">
        <is>
          <t>ISU LYRA W OG:123193E-2XL</t>
        </is>
      </c>
      <c r="F415" s="0" t="inlineStr">
        <is>
          <t>'801123193088</t>
        </is>
      </c>
      <c r="G415" s="0" t="inlineStr">
        <is>
          <t>WOMENS</t>
        </is>
      </c>
      <c r="H415" s="0" t="inlineStr">
        <is>
          <t>2XL</t>
        </is>
      </c>
      <c r="I415" s="0">
        <v>43.99</v>
      </c>
      <c r="J415" s="0">
        <v>3</v>
      </c>
    </row>
    <row r="416" spans="1:10" customHeight="0">
      <c r="A416" s="0">
        <f>HYPERLINK("https://dl.dropboxusercontent.com/scl/fi/at5mkqddjjdu0dr41jwha/123193-f.jpg?rlkey=vmlqktkna14nin7654eu8m2f3&amp;dl=0","Click to download Image")</f>
      </c>
      <c r="B416" s="0">
        <f>HYPERLINK("https://dl.dropboxusercontent.com/scl/fi/anghe5gnts00ei6a10esg/womens-hoodie-and-sweatshirt-size-chartslyra.jpg?rlkey=dvqx311lgy3kknfkg22c4zmrr&amp;dl=0","Click to download SizeChart")</f>
      </c>
      <c r="C416" s="0" t="inlineStr">
        <is>
          <t>Lyra Women's Cropped Sweatshirt</t>
        </is>
      </c>
      <c r="D416" s="0" t="inlineStr">
        <is>
          <t>'123193</t>
        </is>
      </c>
      <c r="E416" s="0" t="inlineStr">
        <is>
          <t>ISU LYRA W OG:123193F-3XL</t>
        </is>
      </c>
      <c r="F416" s="0" t="inlineStr">
        <is>
          <t>'801123193095</t>
        </is>
      </c>
      <c r="G416" s="0" t="inlineStr">
        <is>
          <t>WOMENS</t>
        </is>
      </c>
      <c r="H416" s="0" t="inlineStr">
        <is>
          <t>3XL</t>
        </is>
      </c>
      <c r="I416" s="0">
        <v>43.99</v>
      </c>
      <c r="J416" s="0">
        <v>0</v>
      </c>
    </row>
    <row r="417" spans="1:10" customHeight="0">
      <c r="A417" s="0">
        <f>HYPERLINK("https://dl.dropboxusercontent.com/scl/fi/at5mkqddjjdu0dr41jwha/123193-f.jpg?rlkey=vmlqktkna14nin7654eu8m2f3&amp;dl=0","Click to download Image")</f>
      </c>
      <c r="B417" s="0">
        <f>HYPERLINK("https://dl.dropboxusercontent.com/scl/fi/anghe5gnts00ei6a10esg/womens-hoodie-and-sweatshirt-size-chartslyra.jpg?rlkey=dvqx311lgy3kknfkg22c4zmrr&amp;dl=0","Click to download SizeChart")</f>
      </c>
      <c r="C417" s="0" t="inlineStr">
        <is>
          <t>Lyra Women's Cropped Sweatshirt</t>
        </is>
      </c>
      <c r="D417" s="0" t="inlineStr">
        <is>
          <t>'123193</t>
        </is>
      </c>
      <c r="E417" s="0" t="inlineStr">
        <is>
          <t>ISU LYRA W OG 12PK:123193Z-12PK</t>
        </is>
      </c>
      <c r="F417" s="0" t="inlineStr">
        <is>
          <t>'801123193996</t>
        </is>
      </c>
      <c r="G417" s="0" t="inlineStr">
        <is>
          <t>WOMENS</t>
        </is>
      </c>
      <c r="H417" s="0" t="inlineStr">
        <is>
          <t>12 PACK</t>
        </is>
      </c>
      <c r="I417" s="0">
        <v>384</v>
      </c>
      <c r="J417" s="0">
        <v>0</v>
      </c>
    </row>
    <row r="418" spans="1:10" customHeight="0">
      <c r="A418" s="0">
        <f>HYPERLINK("https://dl.dropboxusercontent.com/scl/fi/5u9cqkhegj8ajxbmvaxty/124082-f.jpg?rlkey=1420pfg1bpv1t105dsoumqyps&amp;dl=0","Click to download Image")</f>
      </c>
      <c r="B418" s="0">
        <f>HYPERLINK("https://dl.dropboxusercontent.com/scl/fi/anghe5gnts00ei6a10esg/womens-hoodie-and-sweatshirt-size-chartslyra.jpg?rlkey=dvqx311lgy3kknfkg22c4zmrr&amp;dl=0","Click to download SizeChart")</f>
      </c>
      <c r="C418" s="0" t="inlineStr">
        <is>
          <t>Lyra Women's Cropped Sweatshirt</t>
        </is>
      </c>
      <c r="D418" s="0" t="inlineStr">
        <is>
          <t>'124082</t>
        </is>
      </c>
      <c r="E418" s="0" t="inlineStr">
        <is>
          <t>USD LYRA W GY:124082A-S</t>
        </is>
      </c>
      <c r="F418" s="0" t="inlineStr">
        <is>
          <t>'811124082045</t>
        </is>
      </c>
      <c r="G418" s="0" t="inlineStr">
        <is>
          <t>WOMENS</t>
        </is>
      </c>
      <c r="H418" s="0" t="inlineStr">
        <is>
          <t>S</t>
        </is>
      </c>
      <c r="I418" s="0">
        <v>39.99</v>
      </c>
      <c r="J418" s="0">
        <v>7</v>
      </c>
    </row>
    <row r="419" spans="1:10" customHeight="0">
      <c r="A419" s="0">
        <f>HYPERLINK("https://dl.dropboxusercontent.com/scl/fi/5u9cqkhegj8ajxbmvaxty/124082-f.jpg?rlkey=1420pfg1bpv1t105dsoumqyps&amp;dl=0","Click to download Image")</f>
      </c>
      <c r="B419" s="0">
        <f>HYPERLINK("https://dl.dropboxusercontent.com/scl/fi/anghe5gnts00ei6a10esg/womens-hoodie-and-sweatshirt-size-chartslyra.jpg?rlkey=dvqx311lgy3kknfkg22c4zmrr&amp;dl=0","Click to download SizeChart")</f>
      </c>
      <c r="C419" s="0" t="inlineStr">
        <is>
          <t>Lyra Women's Cropped Sweatshirt</t>
        </is>
      </c>
      <c r="D419" s="0" t="inlineStr">
        <is>
          <t>'124082</t>
        </is>
      </c>
      <c r="E419" s="0" t="inlineStr">
        <is>
          <t>USD LYRA W GY:124082B-M</t>
        </is>
      </c>
      <c r="F419" s="0" t="inlineStr">
        <is>
          <t>'811124082052</t>
        </is>
      </c>
      <c r="G419" s="0" t="inlineStr">
        <is>
          <t>WOMENS</t>
        </is>
      </c>
      <c r="H419" s="0" t="inlineStr">
        <is>
          <t>M</t>
        </is>
      </c>
      <c r="I419" s="0">
        <v>39.99</v>
      </c>
      <c r="J419" s="0">
        <v>12</v>
      </c>
    </row>
    <row r="420" spans="1:10" customHeight="0">
      <c r="A420" s="0">
        <f>HYPERLINK("https://dl.dropboxusercontent.com/scl/fi/5u9cqkhegj8ajxbmvaxty/124082-f.jpg?rlkey=1420pfg1bpv1t105dsoumqyps&amp;dl=0","Click to download Image")</f>
      </c>
      <c r="B420" s="0">
        <f>HYPERLINK("https://dl.dropboxusercontent.com/scl/fi/anghe5gnts00ei6a10esg/womens-hoodie-and-sweatshirt-size-chartslyra.jpg?rlkey=dvqx311lgy3kknfkg22c4zmrr&amp;dl=0","Click to download SizeChart")</f>
      </c>
      <c r="C420" s="0" t="inlineStr">
        <is>
          <t>Lyra Women's Cropped Sweatshirt</t>
        </is>
      </c>
      <c r="D420" s="0" t="inlineStr">
        <is>
          <t>'124082</t>
        </is>
      </c>
      <c r="E420" s="0" t="inlineStr">
        <is>
          <t>USD LYRA W GY:124082C-L</t>
        </is>
      </c>
      <c r="F420" s="0" t="inlineStr">
        <is>
          <t>'811124082069</t>
        </is>
      </c>
      <c r="G420" s="0" t="inlineStr">
        <is>
          <t>WOMENS</t>
        </is>
      </c>
      <c r="H420" s="0" t="inlineStr">
        <is>
          <t>L</t>
        </is>
      </c>
      <c r="I420" s="0">
        <v>39.99</v>
      </c>
      <c r="J420" s="0">
        <v>12</v>
      </c>
    </row>
    <row r="421" spans="1:10" customHeight="0">
      <c r="A421" s="0">
        <f>HYPERLINK("https://dl.dropboxusercontent.com/scl/fi/5u9cqkhegj8ajxbmvaxty/124082-f.jpg?rlkey=1420pfg1bpv1t105dsoumqyps&amp;dl=0","Click to download Image")</f>
      </c>
      <c r="B421" s="0">
        <f>HYPERLINK("https://dl.dropboxusercontent.com/scl/fi/anghe5gnts00ei6a10esg/womens-hoodie-and-sweatshirt-size-chartslyra.jpg?rlkey=dvqx311lgy3kknfkg22c4zmrr&amp;dl=0","Click to download SizeChart")</f>
      </c>
      <c r="C421" s="0" t="inlineStr">
        <is>
          <t>Lyra Women's Cropped Sweatshirt</t>
        </is>
      </c>
      <c r="D421" s="0" t="inlineStr">
        <is>
          <t>'124082</t>
        </is>
      </c>
      <c r="E421" s="0" t="inlineStr">
        <is>
          <t>USD LYRA W GY:124082D-XL</t>
        </is>
      </c>
      <c r="F421" s="0" t="inlineStr">
        <is>
          <t>'811124082076</t>
        </is>
      </c>
      <c r="G421" s="0" t="inlineStr">
        <is>
          <t>WOMENS</t>
        </is>
      </c>
      <c r="H421" s="0" t="inlineStr">
        <is>
          <t>XL</t>
        </is>
      </c>
      <c r="I421" s="0">
        <v>39.99</v>
      </c>
      <c r="J421" s="0">
        <v>6</v>
      </c>
    </row>
    <row r="422" spans="1:10" customHeight="0">
      <c r="A422" s="0">
        <f>HYPERLINK("https://dl.dropboxusercontent.com/scl/fi/5u9cqkhegj8ajxbmvaxty/124082-f.jpg?rlkey=1420pfg1bpv1t105dsoumqyps&amp;dl=0","Click to download Image")</f>
      </c>
      <c r="B422" s="0">
        <f>HYPERLINK("https://dl.dropboxusercontent.com/scl/fi/anghe5gnts00ei6a10esg/womens-hoodie-and-sweatshirt-size-chartslyra.jpg?rlkey=dvqx311lgy3kknfkg22c4zmrr&amp;dl=0","Click to download SizeChart")</f>
      </c>
      <c r="C422" s="0" t="inlineStr">
        <is>
          <t>Lyra Women's Cropped Sweatshirt</t>
        </is>
      </c>
      <c r="D422" s="0" t="inlineStr">
        <is>
          <t>'124082</t>
        </is>
      </c>
      <c r="E422" s="0" t="inlineStr">
        <is>
          <t>USD LYRA W GY:124082E-2XL</t>
        </is>
      </c>
      <c r="F422" s="0" t="inlineStr">
        <is>
          <t>'811124082083</t>
        </is>
      </c>
      <c r="G422" s="0" t="inlineStr">
        <is>
          <t>WOMENS</t>
        </is>
      </c>
      <c r="H422" s="0" t="inlineStr">
        <is>
          <t>2XL</t>
        </is>
      </c>
      <c r="I422" s="0">
        <v>43.99</v>
      </c>
      <c r="J422" s="0">
        <v>3</v>
      </c>
    </row>
    <row r="423" spans="1:10" customHeight="0">
      <c r="A423" s="0">
        <f>HYPERLINK("https://dl.dropboxusercontent.com/scl/fi/5u9cqkhegj8ajxbmvaxty/124082-f.jpg?rlkey=1420pfg1bpv1t105dsoumqyps&amp;dl=0","Click to download Image")</f>
      </c>
      <c r="B423" s="0">
        <f>HYPERLINK("https://dl.dropboxusercontent.com/scl/fi/anghe5gnts00ei6a10esg/womens-hoodie-and-sweatshirt-size-chartslyra.jpg?rlkey=dvqx311lgy3kknfkg22c4zmrr&amp;dl=0","Click to download SizeChart")</f>
      </c>
      <c r="C423" s="0" t="inlineStr">
        <is>
          <t>Lyra Women's Cropped Sweatshirt</t>
        </is>
      </c>
      <c r="D423" s="0" t="inlineStr">
        <is>
          <t>'124082</t>
        </is>
      </c>
      <c r="E423" s="0" t="inlineStr">
        <is>
          <t>USD LYRA W GY:124082F-3XL</t>
        </is>
      </c>
      <c r="F423" s="0" t="inlineStr">
        <is>
          <t>'811124082090</t>
        </is>
      </c>
      <c r="G423" s="0" t="inlineStr">
        <is>
          <t>WOMENS</t>
        </is>
      </c>
      <c r="H423" s="0" t="inlineStr">
        <is>
          <t>3XL</t>
        </is>
      </c>
      <c r="I423" s="0">
        <v>43.99</v>
      </c>
      <c r="J423" s="0">
        <v>3</v>
      </c>
    </row>
    <row r="424" spans="1:10" customHeight="0">
      <c r="A424" s="0">
        <f>HYPERLINK("https://dl.dropboxusercontent.com/scl/fi/5u9cqkhegj8ajxbmvaxty/124082-f.jpg?rlkey=1420pfg1bpv1t105dsoumqyps&amp;dl=0","Click to download Image")</f>
      </c>
      <c r="B424" s="0">
        <f>HYPERLINK("https://dl.dropboxusercontent.com/scl/fi/anghe5gnts00ei6a10esg/womens-hoodie-and-sweatshirt-size-chartslyra.jpg?rlkey=dvqx311lgy3kknfkg22c4zmrr&amp;dl=0","Click to download SizeChart")</f>
      </c>
      <c r="C424" s="0" t="inlineStr">
        <is>
          <t>Lyra Women's Cropped Sweatshirt</t>
        </is>
      </c>
      <c r="D424" s="0" t="inlineStr">
        <is>
          <t>'124082</t>
        </is>
      </c>
      <c r="E424" s="0" t="inlineStr">
        <is>
          <t>USD LYRA W GY 12PK:124082Z-12PK</t>
        </is>
      </c>
      <c r="F424" s="0" t="inlineStr">
        <is>
          <t>'811124082991</t>
        </is>
      </c>
      <c r="G424" s="0" t="inlineStr">
        <is>
          <t>WOMENS</t>
        </is>
      </c>
      <c r="H424" s="0" t="inlineStr">
        <is>
          <t>12 PACK</t>
        </is>
      </c>
      <c r="I424" s="0">
        <v>384</v>
      </c>
      <c r="J424" s="0">
        <v>3</v>
      </c>
    </row>
    <row r="425" spans="1:10" customHeight="0">
      <c r="A425" s="0">
        <f>HYPERLINK("https://dl.dropboxusercontent.com/scl/fi/mylcivccdcnnm9iqw0gw7/125115-f.jpg?rlkey=8bfimlazgxoparysowl99gb0j&amp;dl=0","Click to download Image")</f>
      </c>
      <c r="B425" s="0">
        <f>HYPERLINK("https://dl.dropboxusercontent.com/scl/fi/anghe5gnts00ei6a10esg/womens-hoodie-and-sweatshirt-size-chartslyra.jpg?rlkey=dvqx311lgy3kknfkg22c4zmrr&amp;dl=0","Click to download SizeChart")</f>
      </c>
      <c r="C425" s="0" t="inlineStr">
        <is>
          <t>Lyra Women's Cropped Sweatshirt</t>
        </is>
      </c>
      <c r="D425" s="0" t="inlineStr">
        <is>
          <t>'125115</t>
        </is>
      </c>
      <c r="E425" s="0" t="inlineStr">
        <is>
          <t>NDSU LYRA W BK:125115A-S</t>
        </is>
      </c>
      <c r="F425" s="0" t="inlineStr">
        <is>
          <t>'813125115043</t>
        </is>
      </c>
      <c r="G425" s="0" t="inlineStr">
        <is>
          <t>WOMENS</t>
        </is>
      </c>
      <c r="H425" s="0" t="inlineStr">
        <is>
          <t>S</t>
        </is>
      </c>
      <c r="I425" s="0">
        <v>39.99</v>
      </c>
      <c r="J425" s="0">
        <v>4</v>
      </c>
    </row>
    <row r="426" spans="1:10" customHeight="0">
      <c r="A426" s="0">
        <f>HYPERLINK("https://dl.dropboxusercontent.com/scl/fi/mylcivccdcnnm9iqw0gw7/125115-f.jpg?rlkey=8bfimlazgxoparysowl99gb0j&amp;dl=0","Click to download Image")</f>
      </c>
      <c r="B426" s="0">
        <f>HYPERLINK("https://dl.dropboxusercontent.com/scl/fi/anghe5gnts00ei6a10esg/womens-hoodie-and-sweatshirt-size-chartslyra.jpg?rlkey=dvqx311lgy3kknfkg22c4zmrr&amp;dl=0","Click to download SizeChart")</f>
      </c>
      <c r="C426" s="0" t="inlineStr">
        <is>
          <t>Lyra Women's Cropped Sweatshirt</t>
        </is>
      </c>
      <c r="D426" s="0" t="inlineStr">
        <is>
          <t>'125115</t>
        </is>
      </c>
      <c r="E426" s="0" t="inlineStr">
        <is>
          <t>NDSU LYRA W BK:125115B-M</t>
        </is>
      </c>
      <c r="F426" s="0" t="inlineStr">
        <is>
          <t>'813125115050</t>
        </is>
      </c>
      <c r="G426" s="0" t="inlineStr">
        <is>
          <t>WOMENS</t>
        </is>
      </c>
      <c r="H426" s="0" t="inlineStr">
        <is>
          <t>M</t>
        </is>
      </c>
      <c r="I426" s="0">
        <v>39.99</v>
      </c>
      <c r="J426" s="0">
        <v>6</v>
      </c>
    </row>
    <row r="427" spans="1:10" customHeight="0">
      <c r="A427" s="0">
        <f>HYPERLINK("https://dl.dropboxusercontent.com/scl/fi/mylcivccdcnnm9iqw0gw7/125115-f.jpg?rlkey=8bfimlazgxoparysowl99gb0j&amp;dl=0","Click to download Image")</f>
      </c>
      <c r="B427" s="0">
        <f>HYPERLINK("https://dl.dropboxusercontent.com/scl/fi/anghe5gnts00ei6a10esg/womens-hoodie-and-sweatshirt-size-chartslyra.jpg?rlkey=dvqx311lgy3kknfkg22c4zmrr&amp;dl=0","Click to download SizeChart")</f>
      </c>
      <c r="C427" s="0" t="inlineStr">
        <is>
          <t>Lyra Women's Cropped Sweatshirt</t>
        </is>
      </c>
      <c r="D427" s="0" t="inlineStr">
        <is>
          <t>'125115</t>
        </is>
      </c>
      <c r="E427" s="0" t="inlineStr">
        <is>
          <t>NDSU LYRA W BK:125115C-L</t>
        </is>
      </c>
      <c r="F427" s="0" t="inlineStr">
        <is>
          <t>'813125115067</t>
        </is>
      </c>
      <c r="G427" s="0" t="inlineStr">
        <is>
          <t>WOMENS</t>
        </is>
      </c>
      <c r="H427" s="0" t="inlineStr">
        <is>
          <t>L</t>
        </is>
      </c>
      <c r="I427" s="0">
        <v>39.99</v>
      </c>
      <c r="J427" s="0">
        <v>6</v>
      </c>
    </row>
    <row r="428" spans="1:10" customHeight="0">
      <c r="A428" s="0">
        <f>HYPERLINK("https://dl.dropboxusercontent.com/scl/fi/mylcivccdcnnm9iqw0gw7/125115-f.jpg?rlkey=8bfimlazgxoparysowl99gb0j&amp;dl=0","Click to download Image")</f>
      </c>
      <c r="B428" s="0">
        <f>HYPERLINK("https://dl.dropboxusercontent.com/scl/fi/anghe5gnts00ei6a10esg/womens-hoodie-and-sweatshirt-size-chartslyra.jpg?rlkey=dvqx311lgy3kknfkg22c4zmrr&amp;dl=0","Click to download SizeChart")</f>
      </c>
      <c r="C428" s="0" t="inlineStr">
        <is>
          <t>Lyra Women's Cropped Sweatshirt</t>
        </is>
      </c>
      <c r="D428" s="0" t="inlineStr">
        <is>
          <t>'125115</t>
        </is>
      </c>
      <c r="E428" s="0" t="inlineStr">
        <is>
          <t>NDSU LYRA W BK:125115D-XL</t>
        </is>
      </c>
      <c r="F428" s="0" t="inlineStr">
        <is>
          <t>'813125115074</t>
        </is>
      </c>
      <c r="G428" s="0" t="inlineStr">
        <is>
          <t>WOMENS</t>
        </is>
      </c>
      <c r="H428" s="0" t="inlineStr">
        <is>
          <t>XL</t>
        </is>
      </c>
      <c r="I428" s="0">
        <v>39.99</v>
      </c>
      <c r="J428" s="0">
        <v>4</v>
      </c>
    </row>
    <row r="429" spans="1:10" customHeight="0">
      <c r="A429" s="0">
        <f>HYPERLINK("https://dl.dropboxusercontent.com/scl/fi/mylcivccdcnnm9iqw0gw7/125115-f.jpg?rlkey=8bfimlazgxoparysowl99gb0j&amp;dl=0","Click to download Image")</f>
      </c>
      <c r="B429" s="0">
        <f>HYPERLINK("https://dl.dropboxusercontent.com/scl/fi/anghe5gnts00ei6a10esg/womens-hoodie-and-sweatshirt-size-chartslyra.jpg?rlkey=dvqx311lgy3kknfkg22c4zmrr&amp;dl=0","Click to download SizeChart")</f>
      </c>
      <c r="C429" s="0" t="inlineStr">
        <is>
          <t>Lyra Women's Cropped Sweatshirt</t>
        </is>
      </c>
      <c r="D429" s="0" t="inlineStr">
        <is>
          <t>'125115</t>
        </is>
      </c>
      <c r="E429" s="0" t="inlineStr">
        <is>
          <t>NDSU LYRA W BK:125115E-2XL</t>
        </is>
      </c>
      <c r="F429" s="0" t="inlineStr">
        <is>
          <t>'813125115081</t>
        </is>
      </c>
      <c r="G429" s="0" t="inlineStr">
        <is>
          <t>WOMENS</t>
        </is>
      </c>
      <c r="H429" s="0" t="inlineStr">
        <is>
          <t>2XL</t>
        </is>
      </c>
      <c r="I429" s="0">
        <v>43.99</v>
      </c>
      <c r="J429" s="0">
        <v>3</v>
      </c>
    </row>
    <row r="430" spans="1:10" customHeight="0">
      <c r="A430" s="0">
        <f>HYPERLINK("https://dl.dropboxusercontent.com/scl/fi/mylcivccdcnnm9iqw0gw7/125115-f.jpg?rlkey=8bfimlazgxoparysowl99gb0j&amp;dl=0","Click to download Image")</f>
      </c>
      <c r="B430" s="0">
        <f>HYPERLINK("https://dl.dropboxusercontent.com/scl/fi/anghe5gnts00ei6a10esg/womens-hoodie-and-sweatshirt-size-chartslyra.jpg?rlkey=dvqx311lgy3kknfkg22c4zmrr&amp;dl=0","Click to download SizeChart")</f>
      </c>
      <c r="C430" s="0" t="inlineStr">
        <is>
          <t>Lyra Women's Cropped Sweatshirt</t>
        </is>
      </c>
      <c r="D430" s="0" t="inlineStr">
        <is>
          <t>'125115</t>
        </is>
      </c>
      <c r="E430" s="0" t="inlineStr">
        <is>
          <t>NDSU LYRA W BK:125115F-3XL</t>
        </is>
      </c>
      <c r="F430" s="0" t="inlineStr">
        <is>
          <t>'813125115098</t>
        </is>
      </c>
      <c r="G430" s="0" t="inlineStr">
        <is>
          <t>WOMENS</t>
        </is>
      </c>
      <c r="H430" s="0" t="inlineStr">
        <is>
          <t>3XL</t>
        </is>
      </c>
      <c r="I430" s="0">
        <v>43.99</v>
      </c>
      <c r="J430" s="0">
        <v>2</v>
      </c>
    </row>
    <row r="431" spans="1:10" customHeight="0">
      <c r="A431" s="0">
        <f>HYPERLINK("https://dl.dropboxusercontent.com/scl/fi/mylcivccdcnnm9iqw0gw7/125115-f.jpg?rlkey=8bfimlazgxoparysowl99gb0j&amp;dl=0","Click to download Image")</f>
      </c>
      <c r="B431" s="0">
        <f>HYPERLINK("https://dl.dropboxusercontent.com/scl/fi/anghe5gnts00ei6a10esg/womens-hoodie-and-sweatshirt-size-chartslyra.jpg?rlkey=dvqx311lgy3kknfkg22c4zmrr&amp;dl=0","Click to download SizeChart")</f>
      </c>
      <c r="C431" s="0" t="inlineStr">
        <is>
          <t>Lyra Women's Cropped Sweatshirt</t>
        </is>
      </c>
      <c r="D431" s="0" t="inlineStr">
        <is>
          <t>'125115</t>
        </is>
      </c>
      <c r="E431" s="0" t="inlineStr">
        <is>
          <t>NDSU LYRA W BK 12PK:125115Z-12PK</t>
        </is>
      </c>
      <c r="F431" s="0" t="inlineStr">
        <is>
          <t>'813125115999</t>
        </is>
      </c>
      <c r="G431" s="0" t="inlineStr">
        <is>
          <t>WOMENS</t>
        </is>
      </c>
      <c r="H431" s="0" t="inlineStr">
        <is>
          <t>12 PACK</t>
        </is>
      </c>
      <c r="I431" s="0">
        <v>384</v>
      </c>
      <c r="J431" s="0">
        <v>1</v>
      </c>
    </row>
    <row r="432" spans="1:10" customHeight="0">
      <c r="A432" s="0">
        <f>HYPERLINK("https://dl.dropboxusercontent.com/scl/fi/w835r9oz9j3xoenzp83qj/lyra-144636-f.jpg?rlkey=v26t5y8bualj4jl8ttp3n16ps&amp;dl=0","Click to download Image")</f>
      </c>
      <c r="B432" s="0">
        <f>HYPERLINK("https://dl.dropboxusercontent.com/scl/fi/anghe5gnts00ei6a10esg/womens-hoodie-and-sweatshirt-size-chartslyra.jpg?rlkey=dvqx311lgy3kknfkg22c4zmrr&amp;dl=0","Click to download SizeChart")</f>
      </c>
      <c r="C432" s="0" t="inlineStr">
        <is>
          <t>Lyra Women's Cropped Sweatshirt</t>
        </is>
      </c>
      <c r="D432" s="0" t="inlineStr">
        <is>
          <t>'144636</t>
        </is>
      </c>
      <c r="E432" s="0" t="inlineStr">
        <is>
          <t>ISU LYRA W OG:144636E-2XL</t>
        </is>
      </c>
      <c r="F432" s="0" t="inlineStr">
        <is>
          <t>'801144636083</t>
        </is>
      </c>
      <c r="G432" s="0" t="inlineStr">
        <is>
          <t>WOMENS</t>
        </is>
      </c>
      <c r="H432" s="0" t="inlineStr">
        <is>
          <t>2XL</t>
        </is>
      </c>
      <c r="I432" s="0">
        <v>41.99</v>
      </c>
      <c r="J432" s="0">
        <v>2</v>
      </c>
    </row>
    <row r="433" spans="1:10" customHeight="0">
      <c r="A433" s="0">
        <f>HYPERLINK("https://dl.dropboxusercontent.com/scl/fi/w835r9oz9j3xoenzp83qj/lyra-144636-f.jpg?rlkey=v26t5y8bualj4jl8ttp3n16ps&amp;dl=0","Click to download Image")</f>
      </c>
      <c r="B433" s="0">
        <f>HYPERLINK("https://dl.dropboxusercontent.com/scl/fi/anghe5gnts00ei6a10esg/womens-hoodie-and-sweatshirt-size-chartslyra.jpg?rlkey=dvqx311lgy3kknfkg22c4zmrr&amp;dl=0","Click to download SizeChart")</f>
      </c>
      <c r="C433" s="0" t="inlineStr">
        <is>
          <t>Lyra Women's Cropped Sweatshirt</t>
        </is>
      </c>
      <c r="D433" s="0" t="inlineStr">
        <is>
          <t>'144636</t>
        </is>
      </c>
      <c r="E433" s="0" t="inlineStr">
        <is>
          <t>ISU LYRA W OG:144636F-3XL</t>
        </is>
      </c>
      <c r="F433" s="0" t="inlineStr">
        <is>
          <t>'801144636090</t>
        </is>
      </c>
      <c r="G433" s="0" t="inlineStr">
        <is>
          <t>WOMENS</t>
        </is>
      </c>
      <c r="H433" s="0" t="inlineStr">
        <is>
          <t>3XL</t>
        </is>
      </c>
      <c r="I433" s="0">
        <v>41.99</v>
      </c>
      <c r="J433" s="0">
        <v>1</v>
      </c>
    </row>
    <row r="434" spans="1:10" customHeight="0">
      <c r="A434" s="0">
        <f>HYPERLINK("https://dl.dropboxusercontent.com/scl/fi/n70nvhuk91iadq84js5uy/lyra-144638-f.jpg?rlkey=fmnqgntuqbulup77seogfymua&amp;dl=0","Click to download Image")</f>
      </c>
      <c r="B434" s="0">
        <f>HYPERLINK("https://dl.dropboxusercontent.com/scl/fi/anghe5gnts00ei6a10esg/womens-hoodie-and-sweatshirt-size-chartslyra.jpg?rlkey=dvqx311lgy3kknfkg22c4zmrr&amp;dl=0","Click to download SizeChart")</f>
      </c>
      <c r="C434" s="0" t="inlineStr">
        <is>
          <t>Lyra Women's Cropped Sweatshirt</t>
        </is>
      </c>
      <c r="D434" s="0" t="inlineStr">
        <is>
          <t>'144638</t>
        </is>
      </c>
      <c r="E434" s="0" t="inlineStr">
        <is>
          <t>DRK LYRA W GY:144638A-S</t>
        </is>
      </c>
      <c r="F434" s="0" t="inlineStr">
        <is>
          <t>'817144638040</t>
        </is>
      </c>
      <c r="G434" s="0" t="inlineStr">
        <is>
          <t>WOMENS</t>
        </is>
      </c>
      <c r="H434" s="0" t="inlineStr">
        <is>
          <t>S</t>
        </is>
      </c>
      <c r="I434" s="0">
        <v>39.99</v>
      </c>
      <c r="J434" s="0">
        <v>0</v>
      </c>
    </row>
    <row r="435" spans="1:10" customHeight="0">
      <c r="A435" s="0">
        <f>HYPERLINK("https://dl.dropboxusercontent.com/scl/fi/n70nvhuk91iadq84js5uy/lyra-144638-f.jpg?rlkey=fmnqgntuqbulup77seogfymua&amp;dl=0","Click to download Image")</f>
      </c>
      <c r="B435" s="0">
        <f>HYPERLINK("https://dl.dropboxusercontent.com/scl/fi/anghe5gnts00ei6a10esg/womens-hoodie-and-sweatshirt-size-chartslyra.jpg?rlkey=dvqx311lgy3kknfkg22c4zmrr&amp;dl=0","Click to download SizeChart")</f>
      </c>
      <c r="C435" s="0" t="inlineStr">
        <is>
          <t>Lyra Women's Cropped Sweatshirt</t>
        </is>
      </c>
      <c r="D435" s="0" t="inlineStr">
        <is>
          <t>'144638</t>
        </is>
      </c>
      <c r="E435" s="0" t="inlineStr">
        <is>
          <t>DRK LYRA W GY:144638B-M</t>
        </is>
      </c>
      <c r="F435" s="0" t="inlineStr">
        <is>
          <t>'817144638057</t>
        </is>
      </c>
      <c r="G435" s="0" t="inlineStr">
        <is>
          <t>WOMENS</t>
        </is>
      </c>
      <c r="H435" s="0" t="inlineStr">
        <is>
          <t>M</t>
        </is>
      </c>
      <c r="I435" s="0">
        <v>39.99</v>
      </c>
      <c r="J435" s="0">
        <v>2</v>
      </c>
    </row>
    <row r="436" spans="1:10" customHeight="0">
      <c r="A436" s="0">
        <f>HYPERLINK("https://dl.dropboxusercontent.com/scl/fi/n70nvhuk91iadq84js5uy/lyra-144638-f.jpg?rlkey=fmnqgntuqbulup77seogfymua&amp;dl=0","Click to download Image")</f>
      </c>
      <c r="B436" s="0">
        <f>HYPERLINK("https://dl.dropboxusercontent.com/scl/fi/anghe5gnts00ei6a10esg/womens-hoodie-and-sweatshirt-size-chartslyra.jpg?rlkey=dvqx311lgy3kknfkg22c4zmrr&amp;dl=0","Click to download SizeChart")</f>
      </c>
      <c r="C436" s="0" t="inlineStr">
        <is>
          <t>Lyra Women's Cropped Sweatshirt</t>
        </is>
      </c>
      <c r="D436" s="0" t="inlineStr">
        <is>
          <t>'144638</t>
        </is>
      </c>
      <c r="E436" s="0" t="inlineStr">
        <is>
          <t>DRK LYRA W GY:144638C-L</t>
        </is>
      </c>
      <c r="F436" s="0" t="inlineStr">
        <is>
          <t>'817144638064</t>
        </is>
      </c>
      <c r="G436" s="0" t="inlineStr">
        <is>
          <t>WOMENS</t>
        </is>
      </c>
      <c r="H436" s="0" t="inlineStr">
        <is>
          <t>L</t>
        </is>
      </c>
      <c r="I436" s="0">
        <v>39.99</v>
      </c>
      <c r="J436" s="0">
        <v>4</v>
      </c>
    </row>
    <row r="437" spans="1:10" customHeight="0">
      <c r="A437" s="0">
        <f>HYPERLINK("https://dl.dropboxusercontent.com/scl/fi/n70nvhuk91iadq84js5uy/lyra-144638-f.jpg?rlkey=fmnqgntuqbulup77seogfymua&amp;dl=0","Click to download Image")</f>
      </c>
      <c r="B437" s="0">
        <f>HYPERLINK("https://dl.dropboxusercontent.com/scl/fi/anghe5gnts00ei6a10esg/womens-hoodie-and-sweatshirt-size-chartslyra.jpg?rlkey=dvqx311lgy3kknfkg22c4zmrr&amp;dl=0","Click to download SizeChart")</f>
      </c>
      <c r="C437" s="0" t="inlineStr">
        <is>
          <t>Lyra Women's Cropped Sweatshirt</t>
        </is>
      </c>
      <c r="D437" s="0" t="inlineStr">
        <is>
          <t>'144638</t>
        </is>
      </c>
      <c r="E437" s="0" t="inlineStr">
        <is>
          <t>DRK LYRA W GY:144638D-XL</t>
        </is>
      </c>
      <c r="F437" s="0" t="inlineStr">
        <is>
          <t>'817144638071</t>
        </is>
      </c>
      <c r="G437" s="0" t="inlineStr">
        <is>
          <t>WOMENS</t>
        </is>
      </c>
      <c r="H437" s="0" t="inlineStr">
        <is>
          <t>XL</t>
        </is>
      </c>
      <c r="I437" s="0">
        <v>39.99</v>
      </c>
      <c r="J437" s="0">
        <v>4</v>
      </c>
    </row>
    <row r="438" spans="1:10" customHeight="0">
      <c r="A438" s="0">
        <f>HYPERLINK("https://dl.dropboxusercontent.com/scl/fi/n70nvhuk91iadq84js5uy/lyra-144638-f.jpg?rlkey=fmnqgntuqbulup77seogfymua&amp;dl=0","Click to download Image")</f>
      </c>
      <c r="B438" s="0">
        <f>HYPERLINK("https://dl.dropboxusercontent.com/scl/fi/anghe5gnts00ei6a10esg/womens-hoodie-and-sweatshirt-size-chartslyra.jpg?rlkey=dvqx311lgy3kknfkg22c4zmrr&amp;dl=0","Click to download SizeChart")</f>
      </c>
      <c r="C438" s="0" t="inlineStr">
        <is>
          <t>Lyra Women's Cropped Sweatshirt</t>
        </is>
      </c>
      <c r="D438" s="0" t="inlineStr">
        <is>
          <t>'144638</t>
        </is>
      </c>
      <c r="E438" s="0" t="inlineStr">
        <is>
          <t>DRK LYRA W GY:144638E-2XL</t>
        </is>
      </c>
      <c r="F438" s="0" t="inlineStr">
        <is>
          <t>'817144638088</t>
        </is>
      </c>
      <c r="G438" s="0" t="inlineStr">
        <is>
          <t>WOMENS</t>
        </is>
      </c>
      <c r="H438" s="0" t="inlineStr">
        <is>
          <t>2XL</t>
        </is>
      </c>
      <c r="I438" s="0">
        <v>39.99</v>
      </c>
      <c r="J438" s="0">
        <v>3</v>
      </c>
    </row>
    <row r="439" spans="1:10" customHeight="0">
      <c r="A439" s="0">
        <f>HYPERLINK("https://dl.dropboxusercontent.com/scl/fi/n70nvhuk91iadq84js5uy/lyra-144638-f.jpg?rlkey=fmnqgntuqbulup77seogfymua&amp;dl=0","Click to download Image")</f>
      </c>
      <c r="B439" s="0">
        <f>HYPERLINK("https://dl.dropboxusercontent.com/scl/fi/anghe5gnts00ei6a10esg/womens-hoodie-and-sweatshirt-size-chartslyra.jpg?rlkey=dvqx311lgy3kknfkg22c4zmrr&amp;dl=0","Click to download SizeChart")</f>
      </c>
      <c r="C439" s="0" t="inlineStr">
        <is>
          <t>Lyra Women's Cropped Sweatshirt</t>
        </is>
      </c>
      <c r="D439" s="0" t="inlineStr">
        <is>
          <t>'144638</t>
        </is>
      </c>
      <c r="E439" s="0" t="inlineStr">
        <is>
          <t>DRK LYRA W GY:144638F-3XL</t>
        </is>
      </c>
      <c r="F439" s="0" t="inlineStr">
        <is>
          <t>'817144638095</t>
        </is>
      </c>
      <c r="G439" s="0" t="inlineStr">
        <is>
          <t>WOMENS</t>
        </is>
      </c>
      <c r="H439" s="0" t="inlineStr">
        <is>
          <t>3XL</t>
        </is>
      </c>
      <c r="I439" s="0">
        <v>39.99</v>
      </c>
      <c r="J439" s="0">
        <v>2</v>
      </c>
    </row>
    <row r="440" spans="1:10" customHeight="0">
      <c r="A440" s="0">
        <f>HYPERLINK("https://dl.dropboxusercontent.com/scl/fi/gh9g97p53xn4idov2sczm/meggt.jpg?rlkey=ew9l8qet35id3vw27lkdp4af9&amp;dl=0","Click to download Image")</f>
      </c>
      <c r="B440" s="0">
        <f>HYPERLINK("https://dl.dropboxusercontent.com/scl/fi/kcwdomu86h720nzo17zlg/womens-t-shirt-size-chartsmegg.jpg?rlkey=fe66djaw0eqewa91sfszonufg&amp;dl=0","Click to download SizeChart")</f>
      </c>
      <c r="C440" s="0" t="inlineStr">
        <is>
          <t>Megg Women's T-shirt</t>
        </is>
      </c>
      <c r="D440" s="0" t="inlineStr">
        <is>
          <t>'124910</t>
        </is>
      </c>
      <c r="E440" s="0" t="inlineStr">
        <is>
          <t>ISU MEGG W GY:124910A-S</t>
        </is>
      </c>
      <c r="F440" s="0" t="inlineStr">
        <is>
          <t>'801124910042</t>
        </is>
      </c>
      <c r="G440" s="0" t="inlineStr">
        <is>
          <t>WOMENS</t>
        </is>
      </c>
      <c r="H440" s="0" t="inlineStr">
        <is>
          <t>S</t>
        </is>
      </c>
      <c r="I440" s="0">
        <v>29.99</v>
      </c>
      <c r="J440" s="0">
        <v>1</v>
      </c>
    </row>
    <row r="441" spans="1:10" customHeight="0">
      <c r="A441" s="0">
        <f>HYPERLINK("https://dl.dropboxusercontent.com/scl/fi/gh9g97p53xn4idov2sczm/meggt.jpg?rlkey=ew9l8qet35id3vw27lkdp4af9&amp;dl=0","Click to download Image")</f>
      </c>
      <c r="B441" s="0">
        <f>HYPERLINK("https://dl.dropboxusercontent.com/scl/fi/kcwdomu86h720nzo17zlg/womens-t-shirt-size-chartsmegg.jpg?rlkey=fe66djaw0eqewa91sfszonufg&amp;dl=0","Click to download SizeChart")</f>
      </c>
      <c r="C441" s="0" t="inlineStr">
        <is>
          <t>Megg Women's T-shirt</t>
        </is>
      </c>
      <c r="D441" s="0" t="inlineStr">
        <is>
          <t>'124910</t>
        </is>
      </c>
      <c r="E441" s="0" t="inlineStr">
        <is>
          <t>ISU MEGG W GY:124910B-M</t>
        </is>
      </c>
      <c r="F441" s="0" t="inlineStr">
        <is>
          <t>'801124910059</t>
        </is>
      </c>
      <c r="G441" s="0" t="inlineStr">
        <is>
          <t>WOMENS</t>
        </is>
      </c>
      <c r="H441" s="0" t="inlineStr">
        <is>
          <t>M</t>
        </is>
      </c>
      <c r="I441" s="0">
        <v>29.99</v>
      </c>
      <c r="J441" s="0">
        <v>3</v>
      </c>
    </row>
    <row r="442" spans="1:10" customHeight="0">
      <c r="A442" s="0">
        <f>HYPERLINK("https://dl.dropboxusercontent.com/scl/fi/gh9g97p53xn4idov2sczm/meggt.jpg?rlkey=ew9l8qet35id3vw27lkdp4af9&amp;dl=0","Click to download Image")</f>
      </c>
      <c r="B442" s="0">
        <f>HYPERLINK("https://dl.dropboxusercontent.com/scl/fi/kcwdomu86h720nzo17zlg/womens-t-shirt-size-chartsmegg.jpg?rlkey=fe66djaw0eqewa91sfszonufg&amp;dl=0","Click to download SizeChart")</f>
      </c>
      <c r="C442" s="0" t="inlineStr">
        <is>
          <t>Megg Women's T-shirt</t>
        </is>
      </c>
      <c r="D442" s="0" t="inlineStr">
        <is>
          <t>'124910</t>
        </is>
      </c>
      <c r="E442" s="0" t="inlineStr">
        <is>
          <t>ISU MEGG W GY:124910C-L</t>
        </is>
      </c>
      <c r="F442" s="0" t="inlineStr">
        <is>
          <t>'801124910066</t>
        </is>
      </c>
      <c r="G442" s="0" t="inlineStr">
        <is>
          <t>WOMENS</t>
        </is>
      </c>
      <c r="H442" s="0" t="inlineStr">
        <is>
          <t>L</t>
        </is>
      </c>
      <c r="I442" s="0">
        <v>29.99</v>
      </c>
      <c r="J442" s="0">
        <v>0</v>
      </c>
    </row>
    <row r="443" spans="1:10" customHeight="0">
      <c r="A443" s="0">
        <f>HYPERLINK("https://dl.dropboxusercontent.com/scl/fi/gh9g97p53xn4idov2sczm/meggt.jpg?rlkey=ew9l8qet35id3vw27lkdp4af9&amp;dl=0","Click to download Image")</f>
      </c>
      <c r="B443" s="0">
        <f>HYPERLINK("https://dl.dropboxusercontent.com/scl/fi/kcwdomu86h720nzo17zlg/womens-t-shirt-size-chartsmegg.jpg?rlkey=fe66djaw0eqewa91sfszonufg&amp;dl=0","Click to download SizeChart")</f>
      </c>
      <c r="C443" s="0" t="inlineStr">
        <is>
          <t>Megg Women's T-shirt</t>
        </is>
      </c>
      <c r="D443" s="0" t="inlineStr">
        <is>
          <t>'124910</t>
        </is>
      </c>
      <c r="E443" s="0" t="inlineStr">
        <is>
          <t>ISU MEGG W GY:124910D-XL</t>
        </is>
      </c>
      <c r="F443" s="0" t="inlineStr">
        <is>
          <t>'801124910073</t>
        </is>
      </c>
      <c r="G443" s="0" t="inlineStr">
        <is>
          <t>WOMENS</t>
        </is>
      </c>
      <c r="H443" s="0" t="inlineStr">
        <is>
          <t>XL</t>
        </is>
      </c>
      <c r="I443" s="0">
        <v>29.99</v>
      </c>
      <c r="J443" s="0">
        <v>0</v>
      </c>
    </row>
    <row r="444" spans="1:10" customHeight="0">
      <c r="A444" s="0">
        <f>HYPERLINK("https://dl.dropboxusercontent.com/scl/fi/gh9g97p53xn4idov2sczm/meggt.jpg?rlkey=ew9l8qet35id3vw27lkdp4af9&amp;dl=0","Click to download Image")</f>
      </c>
      <c r="B444" s="0">
        <f>HYPERLINK("https://dl.dropboxusercontent.com/scl/fi/kcwdomu86h720nzo17zlg/womens-t-shirt-size-chartsmegg.jpg?rlkey=fe66djaw0eqewa91sfszonufg&amp;dl=0","Click to download SizeChart")</f>
      </c>
      <c r="C444" s="0" t="inlineStr">
        <is>
          <t>Megg Women's T-shirt</t>
        </is>
      </c>
      <c r="D444" s="0" t="inlineStr">
        <is>
          <t>'124910</t>
        </is>
      </c>
      <c r="E444" s="0" t="inlineStr">
        <is>
          <t>ISU MEGG W GY:124910E-2XL</t>
        </is>
      </c>
      <c r="F444" s="0" t="inlineStr">
        <is>
          <t>'801124910080</t>
        </is>
      </c>
      <c r="G444" s="0" t="inlineStr">
        <is>
          <t>WOMENS</t>
        </is>
      </c>
      <c r="H444" s="0" t="inlineStr">
        <is>
          <t>2XL</t>
        </is>
      </c>
      <c r="I444" s="0">
        <v>29.99</v>
      </c>
      <c r="J444" s="0">
        <v>0</v>
      </c>
    </row>
    <row r="445" spans="1:10" customHeight="0">
      <c r="A445" s="0">
        <f>HYPERLINK("https://dl.dropboxusercontent.com/scl/fi/gh9g97p53xn4idov2sczm/meggt.jpg?rlkey=ew9l8qet35id3vw27lkdp4af9&amp;dl=0","Click to download Image")</f>
      </c>
      <c r="B445" s="0">
        <f>HYPERLINK("https://dl.dropboxusercontent.com/scl/fi/kcwdomu86h720nzo17zlg/womens-t-shirt-size-chartsmegg.jpg?rlkey=fe66djaw0eqewa91sfszonufg&amp;dl=0","Click to download SizeChart")</f>
      </c>
      <c r="C445" s="0" t="inlineStr">
        <is>
          <t>Megg Women's T-shirt</t>
        </is>
      </c>
      <c r="D445" s="0" t="inlineStr">
        <is>
          <t>'124910</t>
        </is>
      </c>
      <c r="E445" s="0" t="inlineStr">
        <is>
          <t>ISU MEGG W GY:124910F-3XL</t>
        </is>
      </c>
      <c r="F445" s="0" t="inlineStr">
        <is>
          <t>'801124910097</t>
        </is>
      </c>
      <c r="G445" s="0" t="inlineStr">
        <is>
          <t>WOMENS</t>
        </is>
      </c>
      <c r="H445" s="0" t="inlineStr">
        <is>
          <t>3XL</t>
        </is>
      </c>
      <c r="I445" s="0">
        <v>29.99</v>
      </c>
      <c r="J445" s="0">
        <v>0</v>
      </c>
    </row>
    <row r="446" spans="1:10" customHeight="0">
      <c r="A446" s="0">
        <f>HYPERLINK("https://dl.dropboxusercontent.com/scl/fi/gh9g97p53xn4idov2sczm/meggt.jpg?rlkey=ew9l8qet35id3vw27lkdp4af9&amp;dl=0","Click to download Image")</f>
      </c>
      <c r="B446" s="0">
        <f>HYPERLINK("https://dl.dropboxusercontent.com/scl/fi/kcwdomu86h720nzo17zlg/womens-t-shirt-size-chartsmegg.jpg?rlkey=fe66djaw0eqewa91sfszonufg&amp;dl=0","Click to download SizeChart")</f>
      </c>
      <c r="C446" s="0" t="inlineStr">
        <is>
          <t>Megg Women's T-shirt</t>
        </is>
      </c>
      <c r="D446" s="0" t="inlineStr">
        <is>
          <t>'124910</t>
        </is>
      </c>
      <c r="E446" s="0" t="inlineStr">
        <is>
          <t>ISU MEGG W GY 12PK:124910Z-12PK</t>
        </is>
      </c>
      <c r="F446" s="0" t="inlineStr">
        <is>
          <t>'801124910998</t>
        </is>
      </c>
      <c r="G446" s="0" t="inlineStr">
        <is>
          <t>WOMENS</t>
        </is>
      </c>
      <c r="H446" s="0" t="inlineStr">
        <is>
          <t>12 PACK</t>
        </is>
      </c>
      <c r="I446" s="0">
        <v>288</v>
      </c>
      <c r="J446" s="0">
        <v>0</v>
      </c>
    </row>
    <row r="447" spans="1:10" customHeight="0">
      <c r="A447" s="0">
        <f>HYPERLINK("https://dl.dropboxusercontent.com/scl/fi/t76vb0nez5bfzeeynccwv/112892-f.jpg?rlkey=0uqt4puiyupa02ojwqa4h5die&amp;dl=0","Click to download Image")</f>
      </c>
      <c r="C447" s="0" t="inlineStr">
        <is>
          <t>Carbon Uncuffed Beanie</t>
        </is>
      </c>
      <c r="D447" s="0" t="inlineStr">
        <is>
          <t>'112892</t>
        </is>
      </c>
      <c r="E447" s="0" t="inlineStr">
        <is>
          <t>ISU CARBON:112892</t>
        </is>
      </c>
      <c r="F447" s="0" t="inlineStr">
        <is>
          <t>'701112892018</t>
        </is>
      </c>
      <c r="G447" s="0" t="inlineStr">
        <is>
          <t>MENS</t>
        </is>
      </c>
      <c r="H447" s="0" t="inlineStr">
        <is>
          <t>STANDARD MENS</t>
        </is>
      </c>
      <c r="I447" s="0">
        <v>19.99</v>
      </c>
      <c r="J447" s="0">
        <v>2</v>
      </c>
    </row>
    <row r="448" spans="1:10" customHeight="0">
      <c r="A448" s="0">
        <f>HYPERLINK("https://dl.dropboxusercontent.com/scl/fi/14g1jbmnxn1yw1vvh9olj/114487-f.jpg?rlkey=yvsi5fangnywgik62f2eccd0y&amp;dl=0","Click to download Image")</f>
      </c>
      <c r="B448" s="0">
        <f>HYPERLINK("https://dl.dropboxusercontent.com/scl/fi/ebxjjhyuyg1xhe6v3e9ug/mens-jackets-size-chartsknox.jpg?rlkey=g0csfmaqum4jhfom00hbxmxne&amp;dl=0","Click to download SizeChart")</f>
      </c>
      <c r="C448" s="0" t="inlineStr">
        <is>
          <t>Knox Men's Jacket</t>
        </is>
      </c>
      <c r="D448" s="0" t="inlineStr">
        <is>
          <t>'114487</t>
        </is>
      </c>
      <c r="E448" s="0" t="inlineStr">
        <is>
          <t>UNI KNOX M BLACK:114487A-S</t>
        </is>
      </c>
      <c r="F448" s="0" t="inlineStr">
        <is>
          <t>'802114487049</t>
        </is>
      </c>
      <c r="G448" s="0" t="inlineStr">
        <is>
          <t>MENS</t>
        </is>
      </c>
      <c r="H448" s="0" t="inlineStr">
        <is>
          <t>S</t>
        </is>
      </c>
      <c r="I448" s="0">
        <v>59.99</v>
      </c>
      <c r="J448" s="0">
        <v>0</v>
      </c>
    </row>
    <row r="449" spans="1:10" customHeight="0">
      <c r="A449" s="0">
        <f>HYPERLINK("https://dl.dropboxusercontent.com/scl/fi/14g1jbmnxn1yw1vvh9olj/114487-f.jpg?rlkey=yvsi5fangnywgik62f2eccd0y&amp;dl=0","Click to download Image")</f>
      </c>
      <c r="B449" s="0">
        <f>HYPERLINK("https://dl.dropboxusercontent.com/scl/fi/ebxjjhyuyg1xhe6v3e9ug/mens-jackets-size-chartsknox.jpg?rlkey=g0csfmaqum4jhfom00hbxmxne&amp;dl=0","Click to download SizeChart")</f>
      </c>
      <c r="C449" s="0" t="inlineStr">
        <is>
          <t>Knox Men's Jacket</t>
        </is>
      </c>
      <c r="D449" s="0" t="inlineStr">
        <is>
          <t>'114487</t>
        </is>
      </c>
      <c r="E449" s="0" t="inlineStr">
        <is>
          <t>UNI KNOX M BLACK:114487B-M</t>
        </is>
      </c>
      <c r="F449" s="0" t="inlineStr">
        <is>
          <t>'802114487056</t>
        </is>
      </c>
      <c r="G449" s="0" t="inlineStr">
        <is>
          <t>MENS</t>
        </is>
      </c>
      <c r="H449" s="0" t="inlineStr">
        <is>
          <t>M</t>
        </is>
      </c>
      <c r="I449" s="0">
        <v>59.99</v>
      </c>
      <c r="J449" s="0">
        <v>1</v>
      </c>
    </row>
    <row r="450" spans="1:10" customHeight="0">
      <c r="A450" s="0">
        <f>HYPERLINK("https://dl.dropboxusercontent.com/scl/fi/14g1jbmnxn1yw1vvh9olj/114487-f.jpg?rlkey=yvsi5fangnywgik62f2eccd0y&amp;dl=0","Click to download Image")</f>
      </c>
      <c r="B450" s="0">
        <f>HYPERLINK("https://dl.dropboxusercontent.com/scl/fi/ebxjjhyuyg1xhe6v3e9ug/mens-jackets-size-chartsknox.jpg?rlkey=g0csfmaqum4jhfom00hbxmxne&amp;dl=0","Click to download SizeChart")</f>
      </c>
      <c r="C450" s="0" t="inlineStr">
        <is>
          <t>Knox Men's Jacket</t>
        </is>
      </c>
      <c r="D450" s="0" t="inlineStr">
        <is>
          <t>'114487</t>
        </is>
      </c>
      <c r="E450" s="0" t="inlineStr">
        <is>
          <t>UNI KNOX M BLACK:114487C-L</t>
        </is>
      </c>
      <c r="F450" s="0" t="inlineStr">
        <is>
          <t>'802114487063</t>
        </is>
      </c>
      <c r="G450" s="0" t="inlineStr">
        <is>
          <t>MENS</t>
        </is>
      </c>
      <c r="H450" s="0" t="inlineStr">
        <is>
          <t>L</t>
        </is>
      </c>
      <c r="I450" s="0">
        <v>59.99</v>
      </c>
      <c r="J450" s="0">
        <v>0</v>
      </c>
    </row>
    <row r="451" spans="1:10" customHeight="0">
      <c r="A451" s="0">
        <f>HYPERLINK("https://dl.dropboxusercontent.com/scl/fi/14g1jbmnxn1yw1vvh9olj/114487-f.jpg?rlkey=yvsi5fangnywgik62f2eccd0y&amp;dl=0","Click to download Image")</f>
      </c>
      <c r="B451" s="0">
        <f>HYPERLINK("https://dl.dropboxusercontent.com/scl/fi/ebxjjhyuyg1xhe6v3e9ug/mens-jackets-size-chartsknox.jpg?rlkey=g0csfmaqum4jhfom00hbxmxne&amp;dl=0","Click to download SizeChart")</f>
      </c>
      <c r="C451" s="0" t="inlineStr">
        <is>
          <t>Knox Men's Jacket</t>
        </is>
      </c>
      <c r="D451" s="0" t="inlineStr">
        <is>
          <t>'114487</t>
        </is>
      </c>
      <c r="E451" s="0" t="inlineStr">
        <is>
          <t>UNI KNOX M BLACK:114487D-XL</t>
        </is>
      </c>
      <c r="F451" s="0" t="inlineStr">
        <is>
          <t>'802114487070</t>
        </is>
      </c>
      <c r="G451" s="0" t="inlineStr">
        <is>
          <t>MENS</t>
        </is>
      </c>
      <c r="H451" s="0" t="inlineStr">
        <is>
          <t>XL</t>
        </is>
      </c>
      <c r="I451" s="0">
        <v>59.99</v>
      </c>
      <c r="J451" s="0">
        <v>0</v>
      </c>
    </row>
    <row r="452" spans="1:10" customHeight="0">
      <c r="A452" s="0">
        <f>HYPERLINK("https://dl.dropboxusercontent.com/scl/fi/14g1jbmnxn1yw1vvh9olj/114487-f.jpg?rlkey=yvsi5fangnywgik62f2eccd0y&amp;dl=0","Click to download Image")</f>
      </c>
      <c r="B452" s="0">
        <f>HYPERLINK("https://dl.dropboxusercontent.com/scl/fi/ebxjjhyuyg1xhe6v3e9ug/mens-jackets-size-chartsknox.jpg?rlkey=g0csfmaqum4jhfom00hbxmxne&amp;dl=0","Click to download SizeChart")</f>
      </c>
      <c r="C452" s="0" t="inlineStr">
        <is>
          <t>Knox Men's Jacket</t>
        </is>
      </c>
      <c r="D452" s="0" t="inlineStr">
        <is>
          <t>'114487</t>
        </is>
      </c>
      <c r="E452" s="0" t="inlineStr">
        <is>
          <t>UNI KNOX M BLACK:114487E-2XL</t>
        </is>
      </c>
      <c r="F452" s="0" t="inlineStr">
        <is>
          <t>'802114487087</t>
        </is>
      </c>
      <c r="G452" s="0" t="inlineStr">
        <is>
          <t>MENS</t>
        </is>
      </c>
      <c r="H452" s="0" t="inlineStr">
        <is>
          <t>2XL</t>
        </is>
      </c>
      <c r="I452" s="0">
        <v>59.99</v>
      </c>
      <c r="J452" s="0">
        <v>5</v>
      </c>
    </row>
    <row r="453" spans="1:10" customHeight="0">
      <c r="A453" s="0">
        <f>HYPERLINK("https://dl.dropboxusercontent.com/scl/fi/14g1jbmnxn1yw1vvh9olj/114487-f.jpg?rlkey=yvsi5fangnywgik62f2eccd0y&amp;dl=0","Click to download Image")</f>
      </c>
      <c r="B453" s="0">
        <f>HYPERLINK("https://dl.dropboxusercontent.com/scl/fi/ebxjjhyuyg1xhe6v3e9ug/mens-jackets-size-chartsknox.jpg?rlkey=g0csfmaqum4jhfom00hbxmxne&amp;dl=0","Click to download SizeChart")</f>
      </c>
      <c r="C453" s="0" t="inlineStr">
        <is>
          <t>Knox Men's Jacket</t>
        </is>
      </c>
      <c r="D453" s="0" t="inlineStr">
        <is>
          <t>'114487</t>
        </is>
      </c>
      <c r="E453" s="0" t="inlineStr">
        <is>
          <t>UNI KNOX M BLACK:114487F-3XL</t>
        </is>
      </c>
      <c r="F453" s="0" t="inlineStr">
        <is>
          <t>'802114487094</t>
        </is>
      </c>
      <c r="G453" s="0" t="inlineStr">
        <is>
          <t>MENS</t>
        </is>
      </c>
      <c r="H453" s="0" t="inlineStr">
        <is>
          <t>3XL</t>
        </is>
      </c>
      <c r="I453" s="0">
        <v>59.99</v>
      </c>
      <c r="J453" s="0">
        <v>0</v>
      </c>
    </row>
    <row r="454" spans="1:10" customHeight="0">
      <c r="A454" s="0">
        <f>HYPERLINK("https://dl.dropboxusercontent.com/scl/fi/14g1jbmnxn1yw1vvh9olj/114487-f.jpg?rlkey=yvsi5fangnywgik62f2eccd0y&amp;dl=0","Click to download Image")</f>
      </c>
      <c r="B454" s="0">
        <f>HYPERLINK("https://dl.dropboxusercontent.com/scl/fi/ebxjjhyuyg1xhe6v3e9ug/mens-jackets-size-chartsknox.jpg?rlkey=g0csfmaqum4jhfom00hbxmxne&amp;dl=0","Click to download SizeChart")</f>
      </c>
      <c r="C454" s="0" t="inlineStr">
        <is>
          <t>Knox Men's Jacket</t>
        </is>
      </c>
      <c r="D454" s="0" t="inlineStr">
        <is>
          <t>'114487</t>
        </is>
      </c>
      <c r="E454" s="0" t="inlineStr">
        <is>
          <t>UNI KNOX M BLACK 12 PACK:114487Z-12PK</t>
        </is>
      </c>
      <c r="F454" s="0" t="inlineStr">
        <is>
          <t>'802114487995</t>
        </is>
      </c>
      <c r="G454" s="0" t="inlineStr">
        <is>
          <t>MENS</t>
        </is>
      </c>
      <c r="H454" s="0" t="inlineStr">
        <is>
          <t>12 PACK</t>
        </is>
      </c>
      <c r="I454" s="0">
        <v>582</v>
      </c>
      <c r="J454" s="0">
        <v>0</v>
      </c>
    </row>
    <row r="455" spans="1:10" customHeight="0">
      <c r="A455" s="0">
        <f>HYPERLINK("https://dl.dropboxusercontent.com/scl/fi/bbh7l7akt7uhwekf42ttz/123164-f.jpg?rlkey=hrlgarohwbweksa4xdbgj8zfc&amp;dl=0","Click to download Image")</f>
      </c>
      <c r="B455" s="0">
        <f>HYPERLINK("https://dl.dropboxusercontent.com/scl/fi/ebxjjhyuyg1xhe6v3e9ug/mens-jackets-size-chartsknox.jpg?rlkey=g0csfmaqum4jhfom00hbxmxne&amp;dl=0","Click to download SizeChart")</f>
      </c>
      <c r="C455" s="0" t="inlineStr">
        <is>
          <t>Knox Men's Jacket</t>
        </is>
      </c>
      <c r="D455" s="0" t="inlineStr">
        <is>
          <t>'123164</t>
        </is>
      </c>
      <c r="E455" s="0" t="inlineStr">
        <is>
          <t>PUR KNOX M BK:123164A-S</t>
        </is>
      </c>
      <c r="F455" s="0" t="inlineStr">
        <is>
          <t>'804123164041</t>
        </is>
      </c>
      <c r="G455" s="0" t="inlineStr">
        <is>
          <t>MENS</t>
        </is>
      </c>
      <c r="H455" s="0" t="inlineStr">
        <is>
          <t>S</t>
        </is>
      </c>
      <c r="I455" s="0">
        <v>59.99</v>
      </c>
      <c r="J455" s="0">
        <v>0</v>
      </c>
    </row>
    <row r="456" spans="1:10" customHeight="0">
      <c r="A456" s="0">
        <f>HYPERLINK("https://dl.dropboxusercontent.com/scl/fi/bbh7l7akt7uhwekf42ttz/123164-f.jpg?rlkey=hrlgarohwbweksa4xdbgj8zfc&amp;dl=0","Click to download Image")</f>
      </c>
      <c r="B456" s="0">
        <f>HYPERLINK("https://dl.dropboxusercontent.com/scl/fi/ebxjjhyuyg1xhe6v3e9ug/mens-jackets-size-chartsknox.jpg?rlkey=g0csfmaqum4jhfom00hbxmxne&amp;dl=0","Click to download SizeChart")</f>
      </c>
      <c r="C456" s="0" t="inlineStr">
        <is>
          <t>Knox Men's Jacket</t>
        </is>
      </c>
      <c r="D456" s="0" t="inlineStr">
        <is>
          <t>'123164</t>
        </is>
      </c>
      <c r="E456" s="0" t="inlineStr">
        <is>
          <t>PUR KNOX M BK:123164B-M</t>
        </is>
      </c>
      <c r="F456" s="0" t="inlineStr">
        <is>
          <t>'804123164058</t>
        </is>
      </c>
      <c r="G456" s="0" t="inlineStr">
        <is>
          <t>MENS</t>
        </is>
      </c>
      <c r="H456" s="0" t="inlineStr">
        <is>
          <t>M</t>
        </is>
      </c>
      <c r="I456" s="0">
        <v>59.99</v>
      </c>
      <c r="J456" s="0">
        <v>0</v>
      </c>
    </row>
    <row r="457" spans="1:10" customHeight="0">
      <c r="A457" s="0">
        <f>HYPERLINK("https://dl.dropboxusercontent.com/scl/fi/bbh7l7akt7uhwekf42ttz/123164-f.jpg?rlkey=hrlgarohwbweksa4xdbgj8zfc&amp;dl=0","Click to download Image")</f>
      </c>
      <c r="B457" s="0">
        <f>HYPERLINK("https://dl.dropboxusercontent.com/scl/fi/ebxjjhyuyg1xhe6v3e9ug/mens-jackets-size-chartsknox.jpg?rlkey=g0csfmaqum4jhfom00hbxmxne&amp;dl=0","Click to download SizeChart")</f>
      </c>
      <c r="C457" s="0" t="inlineStr">
        <is>
          <t>Knox Men's Jacket</t>
        </is>
      </c>
      <c r="D457" s="0" t="inlineStr">
        <is>
          <t>'123164</t>
        </is>
      </c>
      <c r="E457" s="0" t="inlineStr">
        <is>
          <t>PUR KNOX M BK:123164C-L</t>
        </is>
      </c>
      <c r="F457" s="0" t="inlineStr">
        <is>
          <t>'804123164065</t>
        </is>
      </c>
      <c r="G457" s="0" t="inlineStr">
        <is>
          <t>MENS</t>
        </is>
      </c>
      <c r="H457" s="0" t="inlineStr">
        <is>
          <t>L</t>
        </is>
      </c>
      <c r="I457" s="0">
        <v>59.99</v>
      </c>
      <c r="J457" s="0">
        <v>2</v>
      </c>
    </row>
    <row r="458" spans="1:10" customHeight="0">
      <c r="A458" s="0">
        <f>HYPERLINK("https://dl.dropboxusercontent.com/scl/fi/bbh7l7akt7uhwekf42ttz/123164-f.jpg?rlkey=hrlgarohwbweksa4xdbgj8zfc&amp;dl=0","Click to download Image")</f>
      </c>
      <c r="B458" s="0">
        <f>HYPERLINK("https://dl.dropboxusercontent.com/scl/fi/ebxjjhyuyg1xhe6v3e9ug/mens-jackets-size-chartsknox.jpg?rlkey=g0csfmaqum4jhfom00hbxmxne&amp;dl=0","Click to download SizeChart")</f>
      </c>
      <c r="C458" s="0" t="inlineStr">
        <is>
          <t>Knox Men's Jacket</t>
        </is>
      </c>
      <c r="D458" s="0" t="inlineStr">
        <is>
          <t>'123164</t>
        </is>
      </c>
      <c r="E458" s="0" t="inlineStr">
        <is>
          <t>PUR KNOX M BK:123164D-XL</t>
        </is>
      </c>
      <c r="F458" s="0" t="inlineStr">
        <is>
          <t>'804123164072</t>
        </is>
      </c>
      <c r="G458" s="0" t="inlineStr">
        <is>
          <t>MENS</t>
        </is>
      </c>
      <c r="H458" s="0" t="inlineStr">
        <is>
          <t>XL</t>
        </is>
      </c>
      <c r="I458" s="0">
        <v>59.99</v>
      </c>
      <c r="J458" s="0">
        <v>2</v>
      </c>
    </row>
    <row r="459" spans="1:10" customHeight="0">
      <c r="A459" s="0">
        <f>HYPERLINK("https://dl.dropboxusercontent.com/scl/fi/bbh7l7akt7uhwekf42ttz/123164-f.jpg?rlkey=hrlgarohwbweksa4xdbgj8zfc&amp;dl=0","Click to download Image")</f>
      </c>
      <c r="B459" s="0">
        <f>HYPERLINK("https://dl.dropboxusercontent.com/scl/fi/ebxjjhyuyg1xhe6v3e9ug/mens-jackets-size-chartsknox.jpg?rlkey=g0csfmaqum4jhfom00hbxmxne&amp;dl=0","Click to download SizeChart")</f>
      </c>
      <c r="C459" s="0" t="inlineStr">
        <is>
          <t>Knox Men's Jacket</t>
        </is>
      </c>
      <c r="D459" s="0" t="inlineStr">
        <is>
          <t>'123164</t>
        </is>
      </c>
      <c r="E459" s="0" t="inlineStr">
        <is>
          <t>PUR KNOX M BK:123164E-2XL</t>
        </is>
      </c>
      <c r="F459" s="0" t="inlineStr">
        <is>
          <t>'804123164089</t>
        </is>
      </c>
      <c r="G459" s="0" t="inlineStr">
        <is>
          <t>MENS</t>
        </is>
      </c>
      <c r="H459" s="0" t="inlineStr">
        <is>
          <t>2XL</t>
        </is>
      </c>
      <c r="I459" s="0">
        <v>59.99</v>
      </c>
      <c r="J459" s="0">
        <v>0</v>
      </c>
    </row>
    <row r="460" spans="1:10" customHeight="0">
      <c r="A460" s="0">
        <f>HYPERLINK("https://dl.dropboxusercontent.com/scl/fi/bbh7l7akt7uhwekf42ttz/123164-f.jpg?rlkey=hrlgarohwbweksa4xdbgj8zfc&amp;dl=0","Click to download Image")</f>
      </c>
      <c r="B460" s="0">
        <f>HYPERLINK("https://dl.dropboxusercontent.com/scl/fi/ebxjjhyuyg1xhe6v3e9ug/mens-jackets-size-chartsknox.jpg?rlkey=g0csfmaqum4jhfom00hbxmxne&amp;dl=0","Click to download SizeChart")</f>
      </c>
      <c r="C460" s="0" t="inlineStr">
        <is>
          <t>Knox Men's Jacket</t>
        </is>
      </c>
      <c r="D460" s="0" t="inlineStr">
        <is>
          <t>'123164</t>
        </is>
      </c>
      <c r="E460" s="0" t="inlineStr">
        <is>
          <t>PUR KNOX M BK:123164F-3XL</t>
        </is>
      </c>
      <c r="F460" s="0" t="inlineStr">
        <is>
          <t>'804123164096</t>
        </is>
      </c>
      <c r="G460" s="0" t="inlineStr">
        <is>
          <t>MENS</t>
        </is>
      </c>
      <c r="H460" s="0" t="inlineStr">
        <is>
          <t>3XL</t>
        </is>
      </c>
      <c r="I460" s="0">
        <v>59.99</v>
      </c>
      <c r="J460" s="0">
        <v>0</v>
      </c>
    </row>
    <row r="461" spans="1:10" customHeight="0">
      <c r="A461" s="0">
        <f>HYPERLINK("https://dl.dropboxusercontent.com/scl/fi/bbh7l7akt7uhwekf42ttz/123164-f.jpg?rlkey=hrlgarohwbweksa4xdbgj8zfc&amp;dl=0","Click to download Image")</f>
      </c>
      <c r="B461" s="0">
        <f>HYPERLINK("https://dl.dropboxusercontent.com/scl/fi/ebxjjhyuyg1xhe6v3e9ug/mens-jackets-size-chartsknox.jpg?rlkey=g0csfmaqum4jhfom00hbxmxne&amp;dl=0","Click to download SizeChart")</f>
      </c>
      <c r="C461" s="0" t="inlineStr">
        <is>
          <t>Knox Men's Jacket</t>
        </is>
      </c>
      <c r="D461" s="0" t="inlineStr">
        <is>
          <t>'123164</t>
        </is>
      </c>
      <c r="E461" s="0" t="inlineStr">
        <is>
          <t>PUR KNOX M BK 12PK:123164Z-12PK</t>
        </is>
      </c>
      <c r="F461" s="0" t="inlineStr">
        <is>
          <t>'804123164997</t>
        </is>
      </c>
      <c r="G461" s="0" t="inlineStr">
        <is>
          <t>MENS</t>
        </is>
      </c>
      <c r="H461" s="0" t="inlineStr">
        <is>
          <t>12 PACK</t>
        </is>
      </c>
      <c r="I461" s="0">
        <v>582</v>
      </c>
      <c r="J461" s="0">
        <v>0</v>
      </c>
    </row>
    <row r="462" spans="1:10" customHeight="0">
      <c r="A462" s="0">
        <f>HYPERLINK("https://dl.dropboxusercontent.com/scl/fi/5khkye8425ppre2xj78q3/123488-f.jpg?rlkey=gs91gv7ryh90i174oxmp80is1&amp;dl=0","Click to download Image")</f>
      </c>
      <c r="B462" s="0">
        <f>HYPERLINK("https://dl.dropboxusercontent.com/scl/fi/ebxjjhyuyg1xhe6v3e9ug/mens-jackets-size-chartsknox.jpg?rlkey=g0csfmaqum4jhfom00hbxmxne&amp;dl=0","Click to download SizeChart")</f>
      </c>
      <c r="C462" s="0" t="inlineStr">
        <is>
          <t>Knox Men's Jacket</t>
        </is>
      </c>
      <c r="D462" s="0" t="inlineStr">
        <is>
          <t>'123488</t>
        </is>
      </c>
      <c r="E462" s="0" t="inlineStr">
        <is>
          <t>NDSU KNOX M BK:123488A-S</t>
        </is>
      </c>
      <c r="F462" s="0" t="inlineStr">
        <is>
          <t>'813123488040</t>
        </is>
      </c>
      <c r="G462" s="0" t="inlineStr">
        <is>
          <t>MENS</t>
        </is>
      </c>
      <c r="H462" s="0" t="inlineStr">
        <is>
          <t>S</t>
        </is>
      </c>
      <c r="I462" s="0">
        <v>59.99</v>
      </c>
      <c r="J462" s="0">
        <v>2</v>
      </c>
    </row>
    <row r="463" spans="1:10" customHeight="0">
      <c r="A463" s="0">
        <f>HYPERLINK("https://dl.dropboxusercontent.com/scl/fi/5khkye8425ppre2xj78q3/123488-f.jpg?rlkey=gs91gv7ryh90i174oxmp80is1&amp;dl=0","Click to download Image")</f>
      </c>
      <c r="B463" s="0">
        <f>HYPERLINK("https://dl.dropboxusercontent.com/scl/fi/ebxjjhyuyg1xhe6v3e9ug/mens-jackets-size-chartsknox.jpg?rlkey=g0csfmaqum4jhfom00hbxmxne&amp;dl=0","Click to download SizeChart")</f>
      </c>
      <c r="C463" s="0" t="inlineStr">
        <is>
          <t>Knox Men's Jacket</t>
        </is>
      </c>
      <c r="D463" s="0" t="inlineStr">
        <is>
          <t>'123488</t>
        </is>
      </c>
      <c r="E463" s="0" t="inlineStr">
        <is>
          <t>NDSU KNOX M BK:123488B-M</t>
        </is>
      </c>
      <c r="F463" s="0" t="inlineStr">
        <is>
          <t>'813123488057</t>
        </is>
      </c>
      <c r="G463" s="0" t="inlineStr">
        <is>
          <t>MENS</t>
        </is>
      </c>
      <c r="H463" s="0" t="inlineStr">
        <is>
          <t>M</t>
        </is>
      </c>
      <c r="I463" s="0">
        <v>59.99</v>
      </c>
      <c r="J463" s="0">
        <v>4</v>
      </c>
    </row>
    <row r="464" spans="1:10" customHeight="0">
      <c r="A464" s="0">
        <f>HYPERLINK("https://dl.dropboxusercontent.com/scl/fi/5khkye8425ppre2xj78q3/123488-f.jpg?rlkey=gs91gv7ryh90i174oxmp80is1&amp;dl=0","Click to download Image")</f>
      </c>
      <c r="B464" s="0">
        <f>HYPERLINK("https://dl.dropboxusercontent.com/scl/fi/ebxjjhyuyg1xhe6v3e9ug/mens-jackets-size-chartsknox.jpg?rlkey=g0csfmaqum4jhfom00hbxmxne&amp;dl=0","Click to download SizeChart")</f>
      </c>
      <c r="C464" s="0" t="inlineStr">
        <is>
          <t>Knox Men's Jacket</t>
        </is>
      </c>
      <c r="D464" s="0" t="inlineStr">
        <is>
          <t>'123488</t>
        </is>
      </c>
      <c r="E464" s="0" t="inlineStr">
        <is>
          <t>NDSU KNOX M BK:123488C-L</t>
        </is>
      </c>
      <c r="F464" s="0" t="inlineStr">
        <is>
          <t>'813123488064</t>
        </is>
      </c>
      <c r="G464" s="0" t="inlineStr">
        <is>
          <t>MENS</t>
        </is>
      </c>
      <c r="H464" s="0" t="inlineStr">
        <is>
          <t>L</t>
        </is>
      </c>
      <c r="I464" s="0">
        <v>59.99</v>
      </c>
      <c r="J464" s="0">
        <v>6</v>
      </c>
    </row>
    <row r="465" spans="1:10" customHeight="0">
      <c r="A465" s="0">
        <f>HYPERLINK("https://dl.dropboxusercontent.com/scl/fi/5khkye8425ppre2xj78q3/123488-f.jpg?rlkey=gs91gv7ryh90i174oxmp80is1&amp;dl=0","Click to download Image")</f>
      </c>
      <c r="B465" s="0">
        <f>HYPERLINK("https://dl.dropboxusercontent.com/scl/fi/ebxjjhyuyg1xhe6v3e9ug/mens-jackets-size-chartsknox.jpg?rlkey=g0csfmaqum4jhfom00hbxmxne&amp;dl=0","Click to download SizeChart")</f>
      </c>
      <c r="C465" s="0" t="inlineStr">
        <is>
          <t>Knox Men's Jacket</t>
        </is>
      </c>
      <c r="D465" s="0" t="inlineStr">
        <is>
          <t>'123488</t>
        </is>
      </c>
      <c r="E465" s="0" t="inlineStr">
        <is>
          <t>NDSU KNOX M BK:123488D-XL</t>
        </is>
      </c>
      <c r="F465" s="0" t="inlineStr">
        <is>
          <t>'813123488071</t>
        </is>
      </c>
      <c r="G465" s="0" t="inlineStr">
        <is>
          <t>MENS</t>
        </is>
      </c>
      <c r="H465" s="0" t="inlineStr">
        <is>
          <t>XL</t>
        </is>
      </c>
      <c r="I465" s="0">
        <v>59.99</v>
      </c>
      <c r="J465" s="0">
        <v>6</v>
      </c>
    </row>
    <row r="466" spans="1:10" customHeight="0">
      <c r="A466" s="0">
        <f>HYPERLINK("https://dl.dropboxusercontent.com/scl/fi/5khkye8425ppre2xj78q3/123488-f.jpg?rlkey=gs91gv7ryh90i174oxmp80is1&amp;dl=0","Click to download Image")</f>
      </c>
      <c r="B466" s="0">
        <f>HYPERLINK("https://dl.dropboxusercontent.com/scl/fi/ebxjjhyuyg1xhe6v3e9ug/mens-jackets-size-chartsknox.jpg?rlkey=g0csfmaqum4jhfom00hbxmxne&amp;dl=0","Click to download SizeChart")</f>
      </c>
      <c r="C466" s="0" t="inlineStr">
        <is>
          <t>Knox Men's Jacket</t>
        </is>
      </c>
      <c r="D466" s="0" t="inlineStr">
        <is>
          <t>'123488</t>
        </is>
      </c>
      <c r="E466" s="0" t="inlineStr">
        <is>
          <t>NDSU KNOX M BK:123488E-2XL</t>
        </is>
      </c>
      <c r="F466" s="0" t="inlineStr">
        <is>
          <t>'813123488088</t>
        </is>
      </c>
      <c r="G466" s="0" t="inlineStr">
        <is>
          <t>MENS</t>
        </is>
      </c>
      <c r="H466" s="0" t="inlineStr">
        <is>
          <t>2XL</t>
        </is>
      </c>
      <c r="I466" s="0">
        <v>59.99</v>
      </c>
      <c r="J466" s="0">
        <v>4</v>
      </c>
    </row>
    <row r="467" spans="1:10" customHeight="0">
      <c r="A467" s="0">
        <f>HYPERLINK("https://dl.dropboxusercontent.com/scl/fi/5khkye8425ppre2xj78q3/123488-f.jpg?rlkey=gs91gv7ryh90i174oxmp80is1&amp;dl=0","Click to download Image")</f>
      </c>
      <c r="B467" s="0">
        <f>HYPERLINK("https://dl.dropboxusercontent.com/scl/fi/ebxjjhyuyg1xhe6v3e9ug/mens-jackets-size-chartsknox.jpg?rlkey=g0csfmaqum4jhfom00hbxmxne&amp;dl=0","Click to download SizeChart")</f>
      </c>
      <c r="C467" s="0" t="inlineStr">
        <is>
          <t>Knox Men's Jacket</t>
        </is>
      </c>
      <c r="D467" s="0" t="inlineStr">
        <is>
          <t>'123488</t>
        </is>
      </c>
      <c r="E467" s="0" t="inlineStr">
        <is>
          <t>NDSU KNOX M BK:123488F-3XL</t>
        </is>
      </c>
      <c r="F467" s="0" t="inlineStr">
        <is>
          <t>'813123488095</t>
        </is>
      </c>
      <c r="G467" s="0" t="inlineStr">
        <is>
          <t>MENS</t>
        </is>
      </c>
      <c r="H467" s="0" t="inlineStr">
        <is>
          <t>3XL</t>
        </is>
      </c>
      <c r="I467" s="0">
        <v>59.99</v>
      </c>
      <c r="J467" s="0">
        <v>0</v>
      </c>
    </row>
    <row r="468" spans="1:10" customHeight="0">
      <c r="A468" s="0">
        <f>HYPERLINK("https://dl.dropboxusercontent.com/scl/fi/5khkye8425ppre2xj78q3/123488-f.jpg?rlkey=gs91gv7ryh90i174oxmp80is1&amp;dl=0","Click to download Image")</f>
      </c>
      <c r="B468" s="0">
        <f>HYPERLINK("https://dl.dropboxusercontent.com/scl/fi/ebxjjhyuyg1xhe6v3e9ug/mens-jackets-size-chartsknox.jpg?rlkey=g0csfmaqum4jhfom00hbxmxne&amp;dl=0","Click to download SizeChart")</f>
      </c>
      <c r="C468" s="0" t="inlineStr">
        <is>
          <t>Knox Men's Jacket</t>
        </is>
      </c>
      <c r="D468" s="0" t="inlineStr">
        <is>
          <t>'123488</t>
        </is>
      </c>
      <c r="E468" s="0" t="inlineStr">
        <is>
          <t>NDSU KNOX M BK 12PK:123488Z-12PK</t>
        </is>
      </c>
      <c r="F468" s="0" t="inlineStr">
        <is>
          <t>'813123488996</t>
        </is>
      </c>
      <c r="G468" s="0" t="inlineStr">
        <is>
          <t>MENS</t>
        </is>
      </c>
      <c r="H468" s="0" t="inlineStr">
        <is>
          <t>12 PACK</t>
        </is>
      </c>
      <c r="I468" s="0">
        <v>582</v>
      </c>
      <c r="J468" s="0">
        <v>0</v>
      </c>
    </row>
    <row r="469" spans="1:10" customHeight="0">
      <c r="A469" s="0">
        <f>HYPERLINK("https://dl.dropboxusercontent.com/scl/fi/zwosa4aaaslriaghr76uo/123158-f.jpg?rlkey=4di7zxcx90379ilbhqio56nv2&amp;dl=0","Click to download Image")</f>
      </c>
      <c r="B469" s="0">
        <f>HYPERLINK("https://dl.dropboxusercontent.com/scl/fi/ebxjjhyuyg1xhe6v3e9ug/mens-jackets-size-chartsknox.jpg?rlkey=g0csfmaqum4jhfom00hbxmxne&amp;dl=0","Click to download SizeChart")</f>
      </c>
      <c r="C469" s="0" t="inlineStr">
        <is>
          <t>Knox Men's Jacket</t>
        </is>
      </c>
      <c r="D469" s="0" t="inlineStr">
        <is>
          <t>'123158</t>
        </is>
      </c>
      <c r="E469" s="0" t="inlineStr">
        <is>
          <t>IND KNOX M BK:123158A-S</t>
        </is>
      </c>
      <c r="F469" s="0" t="inlineStr">
        <is>
          <t>'806123158044</t>
        </is>
      </c>
      <c r="G469" s="0" t="inlineStr">
        <is>
          <t>MENS</t>
        </is>
      </c>
      <c r="H469" s="0" t="inlineStr">
        <is>
          <t>S</t>
        </is>
      </c>
      <c r="I469" s="0">
        <v>59.99</v>
      </c>
      <c r="J469" s="0">
        <v>0</v>
      </c>
    </row>
    <row r="470" spans="1:10" customHeight="0">
      <c r="A470" s="0">
        <f>HYPERLINK("https://dl.dropboxusercontent.com/scl/fi/zwosa4aaaslriaghr76uo/123158-f.jpg?rlkey=4di7zxcx90379ilbhqio56nv2&amp;dl=0","Click to download Image")</f>
      </c>
      <c r="B470" s="0">
        <f>HYPERLINK("https://dl.dropboxusercontent.com/scl/fi/ebxjjhyuyg1xhe6v3e9ug/mens-jackets-size-chartsknox.jpg?rlkey=g0csfmaqum4jhfom00hbxmxne&amp;dl=0","Click to download SizeChart")</f>
      </c>
      <c r="C470" s="0" t="inlineStr">
        <is>
          <t>Knox Men's Jacket</t>
        </is>
      </c>
      <c r="D470" s="0" t="inlineStr">
        <is>
          <t>'123158</t>
        </is>
      </c>
      <c r="E470" s="0" t="inlineStr">
        <is>
          <t>IND KNOX M BK:123158B-M</t>
        </is>
      </c>
      <c r="F470" s="0" t="inlineStr">
        <is>
          <t>'806123158051</t>
        </is>
      </c>
      <c r="G470" s="0" t="inlineStr">
        <is>
          <t>MENS</t>
        </is>
      </c>
      <c r="H470" s="0" t="inlineStr">
        <is>
          <t>M</t>
        </is>
      </c>
      <c r="I470" s="0">
        <v>59.99</v>
      </c>
      <c r="J470" s="0">
        <v>2</v>
      </c>
    </row>
    <row r="471" spans="1:10" customHeight="0">
      <c r="A471" s="0">
        <f>HYPERLINK("https://dl.dropboxusercontent.com/scl/fi/zwosa4aaaslriaghr76uo/123158-f.jpg?rlkey=4di7zxcx90379ilbhqio56nv2&amp;dl=0","Click to download Image")</f>
      </c>
      <c r="B471" s="0">
        <f>HYPERLINK("https://dl.dropboxusercontent.com/scl/fi/ebxjjhyuyg1xhe6v3e9ug/mens-jackets-size-chartsknox.jpg?rlkey=g0csfmaqum4jhfom00hbxmxne&amp;dl=0","Click to download SizeChart")</f>
      </c>
      <c r="C471" s="0" t="inlineStr">
        <is>
          <t>Knox Men's Jacket</t>
        </is>
      </c>
      <c r="D471" s="0" t="inlineStr">
        <is>
          <t>'123158</t>
        </is>
      </c>
      <c r="E471" s="0" t="inlineStr">
        <is>
          <t>IND KNOX M BK:123158C-L</t>
        </is>
      </c>
      <c r="F471" s="0" t="inlineStr">
        <is>
          <t>'806123158068</t>
        </is>
      </c>
      <c r="G471" s="0" t="inlineStr">
        <is>
          <t>MENS</t>
        </is>
      </c>
      <c r="H471" s="0" t="inlineStr">
        <is>
          <t>L</t>
        </is>
      </c>
      <c r="I471" s="0">
        <v>59.99</v>
      </c>
      <c r="J471" s="0">
        <v>0</v>
      </c>
    </row>
    <row r="472" spans="1:10" customHeight="0">
      <c r="A472" s="0">
        <f>HYPERLINK("https://dl.dropboxusercontent.com/scl/fi/zwosa4aaaslriaghr76uo/123158-f.jpg?rlkey=4di7zxcx90379ilbhqio56nv2&amp;dl=0","Click to download Image")</f>
      </c>
      <c r="B472" s="0">
        <f>HYPERLINK("https://dl.dropboxusercontent.com/scl/fi/ebxjjhyuyg1xhe6v3e9ug/mens-jackets-size-chartsknox.jpg?rlkey=g0csfmaqum4jhfom00hbxmxne&amp;dl=0","Click to download SizeChart")</f>
      </c>
      <c r="C472" s="0" t="inlineStr">
        <is>
          <t>Knox Men's Jacket</t>
        </is>
      </c>
      <c r="D472" s="0" t="inlineStr">
        <is>
          <t>'123158</t>
        </is>
      </c>
      <c r="E472" s="0" t="inlineStr">
        <is>
          <t>IND KNOX M BK:123158D-XL</t>
        </is>
      </c>
      <c r="F472" s="0" t="inlineStr">
        <is>
          <t>'806123158075</t>
        </is>
      </c>
      <c r="G472" s="0" t="inlineStr">
        <is>
          <t>MENS</t>
        </is>
      </c>
      <c r="H472" s="0" t="inlineStr">
        <is>
          <t>XL</t>
        </is>
      </c>
      <c r="I472" s="0">
        <v>59.99</v>
      </c>
      <c r="J472" s="0">
        <v>0</v>
      </c>
    </row>
    <row r="473" spans="1:10" customHeight="0">
      <c r="A473" s="0">
        <f>HYPERLINK("https://dl.dropboxusercontent.com/scl/fi/zwosa4aaaslriaghr76uo/123158-f.jpg?rlkey=4di7zxcx90379ilbhqio56nv2&amp;dl=0","Click to download Image")</f>
      </c>
      <c r="B473" s="0">
        <f>HYPERLINK("https://dl.dropboxusercontent.com/scl/fi/ebxjjhyuyg1xhe6v3e9ug/mens-jackets-size-chartsknox.jpg?rlkey=g0csfmaqum4jhfom00hbxmxne&amp;dl=0","Click to download SizeChart")</f>
      </c>
      <c r="C473" s="0" t="inlineStr">
        <is>
          <t>Knox Men's Jacket</t>
        </is>
      </c>
      <c r="D473" s="0" t="inlineStr">
        <is>
          <t>'123158</t>
        </is>
      </c>
      <c r="E473" s="0" t="inlineStr">
        <is>
          <t>IND KNOX M BK:123158E-2XL</t>
        </is>
      </c>
      <c r="F473" s="0" t="inlineStr">
        <is>
          <t>'806123158082</t>
        </is>
      </c>
      <c r="G473" s="0" t="inlineStr">
        <is>
          <t>MENS</t>
        </is>
      </c>
      <c r="H473" s="0" t="inlineStr">
        <is>
          <t>2XL</t>
        </is>
      </c>
      <c r="I473" s="0">
        <v>59.99</v>
      </c>
      <c r="J473" s="0">
        <v>3</v>
      </c>
    </row>
    <row r="474" spans="1:10" customHeight="0">
      <c r="A474" s="0">
        <f>HYPERLINK("https://dl.dropboxusercontent.com/scl/fi/zwosa4aaaslriaghr76uo/123158-f.jpg?rlkey=4di7zxcx90379ilbhqio56nv2&amp;dl=0","Click to download Image")</f>
      </c>
      <c r="B474" s="0">
        <f>HYPERLINK("https://dl.dropboxusercontent.com/scl/fi/ebxjjhyuyg1xhe6v3e9ug/mens-jackets-size-chartsknox.jpg?rlkey=g0csfmaqum4jhfom00hbxmxne&amp;dl=0","Click to download SizeChart")</f>
      </c>
      <c r="C474" s="0" t="inlineStr">
        <is>
          <t>Knox Men's Jacket</t>
        </is>
      </c>
      <c r="D474" s="0" t="inlineStr">
        <is>
          <t>'123158</t>
        </is>
      </c>
      <c r="E474" s="0" t="inlineStr">
        <is>
          <t>IND KNOX M BK:123158F-3XL</t>
        </is>
      </c>
      <c r="F474" s="0" t="inlineStr">
        <is>
          <t>'806123158099</t>
        </is>
      </c>
      <c r="G474" s="0" t="inlineStr">
        <is>
          <t>MENS</t>
        </is>
      </c>
      <c r="H474" s="0" t="inlineStr">
        <is>
          <t>3XL</t>
        </is>
      </c>
      <c r="I474" s="0">
        <v>59.99</v>
      </c>
      <c r="J474" s="0">
        <v>0</v>
      </c>
    </row>
    <row r="475" spans="1:10" customHeight="0">
      <c r="A475" s="0">
        <f>HYPERLINK("https://dl.dropboxusercontent.com/scl/fi/zwosa4aaaslriaghr76uo/123158-f.jpg?rlkey=4di7zxcx90379ilbhqio56nv2&amp;dl=0","Click to download Image")</f>
      </c>
      <c r="B475" s="0">
        <f>HYPERLINK("https://dl.dropboxusercontent.com/scl/fi/ebxjjhyuyg1xhe6v3e9ug/mens-jackets-size-chartsknox.jpg?rlkey=g0csfmaqum4jhfom00hbxmxne&amp;dl=0","Click to download SizeChart")</f>
      </c>
      <c r="C475" s="0" t="inlineStr">
        <is>
          <t>Knox Men's Jacket</t>
        </is>
      </c>
      <c r="D475" s="0" t="inlineStr">
        <is>
          <t>'123158</t>
        </is>
      </c>
      <c r="E475" s="0" t="inlineStr">
        <is>
          <t>IND KNOX M BLACK 12PK 123158</t>
        </is>
      </c>
      <c r="F475" s="0" t="inlineStr">
        <is>
          <t>'806123158990</t>
        </is>
      </c>
      <c r="G475" s="0" t="inlineStr">
        <is>
          <t>MENS</t>
        </is>
      </c>
      <c r="H475" s="0" t="inlineStr">
        <is>
          <t>12 PACK</t>
        </is>
      </c>
      <c r="I475" s="0">
        <v>582</v>
      </c>
      <c r="J475" s="0">
        <v>0</v>
      </c>
    </row>
    <row r="476" spans="1:10" customHeight="0">
      <c r="A476" s="0">
        <f>HYPERLINK("https://dl.dropboxusercontent.com/scl/fi/giih9yw63kcexaby0o48l/iowa-knox.jpg?rlkey=83kgkmrd97d8a7sa7vv777swf&amp;dl=0","Click to download Image")</f>
      </c>
      <c r="B476" s="0">
        <f>HYPERLINK("https://dl.dropboxusercontent.com/scl/fi/163k377gfn6h1h3tyvdtr/mens-jackets-size-chartsknox.jpg?rlkey=6tpng0qgcrenc7tv5r0ybajyn&amp;dl=0","Click to download SizeChart")</f>
      </c>
      <c r="C476" s="0" t="inlineStr">
        <is>
          <t>Knox Men's Jacket</t>
        </is>
      </c>
      <c r="D476" s="0" t="inlineStr">
        <is>
          <t>'113376</t>
        </is>
      </c>
      <c r="E476" s="0" t="inlineStr">
        <is>
          <t>IOWA KNOX M BLACK:113376A - S</t>
        </is>
      </c>
      <c r="F476" s="0" t="inlineStr">
        <is>
          <t>'000000000000</t>
        </is>
      </c>
      <c r="G476" s="0" t="inlineStr">
        <is>
          <t>MENS</t>
        </is>
      </c>
      <c r="H476" s="0" t="inlineStr">
        <is>
          <t>S</t>
        </is>
      </c>
      <c r="I476" s="0">
        <v>59.99</v>
      </c>
      <c r="J476" s="0">
        <v>0</v>
      </c>
    </row>
    <row r="477" spans="1:10" customHeight="0">
      <c r="A477" s="0">
        <f>HYPERLINK("https://dl.dropboxusercontent.com/scl/fi/giih9yw63kcexaby0o48l/iowa-knox.jpg?rlkey=83kgkmrd97d8a7sa7vv777swf&amp;dl=0","Click to download Image")</f>
      </c>
      <c r="B477" s="0">
        <f>HYPERLINK("https://dl.dropboxusercontent.com/scl/fi/163k377gfn6h1h3tyvdtr/mens-jackets-size-chartsknox.jpg?rlkey=6tpng0qgcrenc7tv5r0ybajyn&amp;dl=0","Click to download SizeChart")</f>
      </c>
      <c r="C477" s="0" t="inlineStr">
        <is>
          <t>Knox Men's Jacket</t>
        </is>
      </c>
      <c r="D477" s="0" t="inlineStr">
        <is>
          <t>'113376</t>
        </is>
      </c>
      <c r="E477" s="0" t="inlineStr">
        <is>
          <t>IOWA KNOX M BLACK:113376B - M</t>
        </is>
      </c>
      <c r="F477" s="0" t="inlineStr">
        <is>
          <t>'000000000000</t>
        </is>
      </c>
      <c r="G477" s="0" t="inlineStr">
        <is>
          <t>MENS</t>
        </is>
      </c>
      <c r="H477" s="0" t="inlineStr">
        <is>
          <t>M</t>
        </is>
      </c>
      <c r="I477" s="0">
        <v>59.99</v>
      </c>
      <c r="J477" s="0">
        <v>3</v>
      </c>
    </row>
    <row r="478" spans="1:10" customHeight="0">
      <c r="A478" s="0">
        <f>HYPERLINK("https://dl.dropboxusercontent.com/scl/fi/giih9yw63kcexaby0o48l/iowa-knox.jpg?rlkey=83kgkmrd97d8a7sa7vv777swf&amp;dl=0","Click to download Image")</f>
      </c>
      <c r="B478" s="0">
        <f>HYPERLINK("https://dl.dropboxusercontent.com/scl/fi/163k377gfn6h1h3tyvdtr/mens-jackets-size-chartsknox.jpg?rlkey=6tpng0qgcrenc7tv5r0ybajyn&amp;dl=0","Click to download SizeChart")</f>
      </c>
      <c r="C478" s="0" t="inlineStr">
        <is>
          <t>Knox Men's Jacket</t>
        </is>
      </c>
      <c r="D478" s="0" t="inlineStr">
        <is>
          <t>'113376</t>
        </is>
      </c>
      <c r="E478" s="0" t="inlineStr">
        <is>
          <t>IOWA KNOX M BLACK:113376C - L</t>
        </is>
      </c>
      <c r="F478" s="0" t="inlineStr">
        <is>
          <t>'000000000000</t>
        </is>
      </c>
      <c r="G478" s="0" t="inlineStr">
        <is>
          <t>MENS</t>
        </is>
      </c>
      <c r="H478" s="0" t="inlineStr">
        <is>
          <t>L</t>
        </is>
      </c>
      <c r="I478" s="0">
        <v>59.99</v>
      </c>
      <c r="J478" s="0">
        <v>0</v>
      </c>
    </row>
    <row r="479" spans="1:10" customHeight="0">
      <c r="A479" s="0">
        <f>HYPERLINK("https://dl.dropboxusercontent.com/scl/fi/giih9yw63kcexaby0o48l/iowa-knox.jpg?rlkey=83kgkmrd97d8a7sa7vv777swf&amp;dl=0","Click to download Image")</f>
      </c>
      <c r="B479" s="0">
        <f>HYPERLINK("https://dl.dropboxusercontent.com/scl/fi/163k377gfn6h1h3tyvdtr/mens-jackets-size-chartsknox.jpg?rlkey=6tpng0qgcrenc7tv5r0ybajyn&amp;dl=0","Click to download SizeChart")</f>
      </c>
      <c r="C479" s="0" t="inlineStr">
        <is>
          <t>Knox Men's Jacket</t>
        </is>
      </c>
      <c r="D479" s="0" t="inlineStr">
        <is>
          <t>'113376</t>
        </is>
      </c>
      <c r="E479" s="0" t="inlineStr">
        <is>
          <t>IOWA KNOX M BLACK:113376D - XL</t>
        </is>
      </c>
      <c r="F479" s="0" t="inlineStr">
        <is>
          <t>'000000000000</t>
        </is>
      </c>
      <c r="G479" s="0" t="inlineStr">
        <is>
          <t>MENS</t>
        </is>
      </c>
      <c r="H479" s="0" t="inlineStr">
        <is>
          <t>XL</t>
        </is>
      </c>
      <c r="I479" s="0">
        <v>59.99</v>
      </c>
      <c r="J479" s="0">
        <v>0</v>
      </c>
    </row>
    <row r="480" spans="1:10" customHeight="0">
      <c r="A480" s="0">
        <f>HYPERLINK("https://dl.dropboxusercontent.com/scl/fi/giih9yw63kcexaby0o48l/iowa-knox.jpg?rlkey=83kgkmrd97d8a7sa7vv777swf&amp;dl=0","Click to download Image")</f>
      </c>
      <c r="B480" s="0">
        <f>HYPERLINK("https://dl.dropboxusercontent.com/scl/fi/163k377gfn6h1h3tyvdtr/mens-jackets-size-chartsknox.jpg?rlkey=6tpng0qgcrenc7tv5r0ybajyn&amp;dl=0","Click to download SizeChart")</f>
      </c>
      <c r="C480" s="0" t="inlineStr">
        <is>
          <t>Knox Men's Jacket</t>
        </is>
      </c>
      <c r="D480" s="0" t="inlineStr">
        <is>
          <t>'113376</t>
        </is>
      </c>
      <c r="E480" s="0" t="inlineStr">
        <is>
          <t>IOWA KNOX M BLACK:113376E - 2XL</t>
        </is>
      </c>
      <c r="F480" s="0" t="inlineStr">
        <is>
          <t>'000000000000</t>
        </is>
      </c>
      <c r="G480" s="0" t="inlineStr">
        <is>
          <t>MENS</t>
        </is>
      </c>
      <c r="H480" s="0" t="inlineStr">
        <is>
          <t>2XL</t>
        </is>
      </c>
      <c r="I480" s="0">
        <v>59.99</v>
      </c>
      <c r="J480" s="0">
        <v>0</v>
      </c>
    </row>
    <row r="481" spans="1:10" customHeight="0">
      <c r="A481" s="0">
        <f>HYPERLINK("https://dl.dropboxusercontent.com/scl/fi/giih9yw63kcexaby0o48l/iowa-knox.jpg?rlkey=83kgkmrd97d8a7sa7vv777swf&amp;dl=0","Click to download Image")</f>
      </c>
      <c r="B481" s="0">
        <f>HYPERLINK("https://dl.dropboxusercontent.com/scl/fi/163k377gfn6h1h3tyvdtr/mens-jackets-size-chartsknox.jpg?rlkey=6tpng0qgcrenc7tv5r0ybajyn&amp;dl=0","Click to download SizeChart")</f>
      </c>
      <c r="C481" s="0" t="inlineStr">
        <is>
          <t>Knox Men's Jacket</t>
        </is>
      </c>
      <c r="D481" s="0" t="inlineStr">
        <is>
          <t>'113376</t>
        </is>
      </c>
      <c r="E481" s="0" t="inlineStr">
        <is>
          <t>IOWA KNOX M BLACK:113376F - 3XL</t>
        </is>
      </c>
      <c r="F481" s="0" t="inlineStr">
        <is>
          <t>'000000000000</t>
        </is>
      </c>
      <c r="G481" s="0" t="inlineStr">
        <is>
          <t>MENS</t>
        </is>
      </c>
      <c r="H481" s="0" t="inlineStr">
        <is>
          <t>3XL</t>
        </is>
      </c>
      <c r="I481" s="0">
        <v>59.99</v>
      </c>
      <c r="J481" s="0">
        <v>1</v>
      </c>
    </row>
    <row r="482" spans="1:10" customHeight="0">
      <c r="A482" s="0">
        <f>HYPERLINK("https://dl.dropboxusercontent.com/scl/fi/giih9yw63kcexaby0o48l/iowa-knox.jpg?rlkey=83kgkmrd97d8a7sa7vv777swf&amp;dl=0","Click to download Image")</f>
      </c>
      <c r="B482" s="0">
        <f>HYPERLINK("https://dl.dropboxusercontent.com/scl/fi/163k377gfn6h1h3tyvdtr/mens-jackets-size-chartsknox.jpg?rlkey=6tpng0qgcrenc7tv5r0ybajyn&amp;dl=0","Click to download SizeChart")</f>
      </c>
      <c r="C482" s="0" t="inlineStr">
        <is>
          <t>Knox Men's Jacket</t>
        </is>
      </c>
      <c r="D482" s="0" t="inlineStr">
        <is>
          <t>'113376</t>
        </is>
      </c>
      <c r="E482" s="0" t="inlineStr">
        <is>
          <t>IOWA KNOX M BLACK 12 PACK (113376)</t>
        </is>
      </c>
      <c r="F482" s="0" t="inlineStr">
        <is>
          <t>'000000000000</t>
        </is>
      </c>
      <c r="G482" s="0" t="inlineStr">
        <is>
          <t>MENS</t>
        </is>
      </c>
      <c r="H482" s="0" t="inlineStr">
        <is>
          <t>12 PACK</t>
        </is>
      </c>
      <c r="I482" s="0">
        <v>582</v>
      </c>
      <c r="J482" s="0">
        <v>1</v>
      </c>
    </row>
    <row r="483" spans="1:10" customHeight="0">
      <c r="A483" s="0">
        <f>HYPERLINK("https://dl.dropboxusercontent.com/scl/fi/0ug6sxotn7or0wxhjualm/aldat.jpg?rlkey=7zaw89tphi577vg85sto48r98&amp;dl=0","Click to download Image")</f>
      </c>
      <c r="C483" s="0" t="inlineStr">
        <is>
          <t>Alda Women's Long Sleeve</t>
        </is>
      </c>
      <c r="D483" s="0" t="inlineStr">
        <is>
          <t>'123058</t>
        </is>
      </c>
      <c r="E483" s="0" t="inlineStr">
        <is>
          <t>NDSU ALDA W BK:123058A-S</t>
        </is>
      </c>
      <c r="F483" s="0" t="inlineStr">
        <is>
          <t>'813123058045</t>
        </is>
      </c>
      <c r="G483" s="0" t="inlineStr">
        <is>
          <t>WOMENS</t>
        </is>
      </c>
      <c r="H483" s="0" t="inlineStr">
        <is>
          <t>S</t>
        </is>
      </c>
      <c r="I483" s="0">
        <v>39.99</v>
      </c>
      <c r="J483" s="0">
        <v>3</v>
      </c>
    </row>
    <row r="484" spans="1:10" customHeight="0">
      <c r="A484" s="0">
        <f>HYPERLINK("https://dl.dropboxusercontent.com/scl/fi/0ug6sxotn7or0wxhjualm/aldat.jpg?rlkey=7zaw89tphi577vg85sto48r98&amp;dl=0","Click to download Image")</f>
      </c>
      <c r="C484" s="0" t="inlineStr">
        <is>
          <t>Alda Women's Long Sleeve</t>
        </is>
      </c>
      <c r="D484" s="0" t="inlineStr">
        <is>
          <t>'123058</t>
        </is>
      </c>
      <c r="E484" s="0" t="inlineStr">
        <is>
          <t>NDSU ALDA W BK:123058B-M</t>
        </is>
      </c>
      <c r="F484" s="0" t="inlineStr">
        <is>
          <t>'813123058052</t>
        </is>
      </c>
      <c r="G484" s="0" t="inlineStr">
        <is>
          <t>WOMENS</t>
        </is>
      </c>
      <c r="H484" s="0" t="inlineStr">
        <is>
          <t>M</t>
        </is>
      </c>
      <c r="I484" s="0">
        <v>39.99</v>
      </c>
      <c r="J484" s="0">
        <v>2</v>
      </c>
    </row>
    <row r="485" spans="1:10" customHeight="0">
      <c r="A485" s="0">
        <f>HYPERLINK("https://dl.dropboxusercontent.com/scl/fi/0ug6sxotn7or0wxhjualm/aldat.jpg?rlkey=7zaw89tphi577vg85sto48r98&amp;dl=0","Click to download Image")</f>
      </c>
      <c r="C485" s="0" t="inlineStr">
        <is>
          <t>Alda Women's Long Sleeve</t>
        </is>
      </c>
      <c r="D485" s="0" t="inlineStr">
        <is>
          <t>'123058</t>
        </is>
      </c>
      <c r="E485" s="0" t="inlineStr">
        <is>
          <t>NDSU ALDA W BK:123058C-L</t>
        </is>
      </c>
      <c r="F485" s="0" t="inlineStr">
        <is>
          <t>'813123058069</t>
        </is>
      </c>
      <c r="G485" s="0" t="inlineStr">
        <is>
          <t>WOMENS</t>
        </is>
      </c>
      <c r="H485" s="0" t="inlineStr">
        <is>
          <t>L</t>
        </is>
      </c>
      <c r="I485" s="0">
        <v>39.99</v>
      </c>
      <c r="J485" s="0">
        <v>2</v>
      </c>
    </row>
    <row r="486" spans="1:10" customHeight="0">
      <c r="A486" s="0">
        <f>HYPERLINK("https://dl.dropboxusercontent.com/scl/fi/0ug6sxotn7or0wxhjualm/aldat.jpg?rlkey=7zaw89tphi577vg85sto48r98&amp;dl=0","Click to download Image")</f>
      </c>
      <c r="C486" s="0" t="inlineStr">
        <is>
          <t>Alda Women's Long Sleeve</t>
        </is>
      </c>
      <c r="D486" s="0" t="inlineStr">
        <is>
          <t>'123058</t>
        </is>
      </c>
      <c r="E486" s="0" t="inlineStr">
        <is>
          <t>NDSU ALDA W BK:123058D-XL</t>
        </is>
      </c>
      <c r="F486" s="0" t="inlineStr">
        <is>
          <t>'813123058076</t>
        </is>
      </c>
      <c r="G486" s="0" t="inlineStr">
        <is>
          <t>WOMENS</t>
        </is>
      </c>
      <c r="H486" s="0" t="inlineStr">
        <is>
          <t>XL</t>
        </is>
      </c>
      <c r="I486" s="0">
        <v>39.99</v>
      </c>
      <c r="J486" s="0">
        <v>0</v>
      </c>
    </row>
    <row r="487" spans="1:10" customHeight="0">
      <c r="A487" s="0">
        <f>HYPERLINK("https://dl.dropboxusercontent.com/scl/fi/0ug6sxotn7or0wxhjualm/aldat.jpg?rlkey=7zaw89tphi577vg85sto48r98&amp;dl=0","Click to download Image")</f>
      </c>
      <c r="C487" s="0" t="inlineStr">
        <is>
          <t>Alda Women's Long Sleeve</t>
        </is>
      </c>
      <c r="D487" s="0" t="inlineStr">
        <is>
          <t>'123058</t>
        </is>
      </c>
      <c r="E487" s="0" t="inlineStr">
        <is>
          <t>NDSU ALDA W BK:123058E-2XL</t>
        </is>
      </c>
      <c r="F487" s="0" t="inlineStr">
        <is>
          <t>'813123058083</t>
        </is>
      </c>
      <c r="G487" s="0" t="inlineStr">
        <is>
          <t>WOMENS</t>
        </is>
      </c>
      <c r="H487" s="0" t="inlineStr">
        <is>
          <t>2XL</t>
        </is>
      </c>
      <c r="I487" s="0">
        <v>39.99</v>
      </c>
      <c r="J487" s="0">
        <v>1</v>
      </c>
    </row>
    <row r="488" spans="1:10" customHeight="0">
      <c r="A488" s="0">
        <f>HYPERLINK("https://dl.dropboxusercontent.com/scl/fi/0ug6sxotn7or0wxhjualm/aldat.jpg?rlkey=7zaw89tphi577vg85sto48r98&amp;dl=0","Click to download Image")</f>
      </c>
      <c r="C488" s="0" t="inlineStr">
        <is>
          <t>Alda Women's Long Sleeve</t>
        </is>
      </c>
      <c r="D488" s="0" t="inlineStr">
        <is>
          <t>'123058</t>
        </is>
      </c>
      <c r="E488" s="0" t="inlineStr">
        <is>
          <t>NDSU ALDA W BK:123058F-3XL</t>
        </is>
      </c>
      <c r="F488" s="0" t="inlineStr">
        <is>
          <t>'813123058090</t>
        </is>
      </c>
      <c r="G488" s="0" t="inlineStr">
        <is>
          <t>WOMENS</t>
        </is>
      </c>
      <c r="H488" s="0" t="inlineStr">
        <is>
          <t>3XL</t>
        </is>
      </c>
      <c r="I488" s="0">
        <v>39.99</v>
      </c>
      <c r="J488" s="0">
        <v>2</v>
      </c>
    </row>
    <row r="489" spans="1:10" customHeight="0">
      <c r="A489" s="0">
        <f>HYPERLINK("https://dl.dropboxusercontent.com/scl/fi/0ug6sxotn7or0wxhjualm/aldat.jpg?rlkey=7zaw89tphi577vg85sto48r98&amp;dl=0","Click to download Image")</f>
      </c>
      <c r="C489" s="0" t="inlineStr">
        <is>
          <t>Alda Women's Long Sleeve</t>
        </is>
      </c>
      <c r="D489" s="0" t="inlineStr">
        <is>
          <t>'123058</t>
        </is>
      </c>
      <c r="E489" s="0" t="inlineStr">
        <is>
          <t>NDSU ALDA W BK 12PK:123058Z-12PK</t>
        </is>
      </c>
      <c r="F489" s="0" t="inlineStr">
        <is>
          <t>'813123058991</t>
        </is>
      </c>
      <c r="G489" s="0" t="inlineStr">
        <is>
          <t>WOMENS</t>
        </is>
      </c>
      <c r="H489" s="0" t="inlineStr">
        <is>
          <t>12 PACK</t>
        </is>
      </c>
      <c r="I489" s="0">
        <v>384</v>
      </c>
      <c r="J489" s="0">
        <v>0</v>
      </c>
    </row>
    <row r="490" spans="1:10" customHeight="0">
      <c r="A490" s="0">
        <f>HYPERLINK("https://dl.dropboxusercontent.com/scl/fi/af9i4u6unqyak5ft6i1t4/124597t.jpg?rlkey=hvsclq06qz3evkcjffj1t2u8e&amp;dl=0","Click to download Image")</f>
      </c>
      <c r="B490" s="0">
        <f>HYPERLINK("https://dl.dropboxusercontent.com/scl/fi/8sfvnh5xd0eixa8baen9r/womens-hoodie-and-sweatshirt-size-chartsthea.jpg?rlkey=pwvcbprf04cufexuybaxgpf58&amp;dl=0","Click to download SizeChart")</f>
      </c>
      <c r="C490" s="0" t="inlineStr">
        <is>
          <t>Thea Women's Hoodie</t>
        </is>
      </c>
      <c r="D490" s="0" t="inlineStr">
        <is>
          <t>'124597</t>
        </is>
      </c>
      <c r="E490" s="0" t="inlineStr">
        <is>
          <t>IOWA THEA W BK:124597A-S</t>
        </is>
      </c>
      <c r="F490" s="0" t="inlineStr">
        <is>
          <t>'800124597048</t>
        </is>
      </c>
      <c r="G490" s="0" t="inlineStr">
        <is>
          <t>WOMENS</t>
        </is>
      </c>
      <c r="H490" s="0" t="inlineStr">
        <is>
          <t>S</t>
        </is>
      </c>
      <c r="I490" s="0">
        <v>49.99</v>
      </c>
      <c r="J490" s="0">
        <v>1</v>
      </c>
    </row>
    <row r="491" spans="1:10" customHeight="0">
      <c r="A491" s="0">
        <f>HYPERLINK("https://dl.dropboxusercontent.com/scl/fi/af9i4u6unqyak5ft6i1t4/124597t.jpg?rlkey=hvsclq06qz3evkcjffj1t2u8e&amp;dl=0","Click to download Image")</f>
      </c>
      <c r="B491" s="0">
        <f>HYPERLINK("https://dl.dropboxusercontent.com/scl/fi/8sfvnh5xd0eixa8baen9r/womens-hoodie-and-sweatshirt-size-chartsthea.jpg?rlkey=pwvcbprf04cufexuybaxgpf58&amp;dl=0","Click to download SizeChart")</f>
      </c>
      <c r="C491" s="0" t="inlineStr">
        <is>
          <t>Thea Women's Hoodie</t>
        </is>
      </c>
      <c r="D491" s="0" t="inlineStr">
        <is>
          <t>'124597</t>
        </is>
      </c>
      <c r="E491" s="0" t="inlineStr">
        <is>
          <t>IOWA THEA W BK:124597B-M</t>
        </is>
      </c>
      <c r="F491" s="0" t="inlineStr">
        <is>
          <t>'800124597055</t>
        </is>
      </c>
      <c r="G491" s="0" t="inlineStr">
        <is>
          <t>WOMENS</t>
        </is>
      </c>
      <c r="H491" s="0" t="inlineStr">
        <is>
          <t>M</t>
        </is>
      </c>
      <c r="I491" s="0">
        <v>49.99</v>
      </c>
      <c r="J491" s="0">
        <v>0</v>
      </c>
    </row>
    <row r="492" spans="1:10" customHeight="0">
      <c r="A492" s="0">
        <f>HYPERLINK("https://dl.dropboxusercontent.com/scl/fi/af9i4u6unqyak5ft6i1t4/124597t.jpg?rlkey=hvsclq06qz3evkcjffj1t2u8e&amp;dl=0","Click to download Image")</f>
      </c>
      <c r="B492" s="0">
        <f>HYPERLINK("https://dl.dropboxusercontent.com/scl/fi/8sfvnh5xd0eixa8baen9r/womens-hoodie-and-sweatshirt-size-chartsthea.jpg?rlkey=pwvcbprf04cufexuybaxgpf58&amp;dl=0","Click to download SizeChart")</f>
      </c>
      <c r="C492" s="0" t="inlineStr">
        <is>
          <t>Thea Women's Hoodie</t>
        </is>
      </c>
      <c r="D492" s="0" t="inlineStr">
        <is>
          <t>'124597</t>
        </is>
      </c>
      <c r="E492" s="0" t="inlineStr">
        <is>
          <t>IOWA THEA W BK:124597C-L</t>
        </is>
      </c>
      <c r="F492" s="0" t="inlineStr">
        <is>
          <t>'800124597062</t>
        </is>
      </c>
      <c r="G492" s="0" t="inlineStr">
        <is>
          <t>WOMENS</t>
        </is>
      </c>
      <c r="H492" s="0" t="inlineStr">
        <is>
          <t>L</t>
        </is>
      </c>
      <c r="I492" s="0">
        <v>49.99</v>
      </c>
      <c r="J492" s="0">
        <v>0</v>
      </c>
    </row>
    <row r="493" spans="1:10" customHeight="0">
      <c r="A493" s="0">
        <f>HYPERLINK("https://dl.dropboxusercontent.com/scl/fi/af9i4u6unqyak5ft6i1t4/124597t.jpg?rlkey=hvsclq06qz3evkcjffj1t2u8e&amp;dl=0","Click to download Image")</f>
      </c>
      <c r="B493" s="0">
        <f>HYPERLINK("https://dl.dropboxusercontent.com/scl/fi/8sfvnh5xd0eixa8baen9r/womens-hoodie-and-sweatshirt-size-chartsthea.jpg?rlkey=pwvcbprf04cufexuybaxgpf58&amp;dl=0","Click to download SizeChart")</f>
      </c>
      <c r="C493" s="0" t="inlineStr">
        <is>
          <t>Thea Women's Hoodie</t>
        </is>
      </c>
      <c r="D493" s="0" t="inlineStr">
        <is>
          <t>'124597</t>
        </is>
      </c>
      <c r="E493" s="0" t="inlineStr">
        <is>
          <t>IOWA THEA W BK:124597D-XL</t>
        </is>
      </c>
      <c r="F493" s="0" t="inlineStr">
        <is>
          <t>'800124597079</t>
        </is>
      </c>
      <c r="G493" s="0" t="inlineStr">
        <is>
          <t>WOMENS</t>
        </is>
      </c>
      <c r="H493" s="0" t="inlineStr">
        <is>
          <t>XL</t>
        </is>
      </c>
      <c r="I493" s="0">
        <v>49.99</v>
      </c>
      <c r="J493" s="0">
        <v>0</v>
      </c>
    </row>
    <row r="494" spans="1:10" customHeight="0">
      <c r="A494" s="0">
        <f>HYPERLINK("https://dl.dropboxusercontent.com/scl/fi/af9i4u6unqyak5ft6i1t4/124597t.jpg?rlkey=hvsclq06qz3evkcjffj1t2u8e&amp;dl=0","Click to download Image")</f>
      </c>
      <c r="B494" s="0">
        <f>HYPERLINK("https://dl.dropboxusercontent.com/scl/fi/8sfvnh5xd0eixa8baen9r/womens-hoodie-and-sweatshirt-size-chartsthea.jpg?rlkey=pwvcbprf04cufexuybaxgpf58&amp;dl=0","Click to download SizeChart")</f>
      </c>
      <c r="C494" s="0" t="inlineStr">
        <is>
          <t>Thea Women's Hoodie</t>
        </is>
      </c>
      <c r="D494" s="0" t="inlineStr">
        <is>
          <t>'124597</t>
        </is>
      </c>
      <c r="E494" s="0" t="inlineStr">
        <is>
          <t>IOWA THEA W BK:124597E-2XL</t>
        </is>
      </c>
      <c r="F494" s="0" t="inlineStr">
        <is>
          <t>'800124597086</t>
        </is>
      </c>
      <c r="G494" s="0" t="inlineStr">
        <is>
          <t>WOMENS</t>
        </is>
      </c>
      <c r="H494" s="0" t="inlineStr">
        <is>
          <t>2XL</t>
        </is>
      </c>
      <c r="I494" s="0">
        <v>49.99</v>
      </c>
      <c r="J494" s="0">
        <v>0</v>
      </c>
    </row>
    <row r="495" spans="1:10" customHeight="0">
      <c r="A495" s="0">
        <f>HYPERLINK("https://dl.dropboxusercontent.com/scl/fi/af9i4u6unqyak5ft6i1t4/124597t.jpg?rlkey=hvsclq06qz3evkcjffj1t2u8e&amp;dl=0","Click to download Image")</f>
      </c>
      <c r="B495" s="0">
        <f>HYPERLINK("https://dl.dropboxusercontent.com/scl/fi/8sfvnh5xd0eixa8baen9r/womens-hoodie-and-sweatshirt-size-chartsthea.jpg?rlkey=pwvcbprf04cufexuybaxgpf58&amp;dl=0","Click to download SizeChart")</f>
      </c>
      <c r="C495" s="0" t="inlineStr">
        <is>
          <t>Thea Women's Hoodie</t>
        </is>
      </c>
      <c r="D495" s="0" t="inlineStr">
        <is>
          <t>'124597</t>
        </is>
      </c>
      <c r="E495" s="0" t="inlineStr">
        <is>
          <t>IOWA THEA W BK:124597F-3XL</t>
        </is>
      </c>
      <c r="F495" s="0" t="inlineStr">
        <is>
          <t>'800124597093</t>
        </is>
      </c>
      <c r="G495" s="0" t="inlineStr">
        <is>
          <t>WOMENS</t>
        </is>
      </c>
      <c r="H495" s="0" t="inlineStr">
        <is>
          <t>3XL</t>
        </is>
      </c>
      <c r="I495" s="0">
        <v>49.99</v>
      </c>
      <c r="J495" s="0">
        <v>0</v>
      </c>
    </row>
    <row r="496" spans="1:10" customHeight="0">
      <c r="A496" s="0">
        <f>HYPERLINK("https://dl.dropboxusercontent.com/scl/fi/af9i4u6unqyak5ft6i1t4/124597t.jpg?rlkey=hvsclq06qz3evkcjffj1t2u8e&amp;dl=0","Click to download Image")</f>
      </c>
      <c r="B496" s="0">
        <f>HYPERLINK("https://dl.dropboxusercontent.com/scl/fi/8sfvnh5xd0eixa8baen9r/womens-hoodie-and-sweatshirt-size-chartsthea.jpg?rlkey=pwvcbprf04cufexuybaxgpf58&amp;dl=0","Click to download SizeChart")</f>
      </c>
      <c r="C496" s="0" t="inlineStr">
        <is>
          <t>Thea Women's Hoodie</t>
        </is>
      </c>
      <c r="D496" s="0" t="inlineStr">
        <is>
          <t>'124597</t>
        </is>
      </c>
      <c r="E496" s="0" t="inlineStr">
        <is>
          <t>IOWA THEA W BK 12PK:124597Z-12PK</t>
        </is>
      </c>
      <c r="F496" s="0" t="inlineStr">
        <is>
          <t>'800124597994</t>
        </is>
      </c>
      <c r="G496" s="0" t="inlineStr">
        <is>
          <t>WOMENS</t>
        </is>
      </c>
      <c r="H496" s="0" t="inlineStr">
        <is>
          <t>12 PACK</t>
        </is>
      </c>
      <c r="I496" s="0">
        <v>480</v>
      </c>
      <c r="J496" s="0">
        <v>0</v>
      </c>
    </row>
    <row r="497" spans="1:10" customHeight="0">
      <c r="A497" s="0">
        <f>HYPERLINK("https://dl.dropboxusercontent.com/scl/fi/px62j3sel4hyur1z7k9j4/124761t.jpg?rlkey=xi82fwbhdnrzt65j3vs3uiv5j&amp;dl=0","Click to download Image")</f>
      </c>
      <c r="C497" s="0" t="inlineStr">
        <is>
          <t>Rona Women's Long Sleeve</t>
        </is>
      </c>
      <c r="D497" s="0" t="inlineStr">
        <is>
          <t>'124761</t>
        </is>
      </c>
      <c r="E497" s="0" t="inlineStr">
        <is>
          <t>ISU RONA W CL:124761A-S</t>
        </is>
      </c>
      <c r="F497" s="0" t="inlineStr">
        <is>
          <t>'801124761040</t>
        </is>
      </c>
      <c r="G497" s="0" t="inlineStr">
        <is>
          <t>WOMENS</t>
        </is>
      </c>
      <c r="H497" s="0" t="inlineStr">
        <is>
          <t>S</t>
        </is>
      </c>
      <c r="I497" s="0">
        <v>39.99</v>
      </c>
      <c r="J497" s="0">
        <v>0</v>
      </c>
    </row>
    <row r="498" spans="1:10" customHeight="0">
      <c r="A498" s="0">
        <f>HYPERLINK("https://dl.dropboxusercontent.com/scl/fi/px62j3sel4hyur1z7k9j4/124761t.jpg?rlkey=xi82fwbhdnrzt65j3vs3uiv5j&amp;dl=0","Click to download Image")</f>
      </c>
      <c r="C498" s="0" t="inlineStr">
        <is>
          <t>Rona Women's Long Sleeve</t>
        </is>
      </c>
      <c r="D498" s="0" t="inlineStr">
        <is>
          <t>'124761</t>
        </is>
      </c>
      <c r="E498" s="0" t="inlineStr">
        <is>
          <t>ISU RONA W CL:124761B-M</t>
        </is>
      </c>
      <c r="F498" s="0" t="inlineStr">
        <is>
          <t>'801124761057</t>
        </is>
      </c>
      <c r="G498" s="0" t="inlineStr">
        <is>
          <t>WOMENS</t>
        </is>
      </c>
      <c r="H498" s="0" t="inlineStr">
        <is>
          <t>M</t>
        </is>
      </c>
      <c r="I498" s="0">
        <v>39.99</v>
      </c>
      <c r="J498" s="0">
        <v>0</v>
      </c>
    </row>
    <row r="499" spans="1:10" customHeight="0">
      <c r="A499" s="0">
        <f>HYPERLINK("https://dl.dropboxusercontent.com/scl/fi/px62j3sel4hyur1z7k9j4/124761t.jpg?rlkey=xi82fwbhdnrzt65j3vs3uiv5j&amp;dl=0","Click to download Image")</f>
      </c>
      <c r="C499" s="0" t="inlineStr">
        <is>
          <t>Rona Women's Long Sleeve</t>
        </is>
      </c>
      <c r="D499" s="0" t="inlineStr">
        <is>
          <t>'124761</t>
        </is>
      </c>
      <c r="E499" s="0" t="inlineStr">
        <is>
          <t>ISU RONA W CL:124761C-L</t>
        </is>
      </c>
      <c r="F499" s="0" t="inlineStr">
        <is>
          <t>'801124761064</t>
        </is>
      </c>
      <c r="G499" s="0" t="inlineStr">
        <is>
          <t>WOMENS</t>
        </is>
      </c>
      <c r="H499" s="0" t="inlineStr">
        <is>
          <t>L</t>
        </is>
      </c>
      <c r="I499" s="0">
        <v>39.99</v>
      </c>
      <c r="J499" s="0">
        <v>0</v>
      </c>
    </row>
    <row r="500" spans="1:10" customHeight="0">
      <c r="A500" s="0">
        <f>HYPERLINK("https://dl.dropboxusercontent.com/scl/fi/px62j3sel4hyur1z7k9j4/124761t.jpg?rlkey=xi82fwbhdnrzt65j3vs3uiv5j&amp;dl=0","Click to download Image")</f>
      </c>
      <c r="C500" s="0" t="inlineStr">
        <is>
          <t>Rona Women's Long Sleeve</t>
        </is>
      </c>
      <c r="D500" s="0" t="inlineStr">
        <is>
          <t>'124761</t>
        </is>
      </c>
      <c r="E500" s="0" t="inlineStr">
        <is>
          <t>ISU RONA W CL:124761D-XL</t>
        </is>
      </c>
      <c r="F500" s="0" t="inlineStr">
        <is>
          <t>'801124761071</t>
        </is>
      </c>
      <c r="G500" s="0" t="inlineStr">
        <is>
          <t>WOMENS</t>
        </is>
      </c>
      <c r="H500" s="0" t="inlineStr">
        <is>
          <t>XL</t>
        </is>
      </c>
      <c r="I500" s="0">
        <v>39.99</v>
      </c>
      <c r="J500" s="0">
        <v>0</v>
      </c>
    </row>
    <row r="501" spans="1:10" customHeight="0">
      <c r="A501" s="0">
        <f>HYPERLINK("https://dl.dropboxusercontent.com/scl/fi/px62j3sel4hyur1z7k9j4/124761t.jpg?rlkey=xi82fwbhdnrzt65j3vs3uiv5j&amp;dl=0","Click to download Image")</f>
      </c>
      <c r="C501" s="0" t="inlineStr">
        <is>
          <t>Rona Women's Long Sleeve</t>
        </is>
      </c>
      <c r="D501" s="0" t="inlineStr">
        <is>
          <t>'124761</t>
        </is>
      </c>
      <c r="E501" s="0" t="inlineStr">
        <is>
          <t>ISU RONA W CL:124761E-2XL</t>
        </is>
      </c>
      <c r="F501" s="0" t="inlineStr">
        <is>
          <t>'801124761088</t>
        </is>
      </c>
      <c r="G501" s="0" t="inlineStr">
        <is>
          <t>WOMENS</t>
        </is>
      </c>
      <c r="H501" s="0" t="inlineStr">
        <is>
          <t>2XL</t>
        </is>
      </c>
      <c r="I501" s="0">
        <v>39.99</v>
      </c>
      <c r="J501" s="0">
        <v>2</v>
      </c>
    </row>
    <row r="502" spans="1:10" customHeight="0">
      <c r="A502" s="0">
        <f>HYPERLINK("https://dl.dropboxusercontent.com/scl/fi/px62j3sel4hyur1z7k9j4/124761t.jpg?rlkey=xi82fwbhdnrzt65j3vs3uiv5j&amp;dl=0","Click to download Image")</f>
      </c>
      <c r="C502" s="0" t="inlineStr">
        <is>
          <t>Rona Women's Long Sleeve</t>
        </is>
      </c>
      <c r="D502" s="0" t="inlineStr">
        <is>
          <t>'124761</t>
        </is>
      </c>
      <c r="E502" s="0" t="inlineStr">
        <is>
          <t>ISU RONA W CL:124761F-3XL</t>
        </is>
      </c>
      <c r="F502" s="0" t="inlineStr">
        <is>
          <t>'801124761095</t>
        </is>
      </c>
      <c r="G502" s="0" t="inlineStr">
        <is>
          <t>WOMENS</t>
        </is>
      </c>
      <c r="H502" s="0" t="inlineStr">
        <is>
          <t>3XL</t>
        </is>
      </c>
      <c r="I502" s="0">
        <v>39.99</v>
      </c>
      <c r="J502" s="0">
        <v>4</v>
      </c>
    </row>
    <row r="503" spans="1:10" customHeight="0">
      <c r="A503" s="0">
        <f>HYPERLINK("https://dl.dropboxusercontent.com/scl/fi/px62j3sel4hyur1z7k9j4/124761t.jpg?rlkey=xi82fwbhdnrzt65j3vs3uiv5j&amp;dl=0","Click to download Image")</f>
      </c>
      <c r="C503" s="0" t="inlineStr">
        <is>
          <t>Rona Women's Long Sleeve</t>
        </is>
      </c>
      <c r="D503" s="0" t="inlineStr">
        <is>
          <t>'124761</t>
        </is>
      </c>
      <c r="E503" s="0" t="inlineStr">
        <is>
          <t>ISU RONA W CL 12PK:124761Z-12PK</t>
        </is>
      </c>
      <c r="F503" s="0" t="inlineStr">
        <is>
          <t>'801124761996</t>
        </is>
      </c>
      <c r="G503" s="0" t="inlineStr">
        <is>
          <t>WOMENS</t>
        </is>
      </c>
      <c r="H503" s="0" t="inlineStr">
        <is>
          <t>12 PACK</t>
        </is>
      </c>
      <c r="I503" s="0">
        <v>384</v>
      </c>
      <c r="J503" s="0">
        <v>0</v>
      </c>
    </row>
    <row r="504" spans="1:10" customHeight="0">
      <c r="A504" s="0">
        <f>HYPERLINK("https://dl.dropboxusercontent.com/scl/fi/8es7yt12610r4b6063a6j/amiat.jpg?rlkey=638w9oo4ujq2gbalb1g41cret&amp;dl=0","Click to download Image")</f>
      </c>
      <c r="B504" s="0">
        <f>HYPERLINK("https://dl.dropboxusercontent.com/scl/fi/x9crrec3ana1z697lappq/womens-t-shirt-size-chartsamia.jpg?rlkey=p2v6okw9yr9jguo6s6rordpu1&amp;dl=0","Click to download SizeChart")</f>
      </c>
      <c r="C504" s="0" t="inlineStr">
        <is>
          <t>Amia Women's Crop T-shirt</t>
        </is>
      </c>
      <c r="D504" s="0" t="inlineStr">
        <is>
          <t>'125379</t>
        </is>
      </c>
      <c r="E504" s="0" t="inlineStr">
        <is>
          <t>IOWA AMIA W WE:125379A-S</t>
        </is>
      </c>
      <c r="F504" s="0" t="inlineStr">
        <is>
          <t>'800125379049</t>
        </is>
      </c>
      <c r="G504" s="0" t="inlineStr">
        <is>
          <t>WOMENS</t>
        </is>
      </c>
      <c r="H504" s="0" t="inlineStr">
        <is>
          <t>S</t>
        </is>
      </c>
      <c r="I504" s="0">
        <v>29.99</v>
      </c>
      <c r="J504" s="0">
        <v>0</v>
      </c>
    </row>
    <row r="505" spans="1:10" customHeight="0">
      <c r="A505" s="0">
        <f>HYPERLINK("https://dl.dropboxusercontent.com/scl/fi/8es7yt12610r4b6063a6j/amiat.jpg?rlkey=638w9oo4ujq2gbalb1g41cret&amp;dl=0","Click to download Image")</f>
      </c>
      <c r="B505" s="0">
        <f>HYPERLINK("https://dl.dropboxusercontent.com/scl/fi/x9crrec3ana1z697lappq/womens-t-shirt-size-chartsamia.jpg?rlkey=p2v6okw9yr9jguo6s6rordpu1&amp;dl=0","Click to download SizeChart")</f>
      </c>
      <c r="C505" s="0" t="inlineStr">
        <is>
          <t>Amia Women's Crop T-shirt</t>
        </is>
      </c>
      <c r="D505" s="0" t="inlineStr">
        <is>
          <t>'125379</t>
        </is>
      </c>
      <c r="E505" s="0" t="inlineStr">
        <is>
          <t>IOWA AMIA W WE:125379B-M</t>
        </is>
      </c>
      <c r="F505" s="0" t="inlineStr">
        <is>
          <t>'800125379056</t>
        </is>
      </c>
      <c r="G505" s="0" t="inlineStr">
        <is>
          <t>WOMENS</t>
        </is>
      </c>
      <c r="H505" s="0" t="inlineStr">
        <is>
          <t>M</t>
        </is>
      </c>
      <c r="I505" s="0">
        <v>29.99</v>
      </c>
      <c r="J505" s="0">
        <v>0</v>
      </c>
    </row>
    <row r="506" spans="1:10" customHeight="0">
      <c r="A506" s="0">
        <f>HYPERLINK("https://dl.dropboxusercontent.com/scl/fi/8es7yt12610r4b6063a6j/amiat.jpg?rlkey=638w9oo4ujq2gbalb1g41cret&amp;dl=0","Click to download Image")</f>
      </c>
      <c r="B506" s="0">
        <f>HYPERLINK("https://dl.dropboxusercontent.com/scl/fi/x9crrec3ana1z697lappq/womens-t-shirt-size-chartsamia.jpg?rlkey=p2v6okw9yr9jguo6s6rordpu1&amp;dl=0","Click to download SizeChart")</f>
      </c>
      <c r="C506" s="0" t="inlineStr">
        <is>
          <t>Amia Women's Crop T-shirt</t>
        </is>
      </c>
      <c r="D506" s="0" t="inlineStr">
        <is>
          <t>'125379</t>
        </is>
      </c>
      <c r="E506" s="0" t="inlineStr">
        <is>
          <t>IOWA AMIA W WE:125379C-L</t>
        </is>
      </c>
      <c r="F506" s="0" t="inlineStr">
        <is>
          <t>'800125379063</t>
        </is>
      </c>
      <c r="G506" s="0" t="inlineStr">
        <is>
          <t>WOMENS</t>
        </is>
      </c>
      <c r="H506" s="0" t="inlineStr">
        <is>
          <t>L</t>
        </is>
      </c>
      <c r="I506" s="0">
        <v>29.99</v>
      </c>
      <c r="J506" s="0">
        <v>0</v>
      </c>
    </row>
    <row r="507" spans="1:10" customHeight="0">
      <c r="A507" s="0">
        <f>HYPERLINK("https://dl.dropboxusercontent.com/scl/fi/8es7yt12610r4b6063a6j/amiat.jpg?rlkey=638w9oo4ujq2gbalb1g41cret&amp;dl=0","Click to download Image")</f>
      </c>
      <c r="B507" s="0">
        <f>HYPERLINK("https://dl.dropboxusercontent.com/scl/fi/x9crrec3ana1z697lappq/womens-t-shirt-size-chartsamia.jpg?rlkey=p2v6okw9yr9jguo6s6rordpu1&amp;dl=0","Click to download SizeChart")</f>
      </c>
      <c r="C507" s="0" t="inlineStr">
        <is>
          <t>Amia Women's Crop T-shirt</t>
        </is>
      </c>
      <c r="D507" s="0" t="inlineStr">
        <is>
          <t>'125379</t>
        </is>
      </c>
      <c r="E507" s="0" t="inlineStr">
        <is>
          <t>IOWA AMIA W WE:125379D-XL</t>
        </is>
      </c>
      <c r="F507" s="0" t="inlineStr">
        <is>
          <t>'800125379070</t>
        </is>
      </c>
      <c r="G507" s="0" t="inlineStr">
        <is>
          <t>WOMENS</t>
        </is>
      </c>
      <c r="H507" s="0" t="inlineStr">
        <is>
          <t>XL</t>
        </is>
      </c>
      <c r="I507" s="0">
        <v>29.99</v>
      </c>
      <c r="J507" s="0">
        <v>0</v>
      </c>
    </row>
    <row r="508" spans="1:10" customHeight="0">
      <c r="A508" s="0">
        <f>HYPERLINK("https://dl.dropboxusercontent.com/scl/fi/8es7yt12610r4b6063a6j/amiat.jpg?rlkey=638w9oo4ujq2gbalb1g41cret&amp;dl=0","Click to download Image")</f>
      </c>
      <c r="B508" s="0">
        <f>HYPERLINK("https://dl.dropboxusercontent.com/scl/fi/x9crrec3ana1z697lappq/womens-t-shirt-size-chartsamia.jpg?rlkey=p2v6okw9yr9jguo6s6rordpu1&amp;dl=0","Click to download SizeChart")</f>
      </c>
      <c r="C508" s="0" t="inlineStr">
        <is>
          <t>Amia Women's Crop T-shirt</t>
        </is>
      </c>
      <c r="D508" s="0" t="inlineStr">
        <is>
          <t>'125379</t>
        </is>
      </c>
      <c r="E508" s="0" t="inlineStr">
        <is>
          <t>IOWA AMIA W WE:125379E-2XL</t>
        </is>
      </c>
      <c r="F508" s="0" t="inlineStr">
        <is>
          <t>'800125379087</t>
        </is>
      </c>
      <c r="G508" s="0" t="inlineStr">
        <is>
          <t>WOMENS</t>
        </is>
      </c>
      <c r="H508" s="0" t="inlineStr">
        <is>
          <t>2XL</t>
        </is>
      </c>
      <c r="I508" s="0">
        <v>29.99</v>
      </c>
      <c r="J508" s="0">
        <v>6</v>
      </c>
    </row>
    <row r="509" spans="1:10" customHeight="0">
      <c r="A509" s="0">
        <f>HYPERLINK("https://dl.dropboxusercontent.com/scl/fi/8es7yt12610r4b6063a6j/amiat.jpg?rlkey=638w9oo4ujq2gbalb1g41cret&amp;dl=0","Click to download Image")</f>
      </c>
      <c r="B509" s="0">
        <f>HYPERLINK("https://dl.dropboxusercontent.com/scl/fi/x9crrec3ana1z697lappq/womens-t-shirt-size-chartsamia.jpg?rlkey=p2v6okw9yr9jguo6s6rordpu1&amp;dl=0","Click to download SizeChart")</f>
      </c>
      <c r="C509" s="0" t="inlineStr">
        <is>
          <t>Amia Women's Crop T-shirt</t>
        </is>
      </c>
      <c r="D509" s="0" t="inlineStr">
        <is>
          <t>'125379</t>
        </is>
      </c>
      <c r="E509" s="0" t="inlineStr">
        <is>
          <t>IOWA AMIA W WE:125379F-3XL</t>
        </is>
      </c>
      <c r="F509" s="0" t="inlineStr">
        <is>
          <t>'800125379094</t>
        </is>
      </c>
      <c r="G509" s="0" t="inlineStr">
        <is>
          <t>WOMENS</t>
        </is>
      </c>
      <c r="H509" s="0" t="inlineStr">
        <is>
          <t>3XL</t>
        </is>
      </c>
      <c r="I509" s="0">
        <v>29.99</v>
      </c>
      <c r="J509" s="0">
        <v>5</v>
      </c>
    </row>
    <row r="510" spans="1:10" customHeight="0">
      <c r="A510" s="0">
        <f>HYPERLINK("https://dl.dropboxusercontent.com/scl/fi/8es7yt12610r4b6063a6j/amiat.jpg?rlkey=638w9oo4ujq2gbalb1g41cret&amp;dl=0","Click to download Image")</f>
      </c>
      <c r="B510" s="0">
        <f>HYPERLINK("https://dl.dropboxusercontent.com/scl/fi/x9crrec3ana1z697lappq/womens-t-shirt-size-chartsamia.jpg?rlkey=p2v6okw9yr9jguo6s6rordpu1&amp;dl=0","Click to download SizeChart")</f>
      </c>
      <c r="C510" s="0" t="inlineStr">
        <is>
          <t>Amia Women's Crop T-shirt</t>
        </is>
      </c>
      <c r="D510" s="0" t="inlineStr">
        <is>
          <t>'125379</t>
        </is>
      </c>
      <c r="E510" s="0" t="inlineStr">
        <is>
          <t>IOWA AMIA W WE 12PK:125379Z-12PK</t>
        </is>
      </c>
      <c r="F510" s="0" t="inlineStr">
        <is>
          <t>'800125379995</t>
        </is>
      </c>
      <c r="G510" s="0" t="inlineStr">
        <is>
          <t>WOMENS</t>
        </is>
      </c>
      <c r="H510" s="0" t="inlineStr">
        <is>
          <t>12 PACK</t>
        </is>
      </c>
      <c r="I510" s="0">
        <v>288</v>
      </c>
      <c r="J510" s="0">
        <v>0</v>
      </c>
    </row>
    <row r="511" spans="1:10" customHeight="0">
      <c r="A511" s="0">
        <f>HYPERLINK("https://dl.dropboxusercontent.com/scl/fi/wjk74u9uvuik6i90hd9p1/125378t.jpg?rlkey=5qa81o3k57got6ete45f0nc9s&amp;dl=0","Click to download Image")</f>
      </c>
      <c r="B511" s="0">
        <f>HYPERLINK("https://dl.dropboxusercontent.com/scl/fi/x9crrec3ana1z697lappq/womens-t-shirt-size-chartsamia.jpg?rlkey=p2v6okw9yr9jguo6s6rordpu1&amp;dl=0","Click to download SizeChart")</f>
      </c>
      <c r="C511" s="0" t="inlineStr">
        <is>
          <t>Amia Women's Crop T-shirt</t>
        </is>
      </c>
      <c r="D511" s="0" t="inlineStr">
        <is>
          <t>'125378</t>
        </is>
      </c>
      <c r="E511" s="0" t="inlineStr">
        <is>
          <t>UNI AMIA W WE:125378A-S</t>
        </is>
      </c>
      <c r="F511" s="0" t="inlineStr">
        <is>
          <t>'802125378039</t>
        </is>
      </c>
      <c r="G511" s="0" t="inlineStr">
        <is>
          <t>WOMENS</t>
        </is>
      </c>
      <c r="H511" s="0" t="inlineStr">
        <is>
          <t>S</t>
        </is>
      </c>
      <c r="I511" s="0">
        <v>29.99</v>
      </c>
      <c r="J511" s="0">
        <v>0</v>
      </c>
    </row>
    <row r="512" spans="1:10" customHeight="0">
      <c r="A512" s="0">
        <f>HYPERLINK("https://dl.dropboxusercontent.com/scl/fi/wjk74u9uvuik6i90hd9p1/125378t.jpg?rlkey=5qa81o3k57got6ete45f0nc9s&amp;dl=0","Click to download Image")</f>
      </c>
      <c r="B512" s="0">
        <f>HYPERLINK("https://dl.dropboxusercontent.com/scl/fi/x9crrec3ana1z697lappq/womens-t-shirt-size-chartsamia.jpg?rlkey=p2v6okw9yr9jguo6s6rordpu1&amp;dl=0","Click to download SizeChart")</f>
      </c>
      <c r="C512" s="0" t="inlineStr">
        <is>
          <t>Amia Women's Crop T-shirt</t>
        </is>
      </c>
      <c r="D512" s="0" t="inlineStr">
        <is>
          <t>'125378</t>
        </is>
      </c>
      <c r="E512" s="0" t="inlineStr">
        <is>
          <t>UNI AMIA W WE:125378B-M</t>
        </is>
      </c>
      <c r="F512" s="0" t="inlineStr">
        <is>
          <t>'802125378046</t>
        </is>
      </c>
      <c r="G512" s="0" t="inlineStr">
        <is>
          <t>WOMENS</t>
        </is>
      </c>
      <c r="H512" s="0" t="inlineStr">
        <is>
          <t>M</t>
        </is>
      </c>
      <c r="I512" s="0">
        <v>29.99</v>
      </c>
      <c r="J512" s="0">
        <v>1</v>
      </c>
    </row>
    <row r="513" spans="1:10" customHeight="0">
      <c r="A513" s="0">
        <f>HYPERLINK("https://dl.dropboxusercontent.com/scl/fi/wjk74u9uvuik6i90hd9p1/125378t.jpg?rlkey=5qa81o3k57got6ete45f0nc9s&amp;dl=0","Click to download Image")</f>
      </c>
      <c r="B513" s="0">
        <f>HYPERLINK("https://dl.dropboxusercontent.com/scl/fi/x9crrec3ana1z697lappq/womens-t-shirt-size-chartsamia.jpg?rlkey=p2v6okw9yr9jguo6s6rordpu1&amp;dl=0","Click to download SizeChart")</f>
      </c>
      <c r="C513" s="0" t="inlineStr">
        <is>
          <t>Amia Women's Crop T-shirt</t>
        </is>
      </c>
      <c r="D513" s="0" t="inlineStr">
        <is>
          <t>'125378</t>
        </is>
      </c>
      <c r="E513" s="0" t="inlineStr">
        <is>
          <t>UNI AMIA W WE:125378C-L</t>
        </is>
      </c>
      <c r="F513" s="0" t="inlineStr">
        <is>
          <t>'802125378053</t>
        </is>
      </c>
      <c r="G513" s="0" t="inlineStr">
        <is>
          <t>WOMENS</t>
        </is>
      </c>
      <c r="H513" s="0" t="inlineStr">
        <is>
          <t>L</t>
        </is>
      </c>
      <c r="I513" s="0">
        <v>29.99</v>
      </c>
      <c r="J513" s="0">
        <v>1</v>
      </c>
    </row>
    <row r="514" spans="1:10" customHeight="0">
      <c r="A514" s="0">
        <f>HYPERLINK("https://dl.dropboxusercontent.com/scl/fi/wjk74u9uvuik6i90hd9p1/125378t.jpg?rlkey=5qa81o3k57got6ete45f0nc9s&amp;dl=0","Click to download Image")</f>
      </c>
      <c r="B514" s="0">
        <f>HYPERLINK("https://dl.dropboxusercontent.com/scl/fi/x9crrec3ana1z697lappq/womens-t-shirt-size-chartsamia.jpg?rlkey=p2v6okw9yr9jguo6s6rordpu1&amp;dl=0","Click to download SizeChart")</f>
      </c>
      <c r="C514" s="0" t="inlineStr">
        <is>
          <t>Amia Women's Crop T-shirt</t>
        </is>
      </c>
      <c r="D514" s="0" t="inlineStr">
        <is>
          <t>'125378</t>
        </is>
      </c>
      <c r="E514" s="0" t="inlineStr">
        <is>
          <t>UNI AMIA W WE:125378D-XL</t>
        </is>
      </c>
      <c r="F514" s="0" t="inlineStr">
        <is>
          <t>'802125378060</t>
        </is>
      </c>
      <c r="G514" s="0" t="inlineStr">
        <is>
          <t>WOMENS</t>
        </is>
      </c>
      <c r="H514" s="0" t="inlineStr">
        <is>
          <t>XL</t>
        </is>
      </c>
      <c r="I514" s="0">
        <v>29.99</v>
      </c>
      <c r="J514" s="0">
        <v>1</v>
      </c>
    </row>
    <row r="515" spans="1:10" customHeight="0">
      <c r="A515" s="0">
        <f>HYPERLINK("https://dl.dropboxusercontent.com/scl/fi/wjk74u9uvuik6i90hd9p1/125378t.jpg?rlkey=5qa81o3k57got6ete45f0nc9s&amp;dl=0","Click to download Image")</f>
      </c>
      <c r="B515" s="0">
        <f>HYPERLINK("https://dl.dropboxusercontent.com/scl/fi/x9crrec3ana1z697lappq/womens-t-shirt-size-chartsamia.jpg?rlkey=p2v6okw9yr9jguo6s6rordpu1&amp;dl=0","Click to download SizeChart")</f>
      </c>
      <c r="C515" s="0" t="inlineStr">
        <is>
          <t>Amia Women's Crop T-shirt</t>
        </is>
      </c>
      <c r="D515" s="0" t="inlineStr">
        <is>
          <t>'125378</t>
        </is>
      </c>
      <c r="E515" s="0" t="inlineStr">
        <is>
          <t>UNI AMIA W WE:125378E-2XL</t>
        </is>
      </c>
      <c r="F515" s="0" t="inlineStr">
        <is>
          <t>'802125378077</t>
        </is>
      </c>
      <c r="G515" s="0" t="inlineStr">
        <is>
          <t>WOMENS</t>
        </is>
      </c>
      <c r="H515" s="0" t="inlineStr">
        <is>
          <t>2XL</t>
        </is>
      </c>
      <c r="I515" s="0">
        <v>29.99</v>
      </c>
      <c r="J515" s="0">
        <v>4</v>
      </c>
    </row>
    <row r="516" spans="1:10" customHeight="0">
      <c r="A516" s="0">
        <f>HYPERLINK("https://dl.dropboxusercontent.com/scl/fi/wjk74u9uvuik6i90hd9p1/125378t.jpg?rlkey=5qa81o3k57got6ete45f0nc9s&amp;dl=0","Click to download Image")</f>
      </c>
      <c r="B516" s="0">
        <f>HYPERLINK("https://dl.dropboxusercontent.com/scl/fi/x9crrec3ana1z697lappq/womens-t-shirt-size-chartsamia.jpg?rlkey=p2v6okw9yr9jguo6s6rordpu1&amp;dl=0","Click to download SizeChart")</f>
      </c>
      <c r="C516" s="0" t="inlineStr">
        <is>
          <t>Amia Women's Crop T-shirt</t>
        </is>
      </c>
      <c r="D516" s="0" t="inlineStr">
        <is>
          <t>'125378</t>
        </is>
      </c>
      <c r="E516" s="0" t="inlineStr">
        <is>
          <t>UNI AMIA W WE:125378F-3XL</t>
        </is>
      </c>
      <c r="F516" s="0" t="inlineStr">
        <is>
          <t>'802125378084</t>
        </is>
      </c>
      <c r="G516" s="0" t="inlineStr">
        <is>
          <t>WOMENS</t>
        </is>
      </c>
      <c r="H516" s="0" t="inlineStr">
        <is>
          <t>3XL</t>
        </is>
      </c>
      <c r="I516" s="0">
        <v>29.99</v>
      </c>
      <c r="J516" s="0">
        <v>2</v>
      </c>
    </row>
    <row r="517" spans="1:10" customHeight="0">
      <c r="A517" s="0">
        <f>HYPERLINK("https://dl.dropboxusercontent.com/scl/fi/wjk74u9uvuik6i90hd9p1/125378t.jpg?rlkey=5qa81o3k57got6ete45f0nc9s&amp;dl=0","Click to download Image")</f>
      </c>
      <c r="B517" s="0">
        <f>HYPERLINK("https://dl.dropboxusercontent.com/scl/fi/x9crrec3ana1z697lappq/womens-t-shirt-size-chartsamia.jpg?rlkey=p2v6okw9yr9jguo6s6rordpu1&amp;dl=0","Click to download SizeChart")</f>
      </c>
      <c r="C517" s="0" t="inlineStr">
        <is>
          <t>Amia Women's Crop T-shirt</t>
        </is>
      </c>
      <c r="D517" s="0" t="inlineStr">
        <is>
          <t>'125378</t>
        </is>
      </c>
      <c r="E517" s="0" t="inlineStr">
        <is>
          <t>UNI AMIA W WE 12PK:125378Z-12PK</t>
        </is>
      </c>
      <c r="F517" s="0" t="inlineStr">
        <is>
          <t>'802125378992</t>
        </is>
      </c>
      <c r="G517" s="0" t="inlineStr">
        <is>
          <t>WOMENS</t>
        </is>
      </c>
      <c r="H517" s="0" t="inlineStr">
        <is>
          <t>12 PACK</t>
        </is>
      </c>
      <c r="I517" s="0">
        <v>288</v>
      </c>
      <c r="J517" s="0">
        <v>0</v>
      </c>
    </row>
    <row r="518" spans="1:10" customHeight="0">
      <c r="A518" s="0">
        <f>HYPERLINK("https://dl.dropboxusercontent.com/scl/fi/v0p7vvbvixaqamlfnjdp7/123478-f.jpg?rlkey=61krgz8co22cas52ouxs62kh5&amp;dl=0","Click to download Image")</f>
      </c>
      <c r="B518" s="0">
        <f>HYPERLINK("https://dl.dropboxusercontent.com/scl/fi/rg5bbjcnr4dtninqk12s9/mens-t-shirt-size-chartsapollo-lander.jpg?rlkey=imq6gteqepb8mkp3b2qaflcty&amp;dl=0","Click to download SizeChart")</f>
      </c>
      <c r="C518" s="0" t="inlineStr">
        <is>
          <t>Apollo Mens Performance T-shirt</t>
        </is>
      </c>
      <c r="D518" s="0" t="inlineStr">
        <is>
          <t>'123478</t>
        </is>
      </c>
      <c r="E518" s="0" t="inlineStr">
        <is>
          <t>NDSU APOLLO M GN:123478A-S</t>
        </is>
      </c>
      <c r="F518" s="0" t="inlineStr">
        <is>
          <t>'813123478041</t>
        </is>
      </c>
      <c r="G518" s="0" t="inlineStr">
        <is>
          <t>MENS</t>
        </is>
      </c>
      <c r="H518" s="0" t="inlineStr">
        <is>
          <t>S</t>
        </is>
      </c>
      <c r="I518" s="0">
        <v>24.99</v>
      </c>
      <c r="J518" s="0">
        <v>2</v>
      </c>
    </row>
    <row r="519" spans="1:10" customHeight="0">
      <c r="A519" s="0">
        <f>HYPERLINK("https://dl.dropboxusercontent.com/scl/fi/v0p7vvbvixaqamlfnjdp7/123478-f.jpg?rlkey=61krgz8co22cas52ouxs62kh5&amp;dl=0","Click to download Image")</f>
      </c>
      <c r="B519" s="0">
        <f>HYPERLINK("https://dl.dropboxusercontent.com/scl/fi/rg5bbjcnr4dtninqk12s9/mens-t-shirt-size-chartsapollo-lander.jpg?rlkey=imq6gteqepb8mkp3b2qaflcty&amp;dl=0","Click to download SizeChart")</f>
      </c>
      <c r="C519" s="0" t="inlineStr">
        <is>
          <t>Apollo Mens Performance T-shirt</t>
        </is>
      </c>
      <c r="D519" s="0" t="inlineStr">
        <is>
          <t>'123478</t>
        </is>
      </c>
      <c r="E519" s="0" t="inlineStr">
        <is>
          <t>NDSU APOLLO M GN:123478B-M</t>
        </is>
      </c>
      <c r="F519" s="0" t="inlineStr">
        <is>
          <t>'813123478058</t>
        </is>
      </c>
      <c r="G519" s="0" t="inlineStr">
        <is>
          <t>MENS</t>
        </is>
      </c>
      <c r="H519" s="0" t="inlineStr">
        <is>
          <t>M</t>
        </is>
      </c>
      <c r="I519" s="0">
        <v>24.99</v>
      </c>
      <c r="J519" s="0">
        <v>6</v>
      </c>
    </row>
    <row r="520" spans="1:10" customHeight="0">
      <c r="A520" s="0">
        <f>HYPERLINK("https://dl.dropboxusercontent.com/scl/fi/v0p7vvbvixaqamlfnjdp7/123478-f.jpg?rlkey=61krgz8co22cas52ouxs62kh5&amp;dl=0","Click to download Image")</f>
      </c>
      <c r="B520" s="0">
        <f>HYPERLINK("https://dl.dropboxusercontent.com/scl/fi/rg5bbjcnr4dtninqk12s9/mens-t-shirt-size-chartsapollo-lander.jpg?rlkey=imq6gteqepb8mkp3b2qaflcty&amp;dl=0","Click to download SizeChart")</f>
      </c>
      <c r="C520" s="0" t="inlineStr">
        <is>
          <t>Apollo Mens Performance T-shirt</t>
        </is>
      </c>
      <c r="D520" s="0" t="inlineStr">
        <is>
          <t>'123478</t>
        </is>
      </c>
      <c r="E520" s="0" t="inlineStr">
        <is>
          <t>NDSU APOLLO M GN:123478C-L</t>
        </is>
      </c>
      <c r="F520" s="0" t="inlineStr">
        <is>
          <t>'813123478065</t>
        </is>
      </c>
      <c r="G520" s="0" t="inlineStr">
        <is>
          <t>MENS</t>
        </is>
      </c>
      <c r="H520" s="0" t="inlineStr">
        <is>
          <t>L</t>
        </is>
      </c>
      <c r="I520" s="0">
        <v>24.99</v>
      </c>
      <c r="J520" s="0">
        <v>8</v>
      </c>
    </row>
    <row r="521" spans="1:10" customHeight="0">
      <c r="A521" s="0">
        <f>HYPERLINK("https://dl.dropboxusercontent.com/scl/fi/v0p7vvbvixaqamlfnjdp7/123478-f.jpg?rlkey=61krgz8co22cas52ouxs62kh5&amp;dl=0","Click to download Image")</f>
      </c>
      <c r="B521" s="0">
        <f>HYPERLINK("https://dl.dropboxusercontent.com/scl/fi/rg5bbjcnr4dtninqk12s9/mens-t-shirt-size-chartsapollo-lander.jpg?rlkey=imq6gteqepb8mkp3b2qaflcty&amp;dl=0","Click to download SizeChart")</f>
      </c>
      <c r="C521" s="0" t="inlineStr">
        <is>
          <t>Apollo Mens Performance T-shirt</t>
        </is>
      </c>
      <c r="D521" s="0" t="inlineStr">
        <is>
          <t>'123478</t>
        </is>
      </c>
      <c r="E521" s="0" t="inlineStr">
        <is>
          <t>NDSU APOLLO M GN:123478D-XL</t>
        </is>
      </c>
      <c r="F521" s="0" t="inlineStr">
        <is>
          <t>'813123478072</t>
        </is>
      </c>
      <c r="G521" s="0" t="inlineStr">
        <is>
          <t>MENS</t>
        </is>
      </c>
      <c r="H521" s="0" t="inlineStr">
        <is>
          <t>XL</t>
        </is>
      </c>
      <c r="I521" s="0">
        <v>24.99</v>
      </c>
      <c r="J521" s="0">
        <v>9</v>
      </c>
    </row>
    <row r="522" spans="1:10" customHeight="0">
      <c r="A522" s="0">
        <f>HYPERLINK("https://dl.dropboxusercontent.com/scl/fi/v0p7vvbvixaqamlfnjdp7/123478-f.jpg?rlkey=61krgz8co22cas52ouxs62kh5&amp;dl=0","Click to download Image")</f>
      </c>
      <c r="B522" s="0">
        <f>HYPERLINK("https://dl.dropboxusercontent.com/scl/fi/rg5bbjcnr4dtninqk12s9/mens-t-shirt-size-chartsapollo-lander.jpg?rlkey=imq6gteqepb8mkp3b2qaflcty&amp;dl=0","Click to download SizeChart")</f>
      </c>
      <c r="C522" s="0" t="inlineStr">
        <is>
          <t>Apollo Mens Performance T-shirt</t>
        </is>
      </c>
      <c r="D522" s="0" t="inlineStr">
        <is>
          <t>'123478</t>
        </is>
      </c>
      <c r="E522" s="0" t="inlineStr">
        <is>
          <t>NDSU APOLLO M GN:123478E-2XL</t>
        </is>
      </c>
      <c r="F522" s="0" t="inlineStr">
        <is>
          <t>'813123478089</t>
        </is>
      </c>
      <c r="G522" s="0" t="inlineStr">
        <is>
          <t>MENS</t>
        </is>
      </c>
      <c r="H522" s="0" t="inlineStr">
        <is>
          <t>2XL</t>
        </is>
      </c>
      <c r="I522" s="0">
        <v>24.99</v>
      </c>
      <c r="J522" s="0">
        <v>5</v>
      </c>
    </row>
    <row r="523" spans="1:10" customHeight="0">
      <c r="A523" s="0">
        <f>HYPERLINK("https://dl.dropboxusercontent.com/scl/fi/v0p7vvbvixaqamlfnjdp7/123478-f.jpg?rlkey=61krgz8co22cas52ouxs62kh5&amp;dl=0","Click to download Image")</f>
      </c>
      <c r="B523" s="0">
        <f>HYPERLINK("https://dl.dropboxusercontent.com/scl/fi/rg5bbjcnr4dtninqk12s9/mens-t-shirt-size-chartsapollo-lander.jpg?rlkey=imq6gteqepb8mkp3b2qaflcty&amp;dl=0","Click to download SizeChart")</f>
      </c>
      <c r="C523" s="0" t="inlineStr">
        <is>
          <t>Apollo Mens Performance T-shirt</t>
        </is>
      </c>
      <c r="D523" s="0" t="inlineStr">
        <is>
          <t>'123478</t>
        </is>
      </c>
      <c r="E523" s="0" t="inlineStr">
        <is>
          <t>NDSU APOLLO M GN:123478F-3XL</t>
        </is>
      </c>
      <c r="F523" s="0" t="inlineStr">
        <is>
          <t>'813123478096</t>
        </is>
      </c>
      <c r="G523" s="0" t="inlineStr">
        <is>
          <t>MENS</t>
        </is>
      </c>
      <c r="H523" s="0" t="inlineStr">
        <is>
          <t>3XL</t>
        </is>
      </c>
      <c r="I523" s="0">
        <v>24.99</v>
      </c>
      <c r="J523" s="0">
        <v>2</v>
      </c>
    </row>
    <row r="524" spans="1:10" customHeight="0">
      <c r="A524" s="0">
        <f>HYPERLINK("https://dl.dropboxusercontent.com/scl/fi/v0p7vvbvixaqamlfnjdp7/123478-f.jpg?rlkey=61krgz8co22cas52ouxs62kh5&amp;dl=0","Click to download Image")</f>
      </c>
      <c r="B524" s="0">
        <f>HYPERLINK("https://dl.dropboxusercontent.com/scl/fi/rg5bbjcnr4dtninqk12s9/mens-t-shirt-size-chartsapollo-lander.jpg?rlkey=imq6gteqepb8mkp3b2qaflcty&amp;dl=0","Click to download SizeChart")</f>
      </c>
      <c r="C524" s="0" t="inlineStr">
        <is>
          <t>Apollo Mens Performance T-shirt</t>
        </is>
      </c>
      <c r="D524" s="0" t="inlineStr">
        <is>
          <t>'123478</t>
        </is>
      </c>
      <c r="E524" s="0" t="inlineStr">
        <is>
          <t>NDSU APOLLO M GN 12PK:123478Z-12PK</t>
        </is>
      </c>
      <c r="F524" s="0" t="inlineStr">
        <is>
          <t>'813123478997</t>
        </is>
      </c>
      <c r="G524" s="0" t="inlineStr">
        <is>
          <t>MENS</t>
        </is>
      </c>
      <c r="H524" s="0" t="inlineStr">
        <is>
          <t>12 PACK</t>
        </is>
      </c>
      <c r="I524" s="0">
        <v>246</v>
      </c>
      <c r="J524" s="0">
        <v>2</v>
      </c>
    </row>
    <row r="525" spans="1:10" customHeight="0">
      <c r="A525" s="0">
        <f>HYPERLINK("https://dl.dropboxusercontent.com/scl/fi/vvwriv0nx3wjejedwn1as/123877-f.jpg?rlkey=xsuptxovmcqpneff4jt4vu1ls&amp;dl=0","Click to download Image")</f>
      </c>
      <c r="B525" s="0">
        <f>HYPERLINK("https://dl.dropboxusercontent.com/scl/fi/rg5bbjcnr4dtninqk12s9/mens-t-shirt-size-chartsapollo-lander.jpg?rlkey=imq6gteqepb8mkp3b2qaflcty&amp;dl=0","Click to download SizeChart")</f>
      </c>
      <c r="C525" s="0" t="inlineStr">
        <is>
          <t>Apollo Mens Performance T-shirt</t>
        </is>
      </c>
      <c r="D525" s="0" t="inlineStr">
        <is>
          <t>'123877</t>
        </is>
      </c>
      <c r="E525" s="0" t="inlineStr">
        <is>
          <t>UNO APOLLO M BK:123877A-S</t>
        </is>
      </c>
      <c r="F525" s="0" t="inlineStr">
        <is>
          <t>'809123877045</t>
        </is>
      </c>
      <c r="G525" s="0" t="inlineStr">
        <is>
          <t>MENS</t>
        </is>
      </c>
      <c r="H525" s="0" t="inlineStr">
        <is>
          <t>S</t>
        </is>
      </c>
      <c r="I525" s="0">
        <v>24.99</v>
      </c>
      <c r="J525" s="0">
        <v>1</v>
      </c>
    </row>
    <row r="526" spans="1:10" customHeight="0">
      <c r="A526" s="0">
        <f>HYPERLINK("https://dl.dropboxusercontent.com/scl/fi/vvwriv0nx3wjejedwn1as/123877-f.jpg?rlkey=xsuptxovmcqpneff4jt4vu1ls&amp;dl=0","Click to download Image")</f>
      </c>
      <c r="B526" s="0">
        <f>HYPERLINK("https://dl.dropboxusercontent.com/scl/fi/rg5bbjcnr4dtninqk12s9/mens-t-shirt-size-chartsapollo-lander.jpg?rlkey=imq6gteqepb8mkp3b2qaflcty&amp;dl=0","Click to download SizeChart")</f>
      </c>
      <c r="C526" s="0" t="inlineStr">
        <is>
          <t>Apollo Mens Performance T-shirt</t>
        </is>
      </c>
      <c r="D526" s="0" t="inlineStr">
        <is>
          <t>'123877</t>
        </is>
      </c>
      <c r="E526" s="0" t="inlineStr">
        <is>
          <t>UNO APOLLO M BK:123877B-M</t>
        </is>
      </c>
      <c r="F526" s="0" t="inlineStr">
        <is>
          <t>'809123877052</t>
        </is>
      </c>
      <c r="G526" s="0" t="inlineStr">
        <is>
          <t>MENS</t>
        </is>
      </c>
      <c r="H526" s="0" t="inlineStr">
        <is>
          <t>M</t>
        </is>
      </c>
      <c r="I526" s="0">
        <v>24.99</v>
      </c>
      <c r="J526" s="0">
        <v>0</v>
      </c>
    </row>
    <row r="527" spans="1:10" customHeight="0">
      <c r="A527" s="0">
        <f>HYPERLINK("https://dl.dropboxusercontent.com/scl/fi/vvwriv0nx3wjejedwn1as/123877-f.jpg?rlkey=xsuptxovmcqpneff4jt4vu1ls&amp;dl=0","Click to download Image")</f>
      </c>
      <c r="B527" s="0">
        <f>HYPERLINK("https://dl.dropboxusercontent.com/scl/fi/rg5bbjcnr4dtninqk12s9/mens-t-shirt-size-chartsapollo-lander.jpg?rlkey=imq6gteqepb8mkp3b2qaflcty&amp;dl=0","Click to download SizeChart")</f>
      </c>
      <c r="C527" s="0" t="inlineStr">
        <is>
          <t>Apollo Mens Performance T-shirt</t>
        </is>
      </c>
      <c r="D527" s="0" t="inlineStr">
        <is>
          <t>'123877</t>
        </is>
      </c>
      <c r="E527" s="0" t="inlineStr">
        <is>
          <t>UNO APOLLO M BK:123877C-L</t>
        </is>
      </c>
      <c r="F527" s="0" t="inlineStr">
        <is>
          <t>'809123877069</t>
        </is>
      </c>
      <c r="G527" s="0" t="inlineStr">
        <is>
          <t>MENS</t>
        </is>
      </c>
      <c r="H527" s="0" t="inlineStr">
        <is>
          <t>L</t>
        </is>
      </c>
      <c r="I527" s="0">
        <v>24.99</v>
      </c>
      <c r="J527" s="0">
        <v>1</v>
      </c>
    </row>
    <row r="528" spans="1:10" customHeight="0">
      <c r="A528" s="0">
        <f>HYPERLINK("https://dl.dropboxusercontent.com/scl/fi/vvwriv0nx3wjejedwn1as/123877-f.jpg?rlkey=xsuptxovmcqpneff4jt4vu1ls&amp;dl=0","Click to download Image")</f>
      </c>
      <c r="B528" s="0">
        <f>HYPERLINK("https://dl.dropboxusercontent.com/scl/fi/rg5bbjcnr4dtninqk12s9/mens-t-shirt-size-chartsapollo-lander.jpg?rlkey=imq6gteqepb8mkp3b2qaflcty&amp;dl=0","Click to download SizeChart")</f>
      </c>
      <c r="C528" s="0" t="inlineStr">
        <is>
          <t>Apollo Mens Performance T-shirt</t>
        </is>
      </c>
      <c r="D528" s="0" t="inlineStr">
        <is>
          <t>'123877</t>
        </is>
      </c>
      <c r="E528" s="0" t="inlineStr">
        <is>
          <t>UNO APOLLO M BK:123877D-XL</t>
        </is>
      </c>
      <c r="F528" s="0" t="inlineStr">
        <is>
          <t>'809123877076</t>
        </is>
      </c>
      <c r="G528" s="0" t="inlineStr">
        <is>
          <t>MENS</t>
        </is>
      </c>
      <c r="H528" s="0" t="inlineStr">
        <is>
          <t>XL</t>
        </is>
      </c>
      <c r="I528" s="0">
        <v>24.99</v>
      </c>
      <c r="J528" s="0">
        <v>2</v>
      </c>
    </row>
    <row r="529" spans="1:10" customHeight="0">
      <c r="A529" s="0">
        <f>HYPERLINK("https://dl.dropboxusercontent.com/scl/fi/vvwriv0nx3wjejedwn1as/123877-f.jpg?rlkey=xsuptxovmcqpneff4jt4vu1ls&amp;dl=0","Click to download Image")</f>
      </c>
      <c r="B529" s="0">
        <f>HYPERLINK("https://dl.dropboxusercontent.com/scl/fi/rg5bbjcnr4dtninqk12s9/mens-t-shirt-size-chartsapollo-lander.jpg?rlkey=imq6gteqepb8mkp3b2qaflcty&amp;dl=0","Click to download SizeChart")</f>
      </c>
      <c r="C529" s="0" t="inlineStr">
        <is>
          <t>Apollo Mens Performance T-shirt</t>
        </is>
      </c>
      <c r="D529" s="0" t="inlineStr">
        <is>
          <t>'123877</t>
        </is>
      </c>
      <c r="E529" s="0" t="inlineStr">
        <is>
          <t>UNO APOLLO M BK:123877E-2XL</t>
        </is>
      </c>
      <c r="F529" s="0" t="inlineStr">
        <is>
          <t>'809123877083</t>
        </is>
      </c>
      <c r="G529" s="0" t="inlineStr">
        <is>
          <t>MENS</t>
        </is>
      </c>
      <c r="H529" s="0" t="inlineStr">
        <is>
          <t>2XL</t>
        </is>
      </c>
      <c r="I529" s="0">
        <v>24.99</v>
      </c>
      <c r="J529" s="0">
        <v>5</v>
      </c>
    </row>
    <row r="530" spans="1:10" customHeight="0">
      <c r="A530" s="0">
        <f>HYPERLINK("https://dl.dropboxusercontent.com/scl/fi/vvwriv0nx3wjejedwn1as/123877-f.jpg?rlkey=xsuptxovmcqpneff4jt4vu1ls&amp;dl=0","Click to download Image")</f>
      </c>
      <c r="B530" s="0">
        <f>HYPERLINK("https://dl.dropboxusercontent.com/scl/fi/rg5bbjcnr4dtninqk12s9/mens-t-shirt-size-chartsapollo-lander.jpg?rlkey=imq6gteqepb8mkp3b2qaflcty&amp;dl=0","Click to download SizeChart")</f>
      </c>
      <c r="C530" s="0" t="inlineStr">
        <is>
          <t>Apollo Mens Performance T-shirt</t>
        </is>
      </c>
      <c r="D530" s="0" t="inlineStr">
        <is>
          <t>'123877</t>
        </is>
      </c>
      <c r="E530" s="0" t="inlineStr">
        <is>
          <t>UNO APOLLO M BK:123877F-3XL</t>
        </is>
      </c>
      <c r="F530" s="0" t="inlineStr">
        <is>
          <t>'809123877090</t>
        </is>
      </c>
      <c r="G530" s="0" t="inlineStr">
        <is>
          <t>MENS</t>
        </is>
      </c>
      <c r="H530" s="0" t="inlineStr">
        <is>
          <t>3XL</t>
        </is>
      </c>
      <c r="I530" s="0">
        <v>24.99</v>
      </c>
      <c r="J530" s="0">
        <v>4</v>
      </c>
    </row>
    <row r="531" spans="1:10" customHeight="0">
      <c r="A531" s="0">
        <f>HYPERLINK("https://dl.dropboxusercontent.com/scl/fi/vvwriv0nx3wjejedwn1as/123877-f.jpg?rlkey=xsuptxovmcqpneff4jt4vu1ls&amp;dl=0","Click to download Image")</f>
      </c>
      <c r="B531" s="0">
        <f>HYPERLINK("https://dl.dropboxusercontent.com/scl/fi/rg5bbjcnr4dtninqk12s9/mens-t-shirt-size-chartsapollo-lander.jpg?rlkey=imq6gteqepb8mkp3b2qaflcty&amp;dl=0","Click to download SizeChart")</f>
      </c>
      <c r="C531" s="0" t="inlineStr">
        <is>
          <t>Apollo Mens Performance T-shirt</t>
        </is>
      </c>
      <c r="D531" s="0" t="inlineStr">
        <is>
          <t>'123877</t>
        </is>
      </c>
      <c r="E531" s="0" t="inlineStr">
        <is>
          <t>UNO APOLLO M BK 12PK:123877Z-12PK</t>
        </is>
      </c>
      <c r="F531" s="0" t="inlineStr">
        <is>
          <t>'809123877991</t>
        </is>
      </c>
      <c r="G531" s="0" t="inlineStr">
        <is>
          <t>MENS</t>
        </is>
      </c>
      <c r="H531" s="0" t="inlineStr">
        <is>
          <t>12 PACK</t>
        </is>
      </c>
      <c r="I531" s="0">
        <v>246</v>
      </c>
      <c r="J531" s="0">
        <v>0</v>
      </c>
    </row>
    <row r="532" spans="1:10" customHeight="0">
      <c r="A532" s="0">
        <f>HYPERLINK("https://dl.dropboxusercontent.com/scl/fi/sponzsifq1d8rmn7vk8wa/123885-f.jpg?rlkey=9tif6gma8q1hckpwlouomjs71&amp;dl=0","Click to download Image")</f>
      </c>
      <c r="B532" s="0">
        <f>HYPERLINK("https://dl.dropboxusercontent.com/scl/fi/rg5bbjcnr4dtninqk12s9/mens-t-shirt-size-chartsapollo-lander.jpg?rlkey=imq6gteqepb8mkp3b2qaflcty&amp;dl=0","Click to download SizeChart")</f>
      </c>
      <c r="C532" s="0" t="inlineStr">
        <is>
          <t>Apollo Mens Performance T-shirt</t>
        </is>
      </c>
      <c r="D532" s="0" t="inlineStr">
        <is>
          <t>'123885</t>
        </is>
      </c>
      <c r="E532" s="0" t="inlineStr">
        <is>
          <t>CU APOLLO M RL:123885A-S</t>
        </is>
      </c>
      <c r="F532" s="0" t="inlineStr">
        <is>
          <t>'810123885046</t>
        </is>
      </c>
      <c r="G532" s="0" t="inlineStr">
        <is>
          <t>MENS</t>
        </is>
      </c>
      <c r="H532" s="0" t="inlineStr">
        <is>
          <t>S</t>
        </is>
      </c>
      <c r="I532" s="0">
        <v>24.99</v>
      </c>
      <c r="J532" s="0">
        <v>0</v>
      </c>
    </row>
    <row r="533" spans="1:10" customHeight="0">
      <c r="A533" s="0">
        <f>HYPERLINK("https://dl.dropboxusercontent.com/scl/fi/sponzsifq1d8rmn7vk8wa/123885-f.jpg?rlkey=9tif6gma8q1hckpwlouomjs71&amp;dl=0","Click to download Image")</f>
      </c>
      <c r="B533" s="0">
        <f>HYPERLINK("https://dl.dropboxusercontent.com/scl/fi/rg5bbjcnr4dtninqk12s9/mens-t-shirt-size-chartsapollo-lander.jpg?rlkey=imq6gteqepb8mkp3b2qaflcty&amp;dl=0","Click to download SizeChart")</f>
      </c>
      <c r="C533" s="0" t="inlineStr">
        <is>
          <t>Apollo Mens Performance T-shirt</t>
        </is>
      </c>
      <c r="D533" s="0" t="inlineStr">
        <is>
          <t>'123885</t>
        </is>
      </c>
      <c r="E533" s="0" t="inlineStr">
        <is>
          <t>CU APOLLO M RL:123885B-M</t>
        </is>
      </c>
      <c r="F533" s="0" t="inlineStr">
        <is>
          <t>'810123885053</t>
        </is>
      </c>
      <c r="G533" s="0" t="inlineStr">
        <is>
          <t>MENS</t>
        </is>
      </c>
      <c r="H533" s="0" t="inlineStr">
        <is>
          <t>M</t>
        </is>
      </c>
      <c r="I533" s="0">
        <v>24.99</v>
      </c>
      <c r="J533" s="0">
        <v>0</v>
      </c>
    </row>
    <row r="534" spans="1:10" customHeight="0">
      <c r="A534" s="0">
        <f>HYPERLINK("https://dl.dropboxusercontent.com/scl/fi/sponzsifq1d8rmn7vk8wa/123885-f.jpg?rlkey=9tif6gma8q1hckpwlouomjs71&amp;dl=0","Click to download Image")</f>
      </c>
      <c r="B534" s="0">
        <f>HYPERLINK("https://dl.dropboxusercontent.com/scl/fi/rg5bbjcnr4dtninqk12s9/mens-t-shirt-size-chartsapollo-lander.jpg?rlkey=imq6gteqepb8mkp3b2qaflcty&amp;dl=0","Click to download SizeChart")</f>
      </c>
      <c r="C534" s="0" t="inlineStr">
        <is>
          <t>Apollo Mens Performance T-shirt</t>
        </is>
      </c>
      <c r="D534" s="0" t="inlineStr">
        <is>
          <t>'123885</t>
        </is>
      </c>
      <c r="E534" s="0" t="inlineStr">
        <is>
          <t>CU APOLLO M RL:123885C-L</t>
        </is>
      </c>
      <c r="F534" s="0" t="inlineStr">
        <is>
          <t>'810123885060</t>
        </is>
      </c>
      <c r="G534" s="0" t="inlineStr">
        <is>
          <t>MENS</t>
        </is>
      </c>
      <c r="H534" s="0" t="inlineStr">
        <is>
          <t>L</t>
        </is>
      </c>
      <c r="I534" s="0">
        <v>24.99</v>
      </c>
      <c r="J534" s="0">
        <v>0</v>
      </c>
    </row>
    <row r="535" spans="1:10" customHeight="0">
      <c r="A535" s="0">
        <f>HYPERLINK("https://dl.dropboxusercontent.com/scl/fi/sponzsifq1d8rmn7vk8wa/123885-f.jpg?rlkey=9tif6gma8q1hckpwlouomjs71&amp;dl=0","Click to download Image")</f>
      </c>
      <c r="B535" s="0">
        <f>HYPERLINK("https://dl.dropboxusercontent.com/scl/fi/rg5bbjcnr4dtninqk12s9/mens-t-shirt-size-chartsapollo-lander.jpg?rlkey=imq6gteqepb8mkp3b2qaflcty&amp;dl=0","Click to download SizeChart")</f>
      </c>
      <c r="C535" s="0" t="inlineStr">
        <is>
          <t>Apollo Mens Performance T-shirt</t>
        </is>
      </c>
      <c r="D535" s="0" t="inlineStr">
        <is>
          <t>'123885</t>
        </is>
      </c>
      <c r="E535" s="0" t="inlineStr">
        <is>
          <t>CU APOLLO M RL:123885D-XL</t>
        </is>
      </c>
      <c r="F535" s="0" t="inlineStr">
        <is>
          <t>'810123885077</t>
        </is>
      </c>
      <c r="G535" s="0" t="inlineStr">
        <is>
          <t>MENS</t>
        </is>
      </c>
      <c r="H535" s="0" t="inlineStr">
        <is>
          <t>XL</t>
        </is>
      </c>
      <c r="I535" s="0">
        <v>24.99</v>
      </c>
      <c r="J535" s="0">
        <v>0</v>
      </c>
    </row>
    <row r="536" spans="1:10" customHeight="0">
      <c r="A536" s="0">
        <f>HYPERLINK("https://dl.dropboxusercontent.com/scl/fi/sponzsifq1d8rmn7vk8wa/123885-f.jpg?rlkey=9tif6gma8q1hckpwlouomjs71&amp;dl=0","Click to download Image")</f>
      </c>
      <c r="B536" s="0">
        <f>HYPERLINK("https://dl.dropboxusercontent.com/scl/fi/rg5bbjcnr4dtninqk12s9/mens-t-shirt-size-chartsapollo-lander.jpg?rlkey=imq6gteqepb8mkp3b2qaflcty&amp;dl=0","Click to download SizeChart")</f>
      </c>
      <c r="C536" s="0" t="inlineStr">
        <is>
          <t>Apollo Mens Performance T-shirt</t>
        </is>
      </c>
      <c r="D536" s="0" t="inlineStr">
        <is>
          <t>'123885</t>
        </is>
      </c>
      <c r="E536" s="0" t="inlineStr">
        <is>
          <t>CU APOLLO M RL:123885E-2XL</t>
        </is>
      </c>
      <c r="F536" s="0" t="inlineStr">
        <is>
          <t>'810123885084</t>
        </is>
      </c>
      <c r="G536" s="0" t="inlineStr">
        <is>
          <t>MENS</t>
        </is>
      </c>
      <c r="H536" s="0" t="inlineStr">
        <is>
          <t>2XL</t>
        </is>
      </c>
      <c r="I536" s="0">
        <v>24.99</v>
      </c>
      <c r="J536" s="0">
        <v>5</v>
      </c>
    </row>
    <row r="537" spans="1:10" customHeight="0">
      <c r="A537" s="0">
        <f>HYPERLINK("https://dl.dropboxusercontent.com/scl/fi/sponzsifq1d8rmn7vk8wa/123885-f.jpg?rlkey=9tif6gma8q1hckpwlouomjs71&amp;dl=0","Click to download Image")</f>
      </c>
      <c r="B537" s="0">
        <f>HYPERLINK("https://dl.dropboxusercontent.com/scl/fi/rg5bbjcnr4dtninqk12s9/mens-t-shirt-size-chartsapollo-lander.jpg?rlkey=imq6gteqepb8mkp3b2qaflcty&amp;dl=0","Click to download SizeChart")</f>
      </c>
      <c r="C537" s="0" t="inlineStr">
        <is>
          <t>Apollo Mens Performance T-shirt</t>
        </is>
      </c>
      <c r="D537" s="0" t="inlineStr">
        <is>
          <t>'123885</t>
        </is>
      </c>
      <c r="E537" s="0" t="inlineStr">
        <is>
          <t>CU APOLLO M RL:123885F-3XL</t>
        </is>
      </c>
      <c r="F537" s="0" t="inlineStr">
        <is>
          <t>'810123885091</t>
        </is>
      </c>
      <c r="G537" s="0" t="inlineStr">
        <is>
          <t>MENS</t>
        </is>
      </c>
      <c r="H537" s="0" t="inlineStr">
        <is>
          <t>3XL</t>
        </is>
      </c>
      <c r="I537" s="0">
        <v>24.99</v>
      </c>
      <c r="J537" s="0">
        <v>3</v>
      </c>
    </row>
    <row r="538" spans="1:10" customHeight="0">
      <c r="A538" s="0">
        <f>HYPERLINK("https://dl.dropboxusercontent.com/scl/fi/sponzsifq1d8rmn7vk8wa/123885-f.jpg?rlkey=9tif6gma8q1hckpwlouomjs71&amp;dl=0","Click to download Image")</f>
      </c>
      <c r="B538" s="0">
        <f>HYPERLINK("https://dl.dropboxusercontent.com/scl/fi/rg5bbjcnr4dtninqk12s9/mens-t-shirt-size-chartsapollo-lander.jpg?rlkey=imq6gteqepb8mkp3b2qaflcty&amp;dl=0","Click to download SizeChart")</f>
      </c>
      <c r="C538" s="0" t="inlineStr">
        <is>
          <t>Apollo Mens Performance T-shirt</t>
        </is>
      </c>
      <c r="D538" s="0" t="inlineStr">
        <is>
          <t>'123885</t>
        </is>
      </c>
      <c r="E538" s="0" t="inlineStr">
        <is>
          <t>CU APOLLO M RL 12PK:123885Z-12PK</t>
        </is>
      </c>
      <c r="F538" s="0" t="inlineStr">
        <is>
          <t>'810123885992</t>
        </is>
      </c>
      <c r="G538" s="0" t="inlineStr">
        <is>
          <t>MENS</t>
        </is>
      </c>
      <c r="H538" s="0" t="inlineStr">
        <is>
          <t>12 PACK</t>
        </is>
      </c>
      <c r="I538" s="0">
        <v>246</v>
      </c>
      <c r="J538" s="0">
        <v>0</v>
      </c>
    </row>
    <row r="539" spans="1:10" customHeight="0">
      <c r="A539" s="0">
        <f>HYPERLINK("https://dl.dropboxusercontent.com/scl/fi/n3zwgc1xf2z9u9lj1sltl/124055-f.jpg?rlkey=tph7sk3yilm4g9j04fgakqoub&amp;dl=0","Click to download Image")</f>
      </c>
      <c r="B539" s="0">
        <f>HYPERLINK("https://dl.dropboxusercontent.com/scl/fi/rg5bbjcnr4dtninqk12s9/mens-t-shirt-size-chartsapollo-lander.jpg?rlkey=imq6gteqepb8mkp3b2qaflcty&amp;dl=0","Click to download SizeChart")</f>
      </c>
      <c r="C539" s="0" t="inlineStr">
        <is>
          <t>Apollo Mens Performance T-shirt</t>
        </is>
      </c>
      <c r="D539" s="0" t="inlineStr">
        <is>
          <t>'124055</t>
        </is>
      </c>
      <c r="E539" s="0" t="inlineStr">
        <is>
          <t>USD APOLLO M BK:124055A-S</t>
        </is>
      </c>
      <c r="F539" s="0" t="inlineStr">
        <is>
          <t>'811124055049</t>
        </is>
      </c>
      <c r="G539" s="0" t="inlineStr">
        <is>
          <t>MENS</t>
        </is>
      </c>
      <c r="H539" s="0" t="inlineStr">
        <is>
          <t>S</t>
        </is>
      </c>
      <c r="I539" s="0">
        <v>24.99</v>
      </c>
      <c r="J539" s="0">
        <v>2</v>
      </c>
    </row>
    <row r="540" spans="1:10" customHeight="0">
      <c r="A540" s="0">
        <f>HYPERLINK("https://dl.dropboxusercontent.com/scl/fi/n3zwgc1xf2z9u9lj1sltl/124055-f.jpg?rlkey=tph7sk3yilm4g9j04fgakqoub&amp;dl=0","Click to download Image")</f>
      </c>
      <c r="B540" s="0">
        <f>HYPERLINK("https://dl.dropboxusercontent.com/scl/fi/rg5bbjcnr4dtninqk12s9/mens-t-shirt-size-chartsapollo-lander.jpg?rlkey=imq6gteqepb8mkp3b2qaflcty&amp;dl=0","Click to download SizeChart")</f>
      </c>
      <c r="C540" s="0" t="inlineStr">
        <is>
          <t>Apollo Mens Performance T-shirt</t>
        </is>
      </c>
      <c r="D540" s="0" t="inlineStr">
        <is>
          <t>'124055</t>
        </is>
      </c>
      <c r="E540" s="0" t="inlineStr">
        <is>
          <t>USD APOLLO M BK:124055B-M</t>
        </is>
      </c>
      <c r="F540" s="0" t="inlineStr">
        <is>
          <t>'811124055056</t>
        </is>
      </c>
      <c r="G540" s="0" t="inlineStr">
        <is>
          <t>MENS</t>
        </is>
      </c>
      <c r="H540" s="0" t="inlineStr">
        <is>
          <t>M</t>
        </is>
      </c>
      <c r="I540" s="0">
        <v>24.99</v>
      </c>
      <c r="J540" s="0">
        <v>4</v>
      </c>
    </row>
    <row r="541" spans="1:10" customHeight="0">
      <c r="A541" s="0">
        <f>HYPERLINK("https://dl.dropboxusercontent.com/scl/fi/n3zwgc1xf2z9u9lj1sltl/124055-f.jpg?rlkey=tph7sk3yilm4g9j04fgakqoub&amp;dl=0","Click to download Image")</f>
      </c>
      <c r="B541" s="0">
        <f>HYPERLINK("https://dl.dropboxusercontent.com/scl/fi/rg5bbjcnr4dtninqk12s9/mens-t-shirt-size-chartsapollo-lander.jpg?rlkey=imq6gteqepb8mkp3b2qaflcty&amp;dl=0","Click to download SizeChart")</f>
      </c>
      <c r="C541" s="0" t="inlineStr">
        <is>
          <t>Apollo Mens Performance T-shirt</t>
        </is>
      </c>
      <c r="D541" s="0" t="inlineStr">
        <is>
          <t>'124055</t>
        </is>
      </c>
      <c r="E541" s="0" t="inlineStr">
        <is>
          <t>USD APOLLO M BK:124055C-L</t>
        </is>
      </c>
      <c r="F541" s="0" t="inlineStr">
        <is>
          <t>'811124055063</t>
        </is>
      </c>
      <c r="G541" s="0" t="inlineStr">
        <is>
          <t>MENS</t>
        </is>
      </c>
      <c r="H541" s="0" t="inlineStr">
        <is>
          <t>L</t>
        </is>
      </c>
      <c r="I541" s="0">
        <v>24.99</v>
      </c>
      <c r="J541" s="0">
        <v>5</v>
      </c>
    </row>
    <row r="542" spans="1:10" customHeight="0">
      <c r="A542" s="0">
        <f>HYPERLINK("https://dl.dropboxusercontent.com/scl/fi/n3zwgc1xf2z9u9lj1sltl/124055-f.jpg?rlkey=tph7sk3yilm4g9j04fgakqoub&amp;dl=0","Click to download Image")</f>
      </c>
      <c r="B542" s="0">
        <f>HYPERLINK("https://dl.dropboxusercontent.com/scl/fi/rg5bbjcnr4dtninqk12s9/mens-t-shirt-size-chartsapollo-lander.jpg?rlkey=imq6gteqepb8mkp3b2qaflcty&amp;dl=0","Click to download SizeChart")</f>
      </c>
      <c r="C542" s="0" t="inlineStr">
        <is>
          <t>Apollo Mens Performance T-shirt</t>
        </is>
      </c>
      <c r="D542" s="0" t="inlineStr">
        <is>
          <t>'124055</t>
        </is>
      </c>
      <c r="E542" s="0" t="inlineStr">
        <is>
          <t>USD APOLLO M BK:124055D-XL</t>
        </is>
      </c>
      <c r="F542" s="0" t="inlineStr">
        <is>
          <t>'811124055070</t>
        </is>
      </c>
      <c r="G542" s="0" t="inlineStr">
        <is>
          <t>MENS</t>
        </is>
      </c>
      <c r="H542" s="0" t="inlineStr">
        <is>
          <t>XL</t>
        </is>
      </c>
      <c r="I542" s="0">
        <v>24.99</v>
      </c>
      <c r="J542" s="0">
        <v>5</v>
      </c>
    </row>
    <row r="543" spans="1:10" customHeight="0">
      <c r="A543" s="0">
        <f>HYPERLINK("https://dl.dropboxusercontent.com/scl/fi/n3zwgc1xf2z9u9lj1sltl/124055-f.jpg?rlkey=tph7sk3yilm4g9j04fgakqoub&amp;dl=0","Click to download Image")</f>
      </c>
      <c r="B543" s="0">
        <f>HYPERLINK("https://dl.dropboxusercontent.com/scl/fi/rg5bbjcnr4dtninqk12s9/mens-t-shirt-size-chartsapollo-lander.jpg?rlkey=imq6gteqepb8mkp3b2qaflcty&amp;dl=0","Click to download SizeChart")</f>
      </c>
      <c r="C543" s="0" t="inlineStr">
        <is>
          <t>Apollo Mens Performance T-shirt</t>
        </is>
      </c>
      <c r="D543" s="0" t="inlineStr">
        <is>
          <t>'124055</t>
        </is>
      </c>
      <c r="E543" s="0" t="inlineStr">
        <is>
          <t>USD APOLLO M BK:124055E-2XL</t>
        </is>
      </c>
      <c r="F543" s="0" t="inlineStr">
        <is>
          <t>'811124055087</t>
        </is>
      </c>
      <c r="G543" s="0" t="inlineStr">
        <is>
          <t>MENS</t>
        </is>
      </c>
      <c r="H543" s="0" t="inlineStr">
        <is>
          <t>2XL</t>
        </is>
      </c>
      <c r="I543" s="0">
        <v>24.99</v>
      </c>
      <c r="J543" s="0">
        <v>4</v>
      </c>
    </row>
    <row r="544" spans="1:10" customHeight="0">
      <c r="A544" s="0">
        <f>HYPERLINK("https://dl.dropboxusercontent.com/scl/fi/n3zwgc1xf2z9u9lj1sltl/124055-f.jpg?rlkey=tph7sk3yilm4g9j04fgakqoub&amp;dl=0","Click to download Image")</f>
      </c>
      <c r="B544" s="0">
        <f>HYPERLINK("https://dl.dropboxusercontent.com/scl/fi/rg5bbjcnr4dtninqk12s9/mens-t-shirt-size-chartsapollo-lander.jpg?rlkey=imq6gteqepb8mkp3b2qaflcty&amp;dl=0","Click to download SizeChart")</f>
      </c>
      <c r="C544" s="0" t="inlineStr">
        <is>
          <t>Apollo Mens Performance T-shirt</t>
        </is>
      </c>
      <c r="D544" s="0" t="inlineStr">
        <is>
          <t>'124055</t>
        </is>
      </c>
      <c r="E544" s="0" t="inlineStr">
        <is>
          <t>USD APOLLO M BK:124055F-3XL</t>
        </is>
      </c>
      <c r="F544" s="0" t="inlineStr">
        <is>
          <t>'811124055094</t>
        </is>
      </c>
      <c r="G544" s="0" t="inlineStr">
        <is>
          <t>MENS</t>
        </is>
      </c>
      <c r="H544" s="0" t="inlineStr">
        <is>
          <t>3XL</t>
        </is>
      </c>
      <c r="I544" s="0">
        <v>24.99</v>
      </c>
      <c r="J544" s="0">
        <v>0</v>
      </c>
    </row>
    <row r="545" spans="1:10" customHeight="0">
      <c r="A545" s="0">
        <f>HYPERLINK("https://dl.dropboxusercontent.com/scl/fi/n3zwgc1xf2z9u9lj1sltl/124055-f.jpg?rlkey=tph7sk3yilm4g9j04fgakqoub&amp;dl=0","Click to download Image")</f>
      </c>
      <c r="B545" s="0">
        <f>HYPERLINK("https://dl.dropboxusercontent.com/scl/fi/rg5bbjcnr4dtninqk12s9/mens-t-shirt-size-chartsapollo-lander.jpg?rlkey=imq6gteqepb8mkp3b2qaflcty&amp;dl=0","Click to download SizeChart")</f>
      </c>
      <c r="C545" s="0" t="inlineStr">
        <is>
          <t>Apollo Mens Performance T-shirt</t>
        </is>
      </c>
      <c r="D545" s="0" t="inlineStr">
        <is>
          <t>'124055</t>
        </is>
      </c>
      <c r="E545" s="0" t="inlineStr">
        <is>
          <t>USD APOLLO M BK 12PK:124055Z-12PK</t>
        </is>
      </c>
      <c r="F545" s="0" t="inlineStr">
        <is>
          <t>'811124055995</t>
        </is>
      </c>
      <c r="G545" s="0" t="inlineStr">
        <is>
          <t>MENS</t>
        </is>
      </c>
      <c r="H545" s="0" t="inlineStr">
        <is>
          <t>12 PACK</t>
        </is>
      </c>
      <c r="I545" s="0">
        <v>246</v>
      </c>
      <c r="J545" s="0">
        <v>0</v>
      </c>
    </row>
    <row r="546" spans="1:10" customHeight="0">
      <c r="A546" s="0">
        <f>HYPERLINK("https://dl.dropboxusercontent.com/scl/fi/666w0jqsejkvwjsg61iip/123511t.jpg?rlkey=2n6xm3qz431lydeyg07c4ggl4&amp;dl=0","Click to download Image")</f>
      </c>
      <c r="B546" s="0">
        <f>HYPERLINK("https://dl.dropboxusercontent.com/scl/fi/t008e0svb5elo1dj7woih/womens-hoodie-and-sweatshirt-size-chartssoho.jpg?rlkey=ddr5k7p5yxwh5dr37a49xug4x&amp;dl=0","Click to download SizeChart")</f>
      </c>
      <c r="C546" s="0" t="inlineStr">
        <is>
          <t>Soho Women's Hoodie</t>
        </is>
      </c>
      <c r="D546" s="0" t="inlineStr">
        <is>
          <t>'123511</t>
        </is>
      </c>
      <c r="E546" s="0" t="inlineStr">
        <is>
          <t>IOWA SOHO W BK:123511A-S</t>
        </is>
      </c>
      <c r="F546" s="0" t="inlineStr">
        <is>
          <t>'800123511045</t>
        </is>
      </c>
      <c r="G546" s="0" t="inlineStr">
        <is>
          <t>WOMENS</t>
        </is>
      </c>
      <c r="H546" s="0" t="inlineStr">
        <is>
          <t>S</t>
        </is>
      </c>
      <c r="I546" s="0">
        <v>59.99</v>
      </c>
      <c r="J546" s="0">
        <v>1</v>
      </c>
    </row>
    <row r="547" spans="1:10" customHeight="0">
      <c r="A547" s="0">
        <f>HYPERLINK("https://dl.dropboxusercontent.com/scl/fi/666w0jqsejkvwjsg61iip/123511t.jpg?rlkey=2n6xm3qz431lydeyg07c4ggl4&amp;dl=0","Click to download Image")</f>
      </c>
      <c r="B547" s="0">
        <f>HYPERLINK("https://dl.dropboxusercontent.com/scl/fi/t008e0svb5elo1dj7woih/womens-hoodie-and-sweatshirt-size-chartssoho.jpg?rlkey=ddr5k7p5yxwh5dr37a49xug4x&amp;dl=0","Click to download SizeChart")</f>
      </c>
      <c r="C547" s="0" t="inlineStr">
        <is>
          <t>Soho Women's Hoodie</t>
        </is>
      </c>
      <c r="D547" s="0" t="inlineStr">
        <is>
          <t>'123511</t>
        </is>
      </c>
      <c r="E547" s="0" t="inlineStr">
        <is>
          <t>IOWA SOHO W BK:123511B-M</t>
        </is>
      </c>
      <c r="F547" s="0" t="inlineStr">
        <is>
          <t>'800123511052</t>
        </is>
      </c>
      <c r="G547" s="0" t="inlineStr">
        <is>
          <t>WOMENS</t>
        </is>
      </c>
      <c r="H547" s="0" t="inlineStr">
        <is>
          <t>M</t>
        </is>
      </c>
      <c r="I547" s="0">
        <v>59.99</v>
      </c>
      <c r="J547" s="0">
        <v>0</v>
      </c>
    </row>
    <row r="548" spans="1:10" customHeight="0">
      <c r="A548" s="0">
        <f>HYPERLINK("https://dl.dropboxusercontent.com/scl/fi/666w0jqsejkvwjsg61iip/123511t.jpg?rlkey=2n6xm3qz431lydeyg07c4ggl4&amp;dl=0","Click to download Image")</f>
      </c>
      <c r="B548" s="0">
        <f>HYPERLINK("https://dl.dropboxusercontent.com/scl/fi/t008e0svb5elo1dj7woih/womens-hoodie-and-sweatshirt-size-chartssoho.jpg?rlkey=ddr5k7p5yxwh5dr37a49xug4x&amp;dl=0","Click to download SizeChart")</f>
      </c>
      <c r="C548" s="0" t="inlineStr">
        <is>
          <t>Soho Women's Hoodie</t>
        </is>
      </c>
      <c r="D548" s="0" t="inlineStr">
        <is>
          <t>'123511</t>
        </is>
      </c>
      <c r="E548" s="0" t="inlineStr">
        <is>
          <t>IOWA SOHO W BK:123511C-L</t>
        </is>
      </c>
      <c r="F548" s="0" t="inlineStr">
        <is>
          <t>'800123511069</t>
        </is>
      </c>
      <c r="G548" s="0" t="inlineStr">
        <is>
          <t>WOMENS</t>
        </is>
      </c>
      <c r="H548" s="0" t="inlineStr">
        <is>
          <t>L</t>
        </is>
      </c>
      <c r="I548" s="0">
        <v>59.99</v>
      </c>
      <c r="J548" s="0">
        <v>0</v>
      </c>
    </row>
    <row r="549" spans="1:10" customHeight="0">
      <c r="A549" s="0">
        <f>HYPERLINK("https://dl.dropboxusercontent.com/scl/fi/666w0jqsejkvwjsg61iip/123511t.jpg?rlkey=2n6xm3qz431lydeyg07c4ggl4&amp;dl=0","Click to download Image")</f>
      </c>
      <c r="B549" s="0">
        <f>HYPERLINK("https://dl.dropboxusercontent.com/scl/fi/t008e0svb5elo1dj7woih/womens-hoodie-and-sweatshirt-size-chartssoho.jpg?rlkey=ddr5k7p5yxwh5dr37a49xug4x&amp;dl=0","Click to download SizeChart")</f>
      </c>
      <c r="C549" s="0" t="inlineStr">
        <is>
          <t>Soho Women's Hoodie</t>
        </is>
      </c>
      <c r="D549" s="0" t="inlineStr">
        <is>
          <t>'123511</t>
        </is>
      </c>
      <c r="E549" s="0" t="inlineStr">
        <is>
          <t>IOWA SOHO W BK:123511D-XL</t>
        </is>
      </c>
      <c r="F549" s="0" t="inlineStr">
        <is>
          <t>'800123511076</t>
        </is>
      </c>
      <c r="G549" s="0" t="inlineStr">
        <is>
          <t>WOMENS</t>
        </is>
      </c>
      <c r="H549" s="0" t="inlineStr">
        <is>
          <t>XL</t>
        </is>
      </c>
      <c r="I549" s="0">
        <v>59.99</v>
      </c>
      <c r="J549" s="0">
        <v>0</v>
      </c>
    </row>
    <row r="550" spans="1:10" customHeight="0">
      <c r="A550" s="0">
        <f>HYPERLINK("https://dl.dropboxusercontent.com/scl/fi/666w0jqsejkvwjsg61iip/123511t.jpg?rlkey=2n6xm3qz431lydeyg07c4ggl4&amp;dl=0","Click to download Image")</f>
      </c>
      <c r="B550" s="0">
        <f>HYPERLINK("https://dl.dropboxusercontent.com/scl/fi/t008e0svb5elo1dj7woih/womens-hoodie-and-sweatshirt-size-chartssoho.jpg?rlkey=ddr5k7p5yxwh5dr37a49xug4x&amp;dl=0","Click to download SizeChart")</f>
      </c>
      <c r="C550" s="0" t="inlineStr">
        <is>
          <t>Soho Women's Hoodie</t>
        </is>
      </c>
      <c r="D550" s="0" t="inlineStr">
        <is>
          <t>'123511</t>
        </is>
      </c>
      <c r="E550" s="0" t="inlineStr">
        <is>
          <t>IOWA SOHO W BK:123511E-2XL</t>
        </is>
      </c>
      <c r="F550" s="0" t="inlineStr">
        <is>
          <t>'800123511083</t>
        </is>
      </c>
      <c r="G550" s="0" t="inlineStr">
        <is>
          <t>WOMENS</t>
        </is>
      </c>
      <c r="H550" s="0" t="inlineStr">
        <is>
          <t>2XL</t>
        </is>
      </c>
      <c r="I550" s="0">
        <v>59.99</v>
      </c>
      <c r="J550" s="0">
        <v>0</v>
      </c>
    </row>
    <row r="551" spans="1:10" customHeight="0">
      <c r="A551" s="0">
        <f>HYPERLINK("https://dl.dropboxusercontent.com/scl/fi/666w0jqsejkvwjsg61iip/123511t.jpg?rlkey=2n6xm3qz431lydeyg07c4ggl4&amp;dl=0","Click to download Image")</f>
      </c>
      <c r="B551" s="0">
        <f>HYPERLINK("https://dl.dropboxusercontent.com/scl/fi/t008e0svb5elo1dj7woih/womens-hoodie-and-sweatshirt-size-chartssoho.jpg?rlkey=ddr5k7p5yxwh5dr37a49xug4x&amp;dl=0","Click to download SizeChart")</f>
      </c>
      <c r="C551" s="0" t="inlineStr">
        <is>
          <t>Soho Women's Hoodie</t>
        </is>
      </c>
      <c r="D551" s="0" t="inlineStr">
        <is>
          <t>'123511</t>
        </is>
      </c>
      <c r="E551" s="0" t="inlineStr">
        <is>
          <t>IOWA SOHO W BK:123511F-3XL</t>
        </is>
      </c>
      <c r="F551" s="0" t="inlineStr">
        <is>
          <t>'800123511090</t>
        </is>
      </c>
      <c r="G551" s="0" t="inlineStr">
        <is>
          <t>WOMENS</t>
        </is>
      </c>
      <c r="H551" s="0" t="inlineStr">
        <is>
          <t>3XL</t>
        </is>
      </c>
      <c r="I551" s="0">
        <v>59.99</v>
      </c>
      <c r="J551" s="0">
        <v>0</v>
      </c>
    </row>
    <row r="552" spans="1:10" customHeight="0">
      <c r="A552" s="0">
        <f>HYPERLINK("https://dl.dropboxusercontent.com/scl/fi/666w0jqsejkvwjsg61iip/123511t.jpg?rlkey=2n6xm3qz431lydeyg07c4ggl4&amp;dl=0","Click to download Image")</f>
      </c>
      <c r="B552" s="0">
        <f>HYPERLINK("https://dl.dropboxusercontent.com/scl/fi/t008e0svb5elo1dj7woih/womens-hoodie-and-sweatshirt-size-chartssoho.jpg?rlkey=ddr5k7p5yxwh5dr37a49xug4x&amp;dl=0","Click to download SizeChart")</f>
      </c>
      <c r="C552" s="0" t="inlineStr">
        <is>
          <t>Soho Women's Hoodie</t>
        </is>
      </c>
      <c r="D552" s="0" t="inlineStr">
        <is>
          <t>'123511</t>
        </is>
      </c>
      <c r="E552" s="0" t="inlineStr">
        <is>
          <t>IOWA SOHO W BK 12PK:123511Z-12PK</t>
        </is>
      </c>
      <c r="F552" s="0" t="inlineStr">
        <is>
          <t>'800123511991</t>
        </is>
      </c>
      <c r="G552" s="0" t="inlineStr">
        <is>
          <t>WOMENS</t>
        </is>
      </c>
      <c r="H552" s="0" t="inlineStr">
        <is>
          <t>12 PACK</t>
        </is>
      </c>
      <c r="I552" s="0">
        <v>576</v>
      </c>
      <c r="J552" s="0">
        <v>0</v>
      </c>
    </row>
    <row r="553" spans="1:10" customHeight="0">
      <c r="A553" s="0">
        <f>HYPERLINK("https://dl.dropboxusercontent.com/scl/fi/z6h8vdh59fhk2bhc7qsjm/125253t37198.jpg?rlkey=xgrwie3jbv1piphsx2m50d704&amp;dl=0","Click to download Image")</f>
      </c>
      <c r="B553" s="0">
        <f>HYPERLINK("https://dl.dropboxusercontent.com/scl/fi/t008e0svb5elo1dj7woih/womens-hoodie-and-sweatshirt-size-chartssoho.jpg?rlkey=ddr5k7p5yxwh5dr37a49xug4x&amp;dl=0","Click to download SizeChart")</f>
      </c>
      <c r="C553" s="0" t="inlineStr">
        <is>
          <t>Soho Women's Hoodie</t>
        </is>
      </c>
      <c r="D553" s="0" t="inlineStr">
        <is>
          <t>'125253</t>
        </is>
      </c>
      <c r="E553" s="0" t="inlineStr">
        <is>
          <t>ISU SOHO W BK:125253A-S</t>
        </is>
      </c>
      <c r="F553" s="0" t="inlineStr">
        <is>
          <t>'801125253049</t>
        </is>
      </c>
      <c r="G553" s="0" t="inlineStr">
        <is>
          <t>WOMENS</t>
        </is>
      </c>
      <c r="H553" s="0" t="inlineStr">
        <is>
          <t>S</t>
        </is>
      </c>
      <c r="I553" s="0">
        <v>59.99</v>
      </c>
      <c r="J553" s="0">
        <v>1</v>
      </c>
    </row>
    <row r="554" spans="1:10" customHeight="0">
      <c r="A554" s="0">
        <f>HYPERLINK("https://dl.dropboxusercontent.com/scl/fi/z6h8vdh59fhk2bhc7qsjm/125253t37198.jpg?rlkey=xgrwie3jbv1piphsx2m50d704&amp;dl=0","Click to download Image")</f>
      </c>
      <c r="B554" s="0">
        <f>HYPERLINK("https://dl.dropboxusercontent.com/scl/fi/t008e0svb5elo1dj7woih/womens-hoodie-and-sweatshirt-size-chartssoho.jpg?rlkey=ddr5k7p5yxwh5dr37a49xug4x&amp;dl=0","Click to download SizeChart")</f>
      </c>
      <c r="C554" s="0" t="inlineStr">
        <is>
          <t>Soho Women's Hoodie</t>
        </is>
      </c>
      <c r="D554" s="0" t="inlineStr">
        <is>
          <t>'125253</t>
        </is>
      </c>
      <c r="E554" s="0" t="inlineStr">
        <is>
          <t>ISU SOHO W BK:125253B-M</t>
        </is>
      </c>
      <c r="F554" s="0" t="inlineStr">
        <is>
          <t>'801125253056</t>
        </is>
      </c>
      <c r="G554" s="0" t="inlineStr">
        <is>
          <t>WOMENS</t>
        </is>
      </c>
      <c r="H554" s="0" t="inlineStr">
        <is>
          <t>M</t>
        </is>
      </c>
      <c r="I554" s="0">
        <v>59.99</v>
      </c>
      <c r="J554" s="0">
        <v>0</v>
      </c>
    </row>
    <row r="555" spans="1:10" customHeight="0">
      <c r="A555" s="0">
        <f>HYPERLINK("https://dl.dropboxusercontent.com/scl/fi/z6h8vdh59fhk2bhc7qsjm/125253t37198.jpg?rlkey=xgrwie3jbv1piphsx2m50d704&amp;dl=0","Click to download Image")</f>
      </c>
      <c r="B555" s="0">
        <f>HYPERLINK("https://dl.dropboxusercontent.com/scl/fi/t008e0svb5elo1dj7woih/womens-hoodie-and-sweatshirt-size-chartssoho.jpg?rlkey=ddr5k7p5yxwh5dr37a49xug4x&amp;dl=0","Click to download SizeChart")</f>
      </c>
      <c r="C555" s="0" t="inlineStr">
        <is>
          <t>Soho Women's Hoodie</t>
        </is>
      </c>
      <c r="D555" s="0" t="inlineStr">
        <is>
          <t>'125253</t>
        </is>
      </c>
      <c r="E555" s="0" t="inlineStr">
        <is>
          <t>ISU SOHO W BK:125253C-L</t>
        </is>
      </c>
      <c r="F555" s="0" t="inlineStr">
        <is>
          <t>'801125253063</t>
        </is>
      </c>
      <c r="G555" s="0" t="inlineStr">
        <is>
          <t>WOMENS</t>
        </is>
      </c>
      <c r="H555" s="0" t="inlineStr">
        <is>
          <t>L</t>
        </is>
      </c>
      <c r="I555" s="0">
        <v>59.99</v>
      </c>
      <c r="J555" s="0">
        <v>0</v>
      </c>
    </row>
    <row r="556" spans="1:10" customHeight="0">
      <c r="A556" s="0">
        <f>HYPERLINK("https://dl.dropboxusercontent.com/scl/fi/z6h8vdh59fhk2bhc7qsjm/125253t37198.jpg?rlkey=xgrwie3jbv1piphsx2m50d704&amp;dl=0","Click to download Image")</f>
      </c>
      <c r="B556" s="0">
        <f>HYPERLINK("https://dl.dropboxusercontent.com/scl/fi/t008e0svb5elo1dj7woih/womens-hoodie-and-sweatshirt-size-chartssoho.jpg?rlkey=ddr5k7p5yxwh5dr37a49xug4x&amp;dl=0","Click to download SizeChart")</f>
      </c>
      <c r="C556" s="0" t="inlineStr">
        <is>
          <t>Soho Women's Hoodie</t>
        </is>
      </c>
      <c r="D556" s="0" t="inlineStr">
        <is>
          <t>'125253</t>
        </is>
      </c>
      <c r="E556" s="0" t="inlineStr">
        <is>
          <t>ISU SOHO W BK:125253D-XL</t>
        </is>
      </c>
      <c r="F556" s="0" t="inlineStr">
        <is>
          <t>'801125253070</t>
        </is>
      </c>
      <c r="G556" s="0" t="inlineStr">
        <is>
          <t>WOMENS</t>
        </is>
      </c>
      <c r="H556" s="0" t="inlineStr">
        <is>
          <t>XL</t>
        </is>
      </c>
      <c r="I556" s="0">
        <v>59.99</v>
      </c>
      <c r="J556" s="0">
        <v>0</v>
      </c>
    </row>
    <row r="557" spans="1:10" customHeight="0">
      <c r="A557" s="0">
        <f>HYPERLINK("https://dl.dropboxusercontent.com/scl/fi/z6h8vdh59fhk2bhc7qsjm/125253t37198.jpg?rlkey=xgrwie3jbv1piphsx2m50d704&amp;dl=0","Click to download Image")</f>
      </c>
      <c r="B557" s="0">
        <f>HYPERLINK("https://dl.dropboxusercontent.com/scl/fi/t008e0svb5elo1dj7woih/womens-hoodie-and-sweatshirt-size-chartssoho.jpg?rlkey=ddr5k7p5yxwh5dr37a49xug4x&amp;dl=0","Click to download SizeChart")</f>
      </c>
      <c r="C557" s="0" t="inlineStr">
        <is>
          <t>Soho Women's Hoodie</t>
        </is>
      </c>
      <c r="D557" s="0" t="inlineStr">
        <is>
          <t>'125253</t>
        </is>
      </c>
      <c r="E557" s="0" t="inlineStr">
        <is>
          <t>ISU SOHO W BK:125253E-2XL</t>
        </is>
      </c>
      <c r="F557" s="0" t="inlineStr">
        <is>
          <t>'801125253087</t>
        </is>
      </c>
      <c r="G557" s="0" t="inlineStr">
        <is>
          <t>WOMENS</t>
        </is>
      </c>
      <c r="H557" s="0" t="inlineStr">
        <is>
          <t>2XL</t>
        </is>
      </c>
      <c r="I557" s="0">
        <v>59.99</v>
      </c>
      <c r="J557" s="0">
        <v>0</v>
      </c>
    </row>
    <row r="558" spans="1:10" customHeight="0">
      <c r="A558" s="0">
        <f>HYPERLINK("https://dl.dropboxusercontent.com/scl/fi/z6h8vdh59fhk2bhc7qsjm/125253t37198.jpg?rlkey=xgrwie3jbv1piphsx2m50d704&amp;dl=0","Click to download Image")</f>
      </c>
      <c r="B558" s="0">
        <f>HYPERLINK("https://dl.dropboxusercontent.com/scl/fi/t008e0svb5elo1dj7woih/womens-hoodie-and-sweatshirt-size-chartssoho.jpg?rlkey=ddr5k7p5yxwh5dr37a49xug4x&amp;dl=0","Click to download SizeChart")</f>
      </c>
      <c r="C558" s="0" t="inlineStr">
        <is>
          <t>Soho Women's Hoodie</t>
        </is>
      </c>
      <c r="D558" s="0" t="inlineStr">
        <is>
          <t>'125253</t>
        </is>
      </c>
      <c r="E558" s="0" t="inlineStr">
        <is>
          <t>ISU SOHO W BK:125253F-3XL</t>
        </is>
      </c>
      <c r="F558" s="0" t="inlineStr">
        <is>
          <t>'801125253094</t>
        </is>
      </c>
      <c r="G558" s="0" t="inlineStr">
        <is>
          <t>WOMENS</t>
        </is>
      </c>
      <c r="H558" s="0" t="inlineStr">
        <is>
          <t>3XL</t>
        </is>
      </c>
      <c r="I558" s="0">
        <v>59.99</v>
      </c>
      <c r="J558" s="0">
        <v>0</v>
      </c>
    </row>
    <row r="559" spans="1:10" customHeight="0">
      <c r="A559" s="0">
        <f>HYPERLINK("https://dl.dropboxusercontent.com/scl/fi/z6h8vdh59fhk2bhc7qsjm/125253t37198.jpg?rlkey=xgrwie3jbv1piphsx2m50d704&amp;dl=0","Click to download Image")</f>
      </c>
      <c r="B559" s="0">
        <f>HYPERLINK("https://dl.dropboxusercontent.com/scl/fi/t008e0svb5elo1dj7woih/womens-hoodie-and-sweatshirt-size-chartssoho.jpg?rlkey=ddr5k7p5yxwh5dr37a49xug4x&amp;dl=0","Click to download SizeChart")</f>
      </c>
      <c r="C559" s="0" t="inlineStr">
        <is>
          <t>Soho Women's Hoodie</t>
        </is>
      </c>
      <c r="D559" s="0" t="inlineStr">
        <is>
          <t>'125253</t>
        </is>
      </c>
      <c r="E559" s="0" t="inlineStr">
        <is>
          <t>ISU SOHO W BK 12PK:125253Z-12PK</t>
        </is>
      </c>
      <c r="F559" s="0" t="inlineStr">
        <is>
          <t>'801125253995</t>
        </is>
      </c>
      <c r="G559" s="0" t="inlineStr">
        <is>
          <t>WOMENS</t>
        </is>
      </c>
      <c r="H559" s="0" t="inlineStr">
        <is>
          <t>12 PACK</t>
        </is>
      </c>
      <c r="I559" s="0">
        <v>576</v>
      </c>
      <c r="J559" s="0">
        <v>0</v>
      </c>
    </row>
    <row r="560" spans="1:10" customHeight="0">
      <c r="A560" s="0">
        <f>HYPERLINK("https://dl.dropboxusercontent.com/scl/fi/mtw0nfsebdfykkx078ra8/knox-131472-f.jpg?rlkey=w6hq1pzbh4wyfce495373cuf8&amp;dl=0","Click to download Image")</f>
      </c>
      <c r="B560" s="0">
        <f>HYPERLINK("https://dl.dropboxusercontent.com/scl/fi/segm5tepysiwahoc0eape/mens-jackets-size-chartsknox.jpg?rlkey=it26tvpfnthy726ylp747znzm&amp;dl=0","Click to download SizeChart")</f>
      </c>
      <c r="C560" s="0" t="inlineStr">
        <is>
          <t>Knox Men's Jacket</t>
        </is>
      </c>
      <c r="D560" s="0" t="inlineStr">
        <is>
          <t>'131472</t>
        </is>
      </c>
      <c r="E560" s="0" t="inlineStr">
        <is>
          <t>UNI KNOX2 M BK:131472A-S</t>
        </is>
      </c>
      <c r="F560" s="0" t="inlineStr">
        <is>
          <t>'802131472042</t>
        </is>
      </c>
      <c r="G560" s="0" t="inlineStr">
        <is>
          <t>MENS</t>
        </is>
      </c>
      <c r="H560" s="0" t="inlineStr">
        <is>
          <t>S</t>
        </is>
      </c>
      <c r="I560" s="0">
        <v>59.99</v>
      </c>
      <c r="J560" s="0">
        <v>2</v>
      </c>
    </row>
    <row r="561" spans="1:10" customHeight="0">
      <c r="A561" s="0">
        <f>HYPERLINK("https://dl.dropboxusercontent.com/scl/fi/mtw0nfsebdfykkx078ra8/knox-131472-f.jpg?rlkey=w6hq1pzbh4wyfce495373cuf8&amp;dl=0","Click to download Image")</f>
      </c>
      <c r="B561" s="0">
        <f>HYPERLINK("https://dl.dropboxusercontent.com/scl/fi/segm5tepysiwahoc0eape/mens-jackets-size-chartsknox.jpg?rlkey=it26tvpfnthy726ylp747znzm&amp;dl=0","Click to download SizeChart")</f>
      </c>
      <c r="C561" s="0" t="inlineStr">
        <is>
          <t>Knox Men's Jacket</t>
        </is>
      </c>
      <c r="D561" s="0" t="inlineStr">
        <is>
          <t>'131472</t>
        </is>
      </c>
      <c r="E561" s="0" t="inlineStr">
        <is>
          <t>UNI KNOX2 M BK:131472B-M</t>
        </is>
      </c>
      <c r="F561" s="0" t="inlineStr">
        <is>
          <t>'802131472059</t>
        </is>
      </c>
      <c r="G561" s="0" t="inlineStr">
        <is>
          <t>MENS</t>
        </is>
      </c>
      <c r="H561" s="0" t="inlineStr">
        <is>
          <t>M</t>
        </is>
      </c>
      <c r="I561" s="0">
        <v>59.99</v>
      </c>
      <c r="J561" s="0">
        <v>4</v>
      </c>
    </row>
    <row r="562" spans="1:10" customHeight="0">
      <c r="A562" s="0">
        <f>HYPERLINK("https://dl.dropboxusercontent.com/scl/fi/mtw0nfsebdfykkx078ra8/knox-131472-f.jpg?rlkey=w6hq1pzbh4wyfce495373cuf8&amp;dl=0","Click to download Image")</f>
      </c>
      <c r="B562" s="0">
        <f>HYPERLINK("https://dl.dropboxusercontent.com/scl/fi/segm5tepysiwahoc0eape/mens-jackets-size-chartsknox.jpg?rlkey=it26tvpfnthy726ylp747znzm&amp;dl=0","Click to download SizeChart")</f>
      </c>
      <c r="C562" s="0" t="inlineStr">
        <is>
          <t>Knox Men's Jacket</t>
        </is>
      </c>
      <c r="D562" s="0" t="inlineStr">
        <is>
          <t>'131472</t>
        </is>
      </c>
      <c r="E562" s="0" t="inlineStr">
        <is>
          <t>UNI KNOX2 M BK:131472C-L</t>
        </is>
      </c>
      <c r="F562" s="0" t="inlineStr">
        <is>
          <t>'802131472066</t>
        </is>
      </c>
      <c r="G562" s="0" t="inlineStr">
        <is>
          <t>MENS</t>
        </is>
      </c>
      <c r="H562" s="0" t="inlineStr">
        <is>
          <t>L</t>
        </is>
      </c>
      <c r="I562" s="0">
        <v>59.99</v>
      </c>
      <c r="J562" s="0">
        <v>6</v>
      </c>
    </row>
    <row r="563" spans="1:10" customHeight="0">
      <c r="A563" s="0">
        <f>HYPERLINK("https://dl.dropboxusercontent.com/scl/fi/mtw0nfsebdfykkx078ra8/knox-131472-f.jpg?rlkey=w6hq1pzbh4wyfce495373cuf8&amp;dl=0","Click to download Image")</f>
      </c>
      <c r="B563" s="0">
        <f>HYPERLINK("https://dl.dropboxusercontent.com/scl/fi/segm5tepysiwahoc0eape/mens-jackets-size-chartsknox.jpg?rlkey=it26tvpfnthy726ylp747znzm&amp;dl=0","Click to download SizeChart")</f>
      </c>
      <c r="C563" s="0" t="inlineStr">
        <is>
          <t>Knox Men's Jacket</t>
        </is>
      </c>
      <c r="D563" s="0" t="inlineStr">
        <is>
          <t>'131472</t>
        </is>
      </c>
      <c r="E563" s="0" t="inlineStr">
        <is>
          <t>UNI KNOX2 M BK:131472D-XL</t>
        </is>
      </c>
      <c r="F563" s="0" t="inlineStr">
        <is>
          <t>'802131472073</t>
        </is>
      </c>
      <c r="G563" s="0" t="inlineStr">
        <is>
          <t>MENS</t>
        </is>
      </c>
      <c r="H563" s="0" t="inlineStr">
        <is>
          <t>XL</t>
        </is>
      </c>
      <c r="I563" s="0">
        <v>59.99</v>
      </c>
      <c r="J563" s="0">
        <v>5</v>
      </c>
    </row>
    <row r="564" spans="1:10" customHeight="0">
      <c r="A564" s="0">
        <f>HYPERLINK("https://dl.dropboxusercontent.com/scl/fi/mtw0nfsebdfykkx078ra8/knox-131472-f.jpg?rlkey=w6hq1pzbh4wyfce495373cuf8&amp;dl=0","Click to download Image")</f>
      </c>
      <c r="B564" s="0">
        <f>HYPERLINK("https://dl.dropboxusercontent.com/scl/fi/segm5tepysiwahoc0eape/mens-jackets-size-chartsknox.jpg?rlkey=it26tvpfnthy726ylp747znzm&amp;dl=0","Click to download SizeChart")</f>
      </c>
      <c r="C564" s="0" t="inlineStr">
        <is>
          <t>Knox Men's Jacket</t>
        </is>
      </c>
      <c r="D564" s="0" t="inlineStr">
        <is>
          <t>'131472</t>
        </is>
      </c>
      <c r="E564" s="0" t="inlineStr">
        <is>
          <t>UNI KNOX2 M BK:131472E-2XL</t>
        </is>
      </c>
      <c r="F564" s="0" t="inlineStr">
        <is>
          <t>'802131472080</t>
        </is>
      </c>
      <c r="G564" s="0" t="inlineStr">
        <is>
          <t>MENS</t>
        </is>
      </c>
      <c r="H564" s="0" t="inlineStr">
        <is>
          <t>2XL</t>
        </is>
      </c>
      <c r="I564" s="0">
        <v>59.99</v>
      </c>
      <c r="J564" s="0">
        <v>4</v>
      </c>
    </row>
    <row r="565" spans="1:10" customHeight="0">
      <c r="A565" s="0">
        <f>HYPERLINK("https://dl.dropboxusercontent.com/scl/fi/mtw0nfsebdfykkx078ra8/knox-131472-f.jpg?rlkey=w6hq1pzbh4wyfce495373cuf8&amp;dl=0","Click to download Image")</f>
      </c>
      <c r="B565" s="0">
        <f>HYPERLINK("https://dl.dropboxusercontent.com/scl/fi/segm5tepysiwahoc0eape/mens-jackets-size-chartsknox.jpg?rlkey=it26tvpfnthy726ylp747znzm&amp;dl=0","Click to download SizeChart")</f>
      </c>
      <c r="C565" s="0" t="inlineStr">
        <is>
          <t>Knox Men's Jacket</t>
        </is>
      </c>
      <c r="D565" s="0" t="inlineStr">
        <is>
          <t>'131472</t>
        </is>
      </c>
      <c r="E565" s="0" t="inlineStr">
        <is>
          <t>UNI KNOX2 M BK:131472F-3XL</t>
        </is>
      </c>
      <c r="F565" s="0" t="inlineStr">
        <is>
          <t>'802131472097</t>
        </is>
      </c>
      <c r="G565" s="0" t="inlineStr">
        <is>
          <t>MENS</t>
        </is>
      </c>
      <c r="H565" s="0" t="inlineStr">
        <is>
          <t>3XL</t>
        </is>
      </c>
      <c r="I565" s="0">
        <v>59.99</v>
      </c>
      <c r="J565" s="0">
        <v>1</v>
      </c>
    </row>
    <row r="566" spans="1:10" customHeight="0">
      <c r="A566" s="0">
        <f>HYPERLINK("https://dl.dropboxusercontent.com/scl/fi/mtw0nfsebdfykkx078ra8/knox-131472-f.jpg?rlkey=w6hq1pzbh4wyfce495373cuf8&amp;dl=0","Click to download Image")</f>
      </c>
      <c r="B566" s="0">
        <f>HYPERLINK("https://dl.dropboxusercontent.com/scl/fi/segm5tepysiwahoc0eape/mens-jackets-size-chartsknox.jpg?rlkey=it26tvpfnthy726ylp747znzm&amp;dl=0","Click to download SizeChart")</f>
      </c>
      <c r="C566" s="0" t="inlineStr">
        <is>
          <t>Knox Men's Jacket</t>
        </is>
      </c>
      <c r="D566" s="0" t="inlineStr">
        <is>
          <t>'131472</t>
        </is>
      </c>
      <c r="E566" s="0" t="inlineStr">
        <is>
          <t>UNI KNOX2 M BK:131472Z-12PK</t>
        </is>
      </c>
      <c r="F566" s="0" t="inlineStr">
        <is>
          <t>'802131472998</t>
        </is>
      </c>
      <c r="G566" s="0" t="inlineStr">
        <is>
          <t>MENS</t>
        </is>
      </c>
      <c r="H566" s="0" t="inlineStr">
        <is>
          <t>12 PACK</t>
        </is>
      </c>
      <c r="I566" s="0">
        <v>582</v>
      </c>
      <c r="J566" s="0">
        <v>0</v>
      </c>
    </row>
    <row r="567" spans="1:10" customHeight="0">
      <c r="A567" s="0">
        <f>HYPERLINK("https://dl.dropboxusercontent.com/scl/fi/s5l11rlsqzzy29tb71dgk/127813t.jpg?rlkey=swoe5vidpnq49zld4w4dfgunp&amp;dl=0","Click to download Image")</f>
      </c>
      <c r="B567" s="0">
        <f>HYPERLINK("https://dl.dropboxusercontent.com/scl/fi/xczydqmf8cgfalm0itsro/womens-pullover-size-chartsnyx.jpg?rlkey=rao2j8srs4w5rjiegyaivla70&amp;dl=0","Click to download SizeChart")</f>
      </c>
      <c r="C567" s="0" t="inlineStr">
        <is>
          <t>Nyx Women's Pullover</t>
        </is>
      </c>
      <c r="D567" s="0" t="inlineStr">
        <is>
          <t>'127813</t>
        </is>
      </c>
      <c r="E567" s="0" t="inlineStr">
        <is>
          <t>NDSU NYX W RE:127813A-S</t>
        </is>
      </c>
      <c r="F567" s="0" t="inlineStr">
        <is>
          <t>'813127813046</t>
        </is>
      </c>
      <c r="G567" s="0" t="inlineStr">
        <is>
          <t>WOMENS</t>
        </is>
      </c>
      <c r="H567" s="0" t="inlineStr">
        <is>
          <t>S</t>
        </is>
      </c>
      <c r="I567" s="0">
        <v>49.99</v>
      </c>
      <c r="J567" s="0">
        <v>2</v>
      </c>
    </row>
    <row r="568" spans="1:10" customHeight="0">
      <c r="A568" s="0">
        <f>HYPERLINK("https://dl.dropboxusercontent.com/scl/fi/s5l11rlsqzzy29tb71dgk/127813t.jpg?rlkey=swoe5vidpnq49zld4w4dfgunp&amp;dl=0","Click to download Image")</f>
      </c>
      <c r="B568" s="0">
        <f>HYPERLINK("https://dl.dropboxusercontent.com/scl/fi/xczydqmf8cgfalm0itsro/womens-pullover-size-chartsnyx.jpg?rlkey=rao2j8srs4w5rjiegyaivla70&amp;dl=0","Click to download SizeChart")</f>
      </c>
      <c r="C568" s="0" t="inlineStr">
        <is>
          <t>Nyx Women's Pullover</t>
        </is>
      </c>
      <c r="D568" s="0" t="inlineStr">
        <is>
          <t>'127813</t>
        </is>
      </c>
      <c r="E568" s="0" t="inlineStr">
        <is>
          <t>NDSU NYX W RE:127813B-M</t>
        </is>
      </c>
      <c r="F568" s="0" t="inlineStr">
        <is>
          <t>'813127813053</t>
        </is>
      </c>
      <c r="G568" s="0" t="inlineStr">
        <is>
          <t>WOMENS</t>
        </is>
      </c>
      <c r="H568" s="0" t="inlineStr">
        <is>
          <t>M</t>
        </is>
      </c>
      <c r="I568" s="0">
        <v>49.99</v>
      </c>
      <c r="J568" s="0">
        <v>1</v>
      </c>
    </row>
    <row r="569" spans="1:10" customHeight="0">
      <c r="A569" s="0">
        <f>HYPERLINK("https://dl.dropboxusercontent.com/scl/fi/s5l11rlsqzzy29tb71dgk/127813t.jpg?rlkey=swoe5vidpnq49zld4w4dfgunp&amp;dl=0","Click to download Image")</f>
      </c>
      <c r="B569" s="0">
        <f>HYPERLINK("https://dl.dropboxusercontent.com/scl/fi/xczydqmf8cgfalm0itsro/womens-pullover-size-chartsnyx.jpg?rlkey=rao2j8srs4w5rjiegyaivla70&amp;dl=0","Click to download SizeChart")</f>
      </c>
      <c r="C569" s="0" t="inlineStr">
        <is>
          <t>Nyx Women's Pullover</t>
        </is>
      </c>
      <c r="D569" s="0" t="inlineStr">
        <is>
          <t>'127813</t>
        </is>
      </c>
      <c r="E569" s="0" t="inlineStr">
        <is>
          <t>NDSU NYX W RE:127813C-L</t>
        </is>
      </c>
      <c r="F569" s="0" t="inlineStr">
        <is>
          <t>'813127813060</t>
        </is>
      </c>
      <c r="G569" s="0" t="inlineStr">
        <is>
          <t>WOMENS</t>
        </is>
      </c>
      <c r="H569" s="0" t="inlineStr">
        <is>
          <t>L</t>
        </is>
      </c>
      <c r="I569" s="0">
        <v>49.99</v>
      </c>
      <c r="J569" s="0">
        <v>4</v>
      </c>
    </row>
    <row r="570" spans="1:10" customHeight="0">
      <c r="A570" s="0">
        <f>HYPERLINK("https://dl.dropboxusercontent.com/scl/fi/s5l11rlsqzzy29tb71dgk/127813t.jpg?rlkey=swoe5vidpnq49zld4w4dfgunp&amp;dl=0","Click to download Image")</f>
      </c>
      <c r="B570" s="0">
        <f>HYPERLINK("https://dl.dropboxusercontent.com/scl/fi/xczydqmf8cgfalm0itsro/womens-pullover-size-chartsnyx.jpg?rlkey=rao2j8srs4w5rjiegyaivla70&amp;dl=0","Click to download SizeChart")</f>
      </c>
      <c r="C570" s="0" t="inlineStr">
        <is>
          <t>Nyx Women's Pullover</t>
        </is>
      </c>
      <c r="D570" s="0" t="inlineStr">
        <is>
          <t>'127813</t>
        </is>
      </c>
      <c r="E570" s="0" t="inlineStr">
        <is>
          <t>NDSU NYX W RE:127813D-XL</t>
        </is>
      </c>
      <c r="F570" s="0" t="inlineStr">
        <is>
          <t>'813127813077</t>
        </is>
      </c>
      <c r="G570" s="0" t="inlineStr">
        <is>
          <t>WOMENS</t>
        </is>
      </c>
      <c r="H570" s="0" t="inlineStr">
        <is>
          <t>XL</t>
        </is>
      </c>
      <c r="I570" s="0">
        <v>49.99</v>
      </c>
      <c r="J570" s="0">
        <v>2</v>
      </c>
    </row>
    <row r="571" spans="1:10" customHeight="0">
      <c r="A571" s="0">
        <f>HYPERLINK("https://dl.dropboxusercontent.com/scl/fi/s5l11rlsqzzy29tb71dgk/127813t.jpg?rlkey=swoe5vidpnq49zld4w4dfgunp&amp;dl=0","Click to download Image")</f>
      </c>
      <c r="B571" s="0">
        <f>HYPERLINK("https://dl.dropboxusercontent.com/scl/fi/xczydqmf8cgfalm0itsro/womens-pullover-size-chartsnyx.jpg?rlkey=rao2j8srs4w5rjiegyaivla70&amp;dl=0","Click to download SizeChart")</f>
      </c>
      <c r="C571" s="0" t="inlineStr">
        <is>
          <t>Nyx Women's Pullover</t>
        </is>
      </c>
      <c r="D571" s="0" t="inlineStr">
        <is>
          <t>'127813</t>
        </is>
      </c>
      <c r="E571" s="0" t="inlineStr">
        <is>
          <t>NDSU NYX W RE:127813E-2XL</t>
        </is>
      </c>
      <c r="F571" s="0" t="inlineStr">
        <is>
          <t>'813127813084</t>
        </is>
      </c>
      <c r="G571" s="0" t="inlineStr">
        <is>
          <t>WOMENS</t>
        </is>
      </c>
      <c r="H571" s="0" t="inlineStr">
        <is>
          <t>2XL</t>
        </is>
      </c>
      <c r="I571" s="0">
        <v>49.99</v>
      </c>
      <c r="J571" s="0">
        <v>2</v>
      </c>
    </row>
    <row r="572" spans="1:10" customHeight="0">
      <c r="A572" s="0">
        <f>HYPERLINK("https://dl.dropboxusercontent.com/scl/fi/s5l11rlsqzzy29tb71dgk/127813t.jpg?rlkey=swoe5vidpnq49zld4w4dfgunp&amp;dl=0","Click to download Image")</f>
      </c>
      <c r="B572" s="0">
        <f>HYPERLINK("https://dl.dropboxusercontent.com/scl/fi/xczydqmf8cgfalm0itsro/womens-pullover-size-chartsnyx.jpg?rlkey=rao2j8srs4w5rjiegyaivla70&amp;dl=0","Click to download SizeChart")</f>
      </c>
      <c r="C572" s="0" t="inlineStr">
        <is>
          <t>Nyx Women's Pullover</t>
        </is>
      </c>
      <c r="D572" s="0" t="inlineStr">
        <is>
          <t>'127813</t>
        </is>
      </c>
      <c r="E572" s="0" t="inlineStr">
        <is>
          <t>NDSU NYX W RE:127813F-3XL</t>
        </is>
      </c>
      <c r="F572" s="0" t="inlineStr">
        <is>
          <t>'813127813091</t>
        </is>
      </c>
      <c r="G572" s="0" t="inlineStr">
        <is>
          <t>WOMENS</t>
        </is>
      </c>
      <c r="H572" s="0" t="inlineStr">
        <is>
          <t>3XL</t>
        </is>
      </c>
      <c r="I572" s="0">
        <v>49.99</v>
      </c>
      <c r="J572" s="0">
        <v>1</v>
      </c>
    </row>
    <row r="573" spans="1:10" customHeight="0">
      <c r="A573" s="0">
        <f>HYPERLINK("https://dl.dropboxusercontent.com/scl/fi/s5l11rlsqzzy29tb71dgk/127813t.jpg?rlkey=swoe5vidpnq49zld4w4dfgunp&amp;dl=0","Click to download Image")</f>
      </c>
      <c r="B573" s="0">
        <f>HYPERLINK("https://dl.dropboxusercontent.com/scl/fi/xczydqmf8cgfalm0itsro/womens-pullover-size-chartsnyx.jpg?rlkey=rao2j8srs4w5rjiegyaivla70&amp;dl=0","Click to download SizeChart")</f>
      </c>
      <c r="C573" s="0" t="inlineStr">
        <is>
          <t>Nyx Women's Pullover</t>
        </is>
      </c>
      <c r="D573" s="0" t="inlineStr">
        <is>
          <t>'127813</t>
        </is>
      </c>
      <c r="E573" s="0" t="inlineStr">
        <is>
          <t>NDSU NYX W RE 12PK:127813Z-12PK</t>
        </is>
      </c>
      <c r="F573" s="0" t="inlineStr">
        <is>
          <t>'813127813992</t>
        </is>
      </c>
      <c r="G573" s="0" t="inlineStr">
        <is>
          <t>WOMENS</t>
        </is>
      </c>
      <c r="H573" s="0" t="inlineStr">
        <is>
          <t>12 PACK</t>
        </is>
      </c>
      <c r="I573" s="0">
        <v>480</v>
      </c>
      <c r="J573" s="0">
        <v>0</v>
      </c>
    </row>
    <row r="574" spans="1:10" customHeight="0">
      <c r="A574" s="0">
        <f>HYPERLINK("https://dl.dropboxusercontent.com/scl/fi/t3rdf7ieqhhpcex6gpqn6/113498-f1.jpg?rlkey=zt3hsq9t91yd2zrlgxhqb3h57&amp;dl=0","Click to download Image")</f>
      </c>
      <c r="B574" s="0">
        <f>HYPERLINK("https://dl.dropboxusercontent.com/scl/fi/0ae5x73tvw449ojzey53s/mens-jackets-size-chartsrobert.jpg?rlkey=ir6ufhs82dakslrf9qlfnxmp4&amp;dl=0","Click to download SizeChart")</f>
      </c>
      <c r="C574" s="0" t="inlineStr">
        <is>
          <t>Robert Men's Wool Vest</t>
        </is>
      </c>
      <c r="D574" s="0" t="inlineStr">
        <is>
          <t>'113498</t>
        </is>
      </c>
      <c r="E574" s="0" t="inlineStr">
        <is>
          <t>UNI ROBERT M BLACK:113498A-S</t>
        </is>
      </c>
      <c r="F574" s="0" t="inlineStr">
        <is>
          <t>'802113498046</t>
        </is>
      </c>
      <c r="G574" s="0" t="inlineStr">
        <is>
          <t>MENS</t>
        </is>
      </c>
      <c r="H574" s="0" t="inlineStr">
        <is>
          <t>S</t>
        </is>
      </c>
      <c r="I574" s="0">
        <v>59.99</v>
      </c>
      <c r="J574" s="0">
        <v>3</v>
      </c>
    </row>
    <row r="575" spans="1:10" customHeight="0">
      <c r="A575" s="0">
        <f>HYPERLINK("https://dl.dropboxusercontent.com/scl/fi/t3rdf7ieqhhpcex6gpqn6/113498-f1.jpg?rlkey=zt3hsq9t91yd2zrlgxhqb3h57&amp;dl=0","Click to download Image")</f>
      </c>
      <c r="B575" s="0">
        <f>HYPERLINK("https://dl.dropboxusercontent.com/scl/fi/0ae5x73tvw449ojzey53s/mens-jackets-size-chartsrobert.jpg?rlkey=ir6ufhs82dakslrf9qlfnxmp4&amp;dl=0","Click to download SizeChart")</f>
      </c>
      <c r="C575" s="0" t="inlineStr">
        <is>
          <t>Robert Men's Wool Vest</t>
        </is>
      </c>
      <c r="D575" s="0" t="inlineStr">
        <is>
          <t>'113498</t>
        </is>
      </c>
      <c r="E575" s="0" t="inlineStr">
        <is>
          <t>UNI ROBERT M BLACK:113498B-M</t>
        </is>
      </c>
      <c r="F575" s="0" t="inlineStr">
        <is>
          <t>'802113498053</t>
        </is>
      </c>
      <c r="G575" s="0" t="inlineStr">
        <is>
          <t>MENS</t>
        </is>
      </c>
      <c r="H575" s="0" t="inlineStr">
        <is>
          <t>M</t>
        </is>
      </c>
      <c r="I575" s="0">
        <v>59.99</v>
      </c>
      <c r="J575" s="0">
        <v>6</v>
      </c>
    </row>
    <row r="576" spans="1:10" customHeight="0">
      <c r="A576" s="0">
        <f>HYPERLINK("https://dl.dropboxusercontent.com/scl/fi/t3rdf7ieqhhpcex6gpqn6/113498-f1.jpg?rlkey=zt3hsq9t91yd2zrlgxhqb3h57&amp;dl=0","Click to download Image")</f>
      </c>
      <c r="B576" s="0">
        <f>HYPERLINK("https://dl.dropboxusercontent.com/scl/fi/0ae5x73tvw449ojzey53s/mens-jackets-size-chartsrobert.jpg?rlkey=ir6ufhs82dakslrf9qlfnxmp4&amp;dl=0","Click to download SizeChart")</f>
      </c>
      <c r="C576" s="0" t="inlineStr">
        <is>
          <t>Robert Men's Wool Vest</t>
        </is>
      </c>
      <c r="D576" s="0" t="inlineStr">
        <is>
          <t>'113498</t>
        </is>
      </c>
      <c r="E576" s="0" t="inlineStr">
        <is>
          <t>UNI ROBERT M BLACK:113498C-L</t>
        </is>
      </c>
      <c r="F576" s="0" t="inlineStr">
        <is>
          <t>'802113498060</t>
        </is>
      </c>
      <c r="G576" s="0" t="inlineStr">
        <is>
          <t>MENS</t>
        </is>
      </c>
      <c r="H576" s="0" t="inlineStr">
        <is>
          <t>L</t>
        </is>
      </c>
      <c r="I576" s="0">
        <v>59.99</v>
      </c>
      <c r="J576" s="0">
        <v>5</v>
      </c>
    </row>
    <row r="577" spans="1:10" customHeight="0">
      <c r="A577" s="0">
        <f>HYPERLINK("https://dl.dropboxusercontent.com/scl/fi/t3rdf7ieqhhpcex6gpqn6/113498-f1.jpg?rlkey=zt3hsq9t91yd2zrlgxhqb3h57&amp;dl=0","Click to download Image")</f>
      </c>
      <c r="B577" s="0">
        <f>HYPERLINK("https://dl.dropboxusercontent.com/scl/fi/0ae5x73tvw449ojzey53s/mens-jackets-size-chartsrobert.jpg?rlkey=ir6ufhs82dakslrf9qlfnxmp4&amp;dl=0","Click to download SizeChart")</f>
      </c>
      <c r="C577" s="0" t="inlineStr">
        <is>
          <t>Robert Men's Wool Vest</t>
        </is>
      </c>
      <c r="D577" s="0" t="inlineStr">
        <is>
          <t>'113498</t>
        </is>
      </c>
      <c r="E577" s="0" t="inlineStr">
        <is>
          <t>UNI ROBERT M BLACK:113498D-XL</t>
        </is>
      </c>
      <c r="F577" s="0" t="inlineStr">
        <is>
          <t>'802113498077</t>
        </is>
      </c>
      <c r="G577" s="0" t="inlineStr">
        <is>
          <t>MENS</t>
        </is>
      </c>
      <c r="H577" s="0" t="inlineStr">
        <is>
          <t>XL</t>
        </is>
      </c>
      <c r="I577" s="0">
        <v>59.99</v>
      </c>
      <c r="J577" s="0">
        <v>3</v>
      </c>
    </row>
    <row r="578" spans="1:10" customHeight="0">
      <c r="A578" s="0">
        <f>HYPERLINK("https://dl.dropboxusercontent.com/scl/fi/t3rdf7ieqhhpcex6gpqn6/113498-f1.jpg?rlkey=zt3hsq9t91yd2zrlgxhqb3h57&amp;dl=0","Click to download Image")</f>
      </c>
      <c r="B578" s="0">
        <f>HYPERLINK("https://dl.dropboxusercontent.com/scl/fi/0ae5x73tvw449ojzey53s/mens-jackets-size-chartsrobert.jpg?rlkey=ir6ufhs82dakslrf9qlfnxmp4&amp;dl=0","Click to download SizeChart")</f>
      </c>
      <c r="C578" s="0" t="inlineStr">
        <is>
          <t>Robert Men's Wool Vest</t>
        </is>
      </c>
      <c r="D578" s="0" t="inlineStr">
        <is>
          <t>'113498</t>
        </is>
      </c>
      <c r="E578" s="0" t="inlineStr">
        <is>
          <t>UNI ROBERT M BLACK:113498E-2XL</t>
        </is>
      </c>
      <c r="F578" s="0" t="inlineStr">
        <is>
          <t>'802113498084</t>
        </is>
      </c>
      <c r="G578" s="0" t="inlineStr">
        <is>
          <t>MENS</t>
        </is>
      </c>
      <c r="H578" s="0" t="inlineStr">
        <is>
          <t>2XL</t>
        </is>
      </c>
      <c r="I578" s="0">
        <v>59.99</v>
      </c>
      <c r="J578" s="0">
        <v>3</v>
      </c>
    </row>
    <row r="579" spans="1:10" customHeight="0">
      <c r="A579" s="0">
        <f>HYPERLINK("https://dl.dropboxusercontent.com/scl/fi/t3rdf7ieqhhpcex6gpqn6/113498-f1.jpg?rlkey=zt3hsq9t91yd2zrlgxhqb3h57&amp;dl=0","Click to download Image")</f>
      </c>
      <c r="B579" s="0">
        <f>HYPERLINK("https://dl.dropboxusercontent.com/scl/fi/0ae5x73tvw449ojzey53s/mens-jackets-size-chartsrobert.jpg?rlkey=ir6ufhs82dakslrf9qlfnxmp4&amp;dl=0","Click to download SizeChart")</f>
      </c>
      <c r="C579" s="0" t="inlineStr">
        <is>
          <t>Robert Men's Wool Vest</t>
        </is>
      </c>
      <c r="D579" s="0" t="inlineStr">
        <is>
          <t>'113498</t>
        </is>
      </c>
      <c r="E579" s="0" t="inlineStr">
        <is>
          <t>UNI ROBERT M BLACK:113498F-3XL</t>
        </is>
      </c>
      <c r="F579" s="0" t="inlineStr">
        <is>
          <t>'802113498091</t>
        </is>
      </c>
      <c r="G579" s="0" t="inlineStr">
        <is>
          <t>MENS</t>
        </is>
      </c>
      <c r="H579" s="0" t="inlineStr">
        <is>
          <t>3XL</t>
        </is>
      </c>
      <c r="I579" s="0">
        <v>59.99</v>
      </c>
      <c r="J579" s="0">
        <v>0</v>
      </c>
    </row>
    <row r="580" spans="1:10" customHeight="0">
      <c r="A580" s="0">
        <f>HYPERLINK("https://dl.dropboxusercontent.com/scl/fi/t3rdf7ieqhhpcex6gpqn6/113498-f1.jpg?rlkey=zt3hsq9t91yd2zrlgxhqb3h57&amp;dl=0","Click to download Image")</f>
      </c>
      <c r="B580" s="0">
        <f>HYPERLINK("https://dl.dropboxusercontent.com/scl/fi/0ae5x73tvw449ojzey53s/mens-jackets-size-chartsrobert.jpg?rlkey=ir6ufhs82dakslrf9qlfnxmp4&amp;dl=0","Click to download SizeChart")</f>
      </c>
      <c r="C580" s="0" t="inlineStr">
        <is>
          <t>Robert Men's Wool Vest</t>
        </is>
      </c>
      <c r="D580" s="0" t="inlineStr">
        <is>
          <t>'113498</t>
        </is>
      </c>
      <c r="E580" s="0" t="inlineStr">
        <is>
          <t>UNI ROBERT M BLACK 12 PACK:113498Z-12PK</t>
        </is>
      </c>
      <c r="F580" s="0" t="inlineStr">
        <is>
          <t>'802113498992</t>
        </is>
      </c>
      <c r="G580" s="0" t="inlineStr">
        <is>
          <t>MENS</t>
        </is>
      </c>
      <c r="H580" s="0" t="inlineStr">
        <is>
          <t>12 PACK</t>
        </is>
      </c>
      <c r="I580" s="0">
        <v>582</v>
      </c>
      <c r="J580" s="0">
        <v>0</v>
      </c>
    </row>
    <row r="581" spans="1:10" customHeight="0">
      <c r="A581" s="0">
        <f>HYPERLINK("https://dl.dropboxusercontent.com/scl/fi/w8757bvr0ghpsj8e9zp7o/113497-f1.jpg?rlkey=lyhmngqvpk6xis3uhzns3u9fv&amp;dl=0","Click to download Image")</f>
      </c>
      <c r="B581" s="0">
        <f>HYPERLINK("https://dl.dropboxusercontent.com/scl/fi/0ae5x73tvw449ojzey53s/mens-jackets-size-chartsrobert.jpg?rlkey=ir6ufhs82dakslrf9qlfnxmp4&amp;dl=0","Click to download SizeChart")</f>
      </c>
      <c r="C581" s="0" t="inlineStr">
        <is>
          <t>Robert Men's Wool Vest</t>
        </is>
      </c>
      <c r="D581" s="0" t="inlineStr">
        <is>
          <t>'113497</t>
        </is>
      </c>
      <c r="E581" s="0" t="inlineStr">
        <is>
          <t>ISU ROBERT M BLACK:113497A-S</t>
        </is>
      </c>
      <c r="F581" s="0" t="inlineStr">
        <is>
          <t>'801113497042</t>
        </is>
      </c>
      <c r="G581" s="0" t="inlineStr">
        <is>
          <t>MENS</t>
        </is>
      </c>
      <c r="H581" s="0" t="inlineStr">
        <is>
          <t>S</t>
        </is>
      </c>
      <c r="I581" s="0">
        <v>59.99</v>
      </c>
      <c r="J581" s="0">
        <v>7</v>
      </c>
    </row>
    <row r="582" spans="1:10" customHeight="0">
      <c r="A582" s="0">
        <f>HYPERLINK("https://dl.dropboxusercontent.com/scl/fi/w8757bvr0ghpsj8e9zp7o/113497-f1.jpg?rlkey=lyhmngqvpk6xis3uhzns3u9fv&amp;dl=0","Click to download Image")</f>
      </c>
      <c r="B582" s="0">
        <f>HYPERLINK("https://dl.dropboxusercontent.com/scl/fi/0ae5x73tvw449ojzey53s/mens-jackets-size-chartsrobert.jpg?rlkey=ir6ufhs82dakslrf9qlfnxmp4&amp;dl=0","Click to download SizeChart")</f>
      </c>
      <c r="C582" s="0" t="inlineStr">
        <is>
          <t>Robert Men's Wool Vest</t>
        </is>
      </c>
      <c r="D582" s="0" t="inlineStr">
        <is>
          <t>'113497</t>
        </is>
      </c>
      <c r="E582" s="0" t="inlineStr">
        <is>
          <t>ISU ROBERT M BLACK:113497B-M</t>
        </is>
      </c>
      <c r="F582" s="0" t="inlineStr">
        <is>
          <t>'801113497059</t>
        </is>
      </c>
      <c r="G582" s="0" t="inlineStr">
        <is>
          <t>MENS</t>
        </is>
      </c>
      <c r="H582" s="0" t="inlineStr">
        <is>
          <t>M</t>
        </is>
      </c>
      <c r="I582" s="0">
        <v>59.99</v>
      </c>
      <c r="J582" s="0">
        <v>3</v>
      </c>
    </row>
    <row r="583" spans="1:10" customHeight="0">
      <c r="A583" s="0">
        <f>HYPERLINK("https://dl.dropboxusercontent.com/scl/fi/w8757bvr0ghpsj8e9zp7o/113497-f1.jpg?rlkey=lyhmngqvpk6xis3uhzns3u9fv&amp;dl=0","Click to download Image")</f>
      </c>
      <c r="B583" s="0">
        <f>HYPERLINK("https://dl.dropboxusercontent.com/scl/fi/0ae5x73tvw449ojzey53s/mens-jackets-size-chartsrobert.jpg?rlkey=ir6ufhs82dakslrf9qlfnxmp4&amp;dl=0","Click to download SizeChart")</f>
      </c>
      <c r="C583" s="0" t="inlineStr">
        <is>
          <t>Robert Men's Wool Vest</t>
        </is>
      </c>
      <c r="D583" s="0" t="inlineStr">
        <is>
          <t>'113497</t>
        </is>
      </c>
      <c r="E583" s="0" t="inlineStr">
        <is>
          <t>ISU ROBERT M BLACK:113497C-L</t>
        </is>
      </c>
      <c r="F583" s="0" t="inlineStr">
        <is>
          <t>'801113497066</t>
        </is>
      </c>
      <c r="G583" s="0" t="inlineStr">
        <is>
          <t>MENS</t>
        </is>
      </c>
      <c r="H583" s="0" t="inlineStr">
        <is>
          <t>L</t>
        </is>
      </c>
      <c r="I583" s="0">
        <v>59.99</v>
      </c>
      <c r="J583" s="0">
        <v>0</v>
      </c>
    </row>
    <row r="584" spans="1:10" customHeight="0">
      <c r="A584" s="0">
        <f>HYPERLINK("https://dl.dropboxusercontent.com/scl/fi/w8757bvr0ghpsj8e9zp7o/113497-f1.jpg?rlkey=lyhmngqvpk6xis3uhzns3u9fv&amp;dl=0","Click to download Image")</f>
      </c>
      <c r="B584" s="0">
        <f>HYPERLINK("https://dl.dropboxusercontent.com/scl/fi/0ae5x73tvw449ojzey53s/mens-jackets-size-chartsrobert.jpg?rlkey=ir6ufhs82dakslrf9qlfnxmp4&amp;dl=0","Click to download SizeChart")</f>
      </c>
      <c r="C584" s="0" t="inlineStr">
        <is>
          <t>Robert Men's Wool Vest</t>
        </is>
      </c>
      <c r="D584" s="0" t="inlineStr">
        <is>
          <t>'113497</t>
        </is>
      </c>
      <c r="E584" s="0" t="inlineStr">
        <is>
          <t>ISU ROBERT M BLACK:113497D-XL</t>
        </is>
      </c>
      <c r="F584" s="0" t="inlineStr">
        <is>
          <t>'801113497073</t>
        </is>
      </c>
      <c r="G584" s="0" t="inlineStr">
        <is>
          <t>MENS</t>
        </is>
      </c>
      <c r="H584" s="0" t="inlineStr">
        <is>
          <t>XL</t>
        </is>
      </c>
      <c r="I584" s="0">
        <v>59.99</v>
      </c>
      <c r="J584" s="0">
        <v>0</v>
      </c>
    </row>
    <row r="585" spans="1:10" customHeight="0">
      <c r="A585" s="0">
        <f>HYPERLINK("https://dl.dropboxusercontent.com/scl/fi/w8757bvr0ghpsj8e9zp7o/113497-f1.jpg?rlkey=lyhmngqvpk6xis3uhzns3u9fv&amp;dl=0","Click to download Image")</f>
      </c>
      <c r="B585" s="0">
        <f>HYPERLINK("https://dl.dropboxusercontent.com/scl/fi/0ae5x73tvw449ojzey53s/mens-jackets-size-chartsrobert.jpg?rlkey=ir6ufhs82dakslrf9qlfnxmp4&amp;dl=0","Click to download SizeChart")</f>
      </c>
      <c r="C585" s="0" t="inlineStr">
        <is>
          <t>Robert Men's Wool Vest</t>
        </is>
      </c>
      <c r="D585" s="0" t="inlineStr">
        <is>
          <t>'113497</t>
        </is>
      </c>
      <c r="E585" s="0" t="inlineStr">
        <is>
          <t>ISU ROBERT M BLACK:113497E-2XL</t>
        </is>
      </c>
      <c r="F585" s="0" t="inlineStr">
        <is>
          <t>'801113497080</t>
        </is>
      </c>
      <c r="G585" s="0" t="inlineStr">
        <is>
          <t>MENS</t>
        </is>
      </c>
      <c r="H585" s="0" t="inlineStr">
        <is>
          <t>2XL</t>
        </is>
      </c>
      <c r="I585" s="0">
        <v>59.99</v>
      </c>
      <c r="J585" s="0">
        <v>0</v>
      </c>
    </row>
    <row r="586" spans="1:10" customHeight="0">
      <c r="A586" s="0">
        <f>HYPERLINK("https://dl.dropboxusercontent.com/scl/fi/w8757bvr0ghpsj8e9zp7o/113497-f1.jpg?rlkey=lyhmngqvpk6xis3uhzns3u9fv&amp;dl=0","Click to download Image")</f>
      </c>
      <c r="B586" s="0">
        <f>HYPERLINK("https://dl.dropboxusercontent.com/scl/fi/0ae5x73tvw449ojzey53s/mens-jackets-size-chartsrobert.jpg?rlkey=ir6ufhs82dakslrf9qlfnxmp4&amp;dl=0","Click to download SizeChart")</f>
      </c>
      <c r="C586" s="0" t="inlineStr">
        <is>
          <t>Robert Men's Wool Vest</t>
        </is>
      </c>
      <c r="D586" s="0" t="inlineStr">
        <is>
          <t>'113497</t>
        </is>
      </c>
      <c r="E586" s="0" t="inlineStr">
        <is>
          <t>ISU ROBERT M BLACK:113497F-3XL</t>
        </is>
      </c>
      <c r="F586" s="0" t="inlineStr">
        <is>
          <t>'801113497097</t>
        </is>
      </c>
      <c r="G586" s="0" t="inlineStr">
        <is>
          <t>MENS</t>
        </is>
      </c>
      <c r="H586" s="0" t="inlineStr">
        <is>
          <t>3XL</t>
        </is>
      </c>
      <c r="I586" s="0">
        <v>59.99</v>
      </c>
      <c r="J586" s="0">
        <v>0</v>
      </c>
    </row>
    <row r="587" spans="1:10" customHeight="0">
      <c r="A587" s="0">
        <f>HYPERLINK("https://dl.dropboxusercontent.com/scl/fi/w8757bvr0ghpsj8e9zp7o/113497-f1.jpg?rlkey=lyhmngqvpk6xis3uhzns3u9fv&amp;dl=0","Click to download Image")</f>
      </c>
      <c r="B587" s="0">
        <f>HYPERLINK("https://dl.dropboxusercontent.com/scl/fi/0ae5x73tvw449ojzey53s/mens-jackets-size-chartsrobert.jpg?rlkey=ir6ufhs82dakslrf9qlfnxmp4&amp;dl=0","Click to download SizeChart")</f>
      </c>
      <c r="C587" s="0" t="inlineStr">
        <is>
          <t>Robert Men's Wool Vest</t>
        </is>
      </c>
      <c r="D587" s="0" t="inlineStr">
        <is>
          <t>'113497</t>
        </is>
      </c>
      <c r="E587" s="0" t="inlineStr">
        <is>
          <t>ISU ROBERT M BLACK 12 PACK:113497Z-12PK</t>
        </is>
      </c>
      <c r="F587" s="0" t="inlineStr">
        <is>
          <t>'801113497998</t>
        </is>
      </c>
      <c r="G587" s="0" t="inlineStr">
        <is>
          <t>MENS</t>
        </is>
      </c>
      <c r="H587" s="0" t="inlineStr">
        <is>
          <t>12 PACK</t>
        </is>
      </c>
      <c r="I587" s="0">
        <v>582</v>
      </c>
      <c r="J587" s="0">
        <v>0</v>
      </c>
    </row>
    <row r="588" spans="1:10" customHeight="0">
      <c r="A588" s="0">
        <f>HYPERLINK("https://dl.dropboxusercontent.com/scl/fi/957agb85dmhckh0c7o26i/113496af09973.jpg?rlkey=dyoi9lzoi7q77f7xtin9mn52e&amp;dl=0","Click to download Image")</f>
      </c>
      <c r="B588" s="0">
        <f>HYPERLINK("https://dl.dropboxusercontent.com/scl/fi/0ae5x73tvw449ojzey53s/mens-jackets-size-chartsrobert.jpg?rlkey=ir6ufhs82dakslrf9qlfnxmp4&amp;dl=0","Click to download SizeChart")</f>
      </c>
      <c r="C588" s="0" t="inlineStr">
        <is>
          <t>Robert Men's Wool Vest</t>
        </is>
      </c>
      <c r="D588" s="0" t="inlineStr">
        <is>
          <t>'113496</t>
        </is>
      </c>
      <c r="E588" s="0" t="inlineStr">
        <is>
          <t>IOWA ROBERT M BLACK:113496A-S</t>
        </is>
      </c>
      <c r="F588" s="0" t="inlineStr">
        <is>
          <t>'800113496048</t>
        </is>
      </c>
      <c r="G588" s="0" t="inlineStr">
        <is>
          <t>MENS</t>
        </is>
      </c>
      <c r="H588" s="0" t="inlineStr">
        <is>
          <t>S</t>
        </is>
      </c>
      <c r="I588" s="0">
        <v>59.99</v>
      </c>
      <c r="J588" s="0">
        <v>7</v>
      </c>
    </row>
    <row r="589" spans="1:10" customHeight="0">
      <c r="A589" s="0">
        <f>HYPERLINK("https://dl.dropboxusercontent.com/scl/fi/957agb85dmhckh0c7o26i/113496af09973.jpg?rlkey=dyoi9lzoi7q77f7xtin9mn52e&amp;dl=0","Click to download Image")</f>
      </c>
      <c r="B589" s="0">
        <f>HYPERLINK("https://dl.dropboxusercontent.com/scl/fi/0ae5x73tvw449ojzey53s/mens-jackets-size-chartsrobert.jpg?rlkey=ir6ufhs82dakslrf9qlfnxmp4&amp;dl=0","Click to download SizeChart")</f>
      </c>
      <c r="C589" s="0" t="inlineStr">
        <is>
          <t>Robert Men's Wool Vest</t>
        </is>
      </c>
      <c r="D589" s="0" t="inlineStr">
        <is>
          <t>'113496</t>
        </is>
      </c>
      <c r="E589" s="0" t="inlineStr">
        <is>
          <t>IOWA ROBERT M BLACK:113496B-M</t>
        </is>
      </c>
      <c r="F589" s="0" t="inlineStr">
        <is>
          <t>'800113496055</t>
        </is>
      </c>
      <c r="G589" s="0" t="inlineStr">
        <is>
          <t>MENS</t>
        </is>
      </c>
      <c r="H589" s="0" t="inlineStr">
        <is>
          <t>M</t>
        </is>
      </c>
      <c r="I589" s="0">
        <v>59.99</v>
      </c>
      <c r="J589" s="0">
        <v>4</v>
      </c>
    </row>
    <row r="590" spans="1:10" customHeight="0">
      <c r="A590" s="0">
        <f>HYPERLINK("https://dl.dropboxusercontent.com/scl/fi/957agb85dmhckh0c7o26i/113496af09973.jpg?rlkey=dyoi9lzoi7q77f7xtin9mn52e&amp;dl=0","Click to download Image")</f>
      </c>
      <c r="B590" s="0">
        <f>HYPERLINK("https://dl.dropboxusercontent.com/scl/fi/0ae5x73tvw449ojzey53s/mens-jackets-size-chartsrobert.jpg?rlkey=ir6ufhs82dakslrf9qlfnxmp4&amp;dl=0","Click to download SizeChart")</f>
      </c>
      <c r="C590" s="0" t="inlineStr">
        <is>
          <t>Robert Men's Wool Vest</t>
        </is>
      </c>
      <c r="D590" s="0" t="inlineStr">
        <is>
          <t>'113496</t>
        </is>
      </c>
      <c r="E590" s="0" t="inlineStr">
        <is>
          <t>IOWA ROBERT M BLACK:113496C-L</t>
        </is>
      </c>
      <c r="F590" s="0" t="inlineStr">
        <is>
          <t>'800113496062</t>
        </is>
      </c>
      <c r="G590" s="0" t="inlineStr">
        <is>
          <t>MENS</t>
        </is>
      </c>
      <c r="H590" s="0" t="inlineStr">
        <is>
          <t>L</t>
        </is>
      </c>
      <c r="I590" s="0">
        <v>59.99</v>
      </c>
      <c r="J590" s="0">
        <v>0</v>
      </c>
    </row>
    <row r="591" spans="1:10" customHeight="0">
      <c r="A591" s="0">
        <f>HYPERLINK("https://dl.dropboxusercontent.com/scl/fi/957agb85dmhckh0c7o26i/113496af09973.jpg?rlkey=dyoi9lzoi7q77f7xtin9mn52e&amp;dl=0","Click to download Image")</f>
      </c>
      <c r="B591" s="0">
        <f>HYPERLINK("https://dl.dropboxusercontent.com/scl/fi/0ae5x73tvw449ojzey53s/mens-jackets-size-chartsrobert.jpg?rlkey=ir6ufhs82dakslrf9qlfnxmp4&amp;dl=0","Click to download SizeChart")</f>
      </c>
      <c r="C591" s="0" t="inlineStr">
        <is>
          <t>Robert Men's Wool Vest</t>
        </is>
      </c>
      <c r="D591" s="0" t="inlineStr">
        <is>
          <t>'113496</t>
        </is>
      </c>
      <c r="E591" s="0" t="inlineStr">
        <is>
          <t>IOWA ROBERT M BLACK:113496D-XL</t>
        </is>
      </c>
      <c r="F591" s="0" t="inlineStr">
        <is>
          <t>'800113496079</t>
        </is>
      </c>
      <c r="G591" s="0" t="inlineStr">
        <is>
          <t>MENS</t>
        </is>
      </c>
      <c r="H591" s="0" t="inlineStr">
        <is>
          <t>XL</t>
        </is>
      </c>
      <c r="I591" s="0">
        <v>59.99</v>
      </c>
      <c r="J591" s="0">
        <v>0</v>
      </c>
    </row>
    <row r="592" spans="1:10" customHeight="0">
      <c r="A592" s="0">
        <f>HYPERLINK("https://dl.dropboxusercontent.com/scl/fi/957agb85dmhckh0c7o26i/113496af09973.jpg?rlkey=dyoi9lzoi7q77f7xtin9mn52e&amp;dl=0","Click to download Image")</f>
      </c>
      <c r="B592" s="0">
        <f>HYPERLINK("https://dl.dropboxusercontent.com/scl/fi/0ae5x73tvw449ojzey53s/mens-jackets-size-chartsrobert.jpg?rlkey=ir6ufhs82dakslrf9qlfnxmp4&amp;dl=0","Click to download SizeChart")</f>
      </c>
      <c r="C592" s="0" t="inlineStr">
        <is>
          <t>Robert Men's Wool Vest</t>
        </is>
      </c>
      <c r="D592" s="0" t="inlineStr">
        <is>
          <t>'113496</t>
        </is>
      </c>
      <c r="E592" s="0" t="inlineStr">
        <is>
          <t>IOWA ROBERT M BLACK:113496E-2XL</t>
        </is>
      </c>
      <c r="F592" s="0" t="inlineStr">
        <is>
          <t>'800113496086</t>
        </is>
      </c>
      <c r="G592" s="0" t="inlineStr">
        <is>
          <t>MENS</t>
        </is>
      </c>
      <c r="H592" s="0" t="inlineStr">
        <is>
          <t>2XL</t>
        </is>
      </c>
      <c r="I592" s="0">
        <v>59.99</v>
      </c>
      <c r="J592" s="0">
        <v>0</v>
      </c>
    </row>
    <row r="593" spans="1:10" customHeight="0">
      <c r="A593" s="0">
        <f>HYPERLINK("https://dl.dropboxusercontent.com/scl/fi/957agb85dmhckh0c7o26i/113496af09973.jpg?rlkey=dyoi9lzoi7q77f7xtin9mn52e&amp;dl=0","Click to download Image")</f>
      </c>
      <c r="B593" s="0">
        <f>HYPERLINK("https://dl.dropboxusercontent.com/scl/fi/0ae5x73tvw449ojzey53s/mens-jackets-size-chartsrobert.jpg?rlkey=ir6ufhs82dakslrf9qlfnxmp4&amp;dl=0","Click to download SizeChart")</f>
      </c>
      <c r="C593" s="0" t="inlineStr">
        <is>
          <t>Robert Men's Wool Vest</t>
        </is>
      </c>
      <c r="D593" s="0" t="inlineStr">
        <is>
          <t>'113496</t>
        </is>
      </c>
      <c r="E593" s="0" t="inlineStr">
        <is>
          <t>IOWA ROBERT M BLACK:113496F-3XL</t>
        </is>
      </c>
      <c r="F593" s="0" t="inlineStr">
        <is>
          <t>'800113496093</t>
        </is>
      </c>
      <c r="G593" s="0" t="inlineStr">
        <is>
          <t>MENS</t>
        </is>
      </c>
      <c r="H593" s="0" t="inlineStr">
        <is>
          <t>3XL</t>
        </is>
      </c>
      <c r="I593" s="0">
        <v>59.99</v>
      </c>
      <c r="J593" s="0">
        <v>0</v>
      </c>
    </row>
    <row r="594" spans="1:10" customHeight="0">
      <c r="A594" s="0">
        <f>HYPERLINK("https://dl.dropboxusercontent.com/scl/fi/957agb85dmhckh0c7o26i/113496af09973.jpg?rlkey=dyoi9lzoi7q77f7xtin9mn52e&amp;dl=0","Click to download Image")</f>
      </c>
      <c r="B594" s="0">
        <f>HYPERLINK("https://dl.dropboxusercontent.com/scl/fi/0ae5x73tvw449ojzey53s/mens-jackets-size-chartsrobert.jpg?rlkey=ir6ufhs82dakslrf9qlfnxmp4&amp;dl=0","Click to download SizeChart")</f>
      </c>
      <c r="C594" s="0" t="inlineStr">
        <is>
          <t>Robert Men's Wool Vest</t>
        </is>
      </c>
      <c r="D594" s="0" t="inlineStr">
        <is>
          <t>'113496</t>
        </is>
      </c>
      <c r="E594" s="0" t="inlineStr">
        <is>
          <t>IOWA ROBERT M BLACK 12 PACK:113496Z-12PK</t>
        </is>
      </c>
      <c r="F594" s="0" t="inlineStr">
        <is>
          <t>'800113496994</t>
        </is>
      </c>
      <c r="G594" s="0" t="inlineStr">
        <is>
          <t>MENS</t>
        </is>
      </c>
      <c r="H594" s="0" t="inlineStr">
        <is>
          <t>12 PACK</t>
        </is>
      </c>
      <c r="I594" s="0">
        <v>582</v>
      </c>
      <c r="J594" s="0">
        <v>0</v>
      </c>
    </row>
    <row r="595" spans="1:10" customHeight="0">
      <c r="A595" s="0">
        <f>HYPERLINK("https://dl.dropboxusercontent.com/scl/fi/emg2ja1lak3739i5pz8no/123487-f1.jpg?rlkey=tp33ai4gn4ddmb1ndoa2xtz5y&amp;dl=0","Click to download Image")</f>
      </c>
      <c r="B595" s="0">
        <f>HYPERLINK("https://dl.dropboxusercontent.com/scl/fi/0ae5x73tvw449ojzey53s/mens-jackets-size-chartsrobert.jpg?rlkey=ir6ufhs82dakslrf9qlfnxmp4&amp;dl=0","Click to download SizeChart")</f>
      </c>
      <c r="C595" s="0" t="inlineStr">
        <is>
          <t>Robert Men's Wool Vest</t>
        </is>
      </c>
      <c r="D595" s="0" t="inlineStr">
        <is>
          <t>'123487</t>
        </is>
      </c>
      <c r="E595" s="0" t="inlineStr">
        <is>
          <t>NDSU ROBERT M BK:123487A-S</t>
        </is>
      </c>
      <c r="F595" s="0" t="inlineStr">
        <is>
          <t>'813123487043</t>
        </is>
      </c>
      <c r="G595" s="0" t="inlineStr">
        <is>
          <t>MENS</t>
        </is>
      </c>
      <c r="H595" s="0" t="inlineStr">
        <is>
          <t>S</t>
        </is>
      </c>
      <c r="I595" s="0">
        <v>59.99</v>
      </c>
      <c r="J595" s="0">
        <v>4</v>
      </c>
    </row>
    <row r="596" spans="1:10" customHeight="0">
      <c r="A596" s="0">
        <f>HYPERLINK("https://dl.dropboxusercontent.com/scl/fi/emg2ja1lak3739i5pz8no/123487-f1.jpg?rlkey=tp33ai4gn4ddmb1ndoa2xtz5y&amp;dl=0","Click to download Image")</f>
      </c>
      <c r="B596" s="0">
        <f>HYPERLINK("https://dl.dropboxusercontent.com/scl/fi/0ae5x73tvw449ojzey53s/mens-jackets-size-chartsrobert.jpg?rlkey=ir6ufhs82dakslrf9qlfnxmp4&amp;dl=0","Click to download SizeChart")</f>
      </c>
      <c r="C596" s="0" t="inlineStr">
        <is>
          <t>Robert Men's Wool Vest</t>
        </is>
      </c>
      <c r="D596" s="0" t="inlineStr">
        <is>
          <t>'123487</t>
        </is>
      </c>
      <c r="E596" s="0" t="inlineStr">
        <is>
          <t>NDSU ROBERT M BK:123487B-M</t>
        </is>
      </c>
      <c r="F596" s="0" t="inlineStr">
        <is>
          <t>'813123487050</t>
        </is>
      </c>
      <c r="G596" s="0" t="inlineStr">
        <is>
          <t>MENS</t>
        </is>
      </c>
      <c r="H596" s="0" t="inlineStr">
        <is>
          <t>M</t>
        </is>
      </c>
      <c r="I596" s="0">
        <v>59.99</v>
      </c>
      <c r="J596" s="0">
        <v>8</v>
      </c>
    </row>
    <row r="597" spans="1:10" customHeight="0">
      <c r="A597" s="0">
        <f>HYPERLINK("https://dl.dropboxusercontent.com/scl/fi/emg2ja1lak3739i5pz8no/123487-f1.jpg?rlkey=tp33ai4gn4ddmb1ndoa2xtz5y&amp;dl=0","Click to download Image")</f>
      </c>
      <c r="B597" s="0">
        <f>HYPERLINK("https://dl.dropboxusercontent.com/scl/fi/0ae5x73tvw449ojzey53s/mens-jackets-size-chartsrobert.jpg?rlkey=ir6ufhs82dakslrf9qlfnxmp4&amp;dl=0","Click to download SizeChart")</f>
      </c>
      <c r="C597" s="0" t="inlineStr">
        <is>
          <t>Robert Men's Wool Vest</t>
        </is>
      </c>
      <c r="D597" s="0" t="inlineStr">
        <is>
          <t>'123487</t>
        </is>
      </c>
      <c r="E597" s="0" t="inlineStr">
        <is>
          <t>NDSU ROBERT M BK:123487C-L</t>
        </is>
      </c>
      <c r="F597" s="0" t="inlineStr">
        <is>
          <t>'813123487067</t>
        </is>
      </c>
      <c r="G597" s="0" t="inlineStr">
        <is>
          <t>MENS</t>
        </is>
      </c>
      <c r="H597" s="0" t="inlineStr">
        <is>
          <t>L</t>
        </is>
      </c>
      <c r="I597" s="0">
        <v>59.99</v>
      </c>
      <c r="J597" s="0">
        <v>3</v>
      </c>
    </row>
    <row r="598" spans="1:10" customHeight="0">
      <c r="A598" s="0">
        <f>HYPERLINK("https://dl.dropboxusercontent.com/scl/fi/emg2ja1lak3739i5pz8no/123487-f1.jpg?rlkey=tp33ai4gn4ddmb1ndoa2xtz5y&amp;dl=0","Click to download Image")</f>
      </c>
      <c r="B598" s="0">
        <f>HYPERLINK("https://dl.dropboxusercontent.com/scl/fi/0ae5x73tvw449ojzey53s/mens-jackets-size-chartsrobert.jpg?rlkey=ir6ufhs82dakslrf9qlfnxmp4&amp;dl=0","Click to download SizeChart")</f>
      </c>
      <c r="C598" s="0" t="inlineStr">
        <is>
          <t>Robert Men's Wool Vest</t>
        </is>
      </c>
      <c r="D598" s="0" t="inlineStr">
        <is>
          <t>'123487</t>
        </is>
      </c>
      <c r="E598" s="0" t="inlineStr">
        <is>
          <t>NDSU ROBERT M BK:123487D-XL</t>
        </is>
      </c>
      <c r="F598" s="0" t="inlineStr">
        <is>
          <t>'813123487074</t>
        </is>
      </c>
      <c r="G598" s="0" t="inlineStr">
        <is>
          <t>MENS</t>
        </is>
      </c>
      <c r="H598" s="0" t="inlineStr">
        <is>
          <t>XL</t>
        </is>
      </c>
      <c r="I598" s="0">
        <v>59.99</v>
      </c>
      <c r="J598" s="0">
        <v>6</v>
      </c>
    </row>
    <row r="599" spans="1:10" customHeight="0">
      <c r="A599" s="0">
        <f>HYPERLINK("https://dl.dropboxusercontent.com/scl/fi/emg2ja1lak3739i5pz8no/123487-f1.jpg?rlkey=tp33ai4gn4ddmb1ndoa2xtz5y&amp;dl=0","Click to download Image")</f>
      </c>
      <c r="B599" s="0">
        <f>HYPERLINK("https://dl.dropboxusercontent.com/scl/fi/0ae5x73tvw449ojzey53s/mens-jackets-size-chartsrobert.jpg?rlkey=ir6ufhs82dakslrf9qlfnxmp4&amp;dl=0","Click to download SizeChart")</f>
      </c>
      <c r="C599" s="0" t="inlineStr">
        <is>
          <t>Robert Men's Wool Vest</t>
        </is>
      </c>
      <c r="D599" s="0" t="inlineStr">
        <is>
          <t>'123487</t>
        </is>
      </c>
      <c r="E599" s="0" t="inlineStr">
        <is>
          <t>NDSU ROBERT M BK:123487E-2XL</t>
        </is>
      </c>
      <c r="F599" s="0" t="inlineStr">
        <is>
          <t>'813123487081</t>
        </is>
      </c>
      <c r="G599" s="0" t="inlineStr">
        <is>
          <t>MENS</t>
        </is>
      </c>
      <c r="H599" s="0" t="inlineStr">
        <is>
          <t>2XL</t>
        </is>
      </c>
      <c r="I599" s="0">
        <v>59.99</v>
      </c>
      <c r="J599" s="0">
        <v>0</v>
      </c>
    </row>
    <row r="600" spans="1:10" customHeight="0">
      <c r="A600" s="0">
        <f>HYPERLINK("https://dl.dropboxusercontent.com/scl/fi/emg2ja1lak3739i5pz8no/123487-f1.jpg?rlkey=tp33ai4gn4ddmb1ndoa2xtz5y&amp;dl=0","Click to download Image")</f>
      </c>
      <c r="B600" s="0">
        <f>HYPERLINK("https://dl.dropboxusercontent.com/scl/fi/0ae5x73tvw449ojzey53s/mens-jackets-size-chartsrobert.jpg?rlkey=ir6ufhs82dakslrf9qlfnxmp4&amp;dl=0","Click to download SizeChart")</f>
      </c>
      <c r="C600" s="0" t="inlineStr">
        <is>
          <t>Robert Men's Wool Vest</t>
        </is>
      </c>
      <c r="D600" s="0" t="inlineStr">
        <is>
          <t>'123487</t>
        </is>
      </c>
      <c r="E600" s="0" t="inlineStr">
        <is>
          <t>NDSU ROBERT M BK:123487F-3XL</t>
        </is>
      </c>
      <c r="F600" s="0" t="inlineStr">
        <is>
          <t>'813123487098</t>
        </is>
      </c>
      <c r="G600" s="0" t="inlineStr">
        <is>
          <t>MENS</t>
        </is>
      </c>
      <c r="H600" s="0" t="inlineStr">
        <is>
          <t>3XL</t>
        </is>
      </c>
      <c r="I600" s="0">
        <v>59.99</v>
      </c>
      <c r="J600" s="0">
        <v>0</v>
      </c>
    </row>
    <row r="601" spans="1:10" customHeight="0">
      <c r="A601" s="0">
        <f>HYPERLINK("https://dl.dropboxusercontent.com/scl/fi/emg2ja1lak3739i5pz8no/123487-f1.jpg?rlkey=tp33ai4gn4ddmb1ndoa2xtz5y&amp;dl=0","Click to download Image")</f>
      </c>
      <c r="B601" s="0">
        <f>HYPERLINK("https://dl.dropboxusercontent.com/scl/fi/0ae5x73tvw449ojzey53s/mens-jackets-size-chartsrobert.jpg?rlkey=ir6ufhs82dakslrf9qlfnxmp4&amp;dl=0","Click to download SizeChart")</f>
      </c>
      <c r="C601" s="0" t="inlineStr">
        <is>
          <t>Robert Men's Wool Vest</t>
        </is>
      </c>
      <c r="D601" s="0" t="inlineStr">
        <is>
          <t>'123487</t>
        </is>
      </c>
      <c r="E601" s="0" t="inlineStr">
        <is>
          <t>NDSU ROBERT M BK 12PK:123487Z-12PK</t>
        </is>
      </c>
      <c r="F601" s="0" t="inlineStr">
        <is>
          <t>'813123487999</t>
        </is>
      </c>
      <c r="G601" s="0" t="inlineStr">
        <is>
          <t>MENS</t>
        </is>
      </c>
      <c r="H601" s="0" t="inlineStr">
        <is>
          <t>12 PACK</t>
        </is>
      </c>
      <c r="I601" s="0">
        <v>582</v>
      </c>
      <c r="J601" s="0">
        <v>0</v>
      </c>
    </row>
    <row r="602" spans="1:10" customHeight="0">
      <c r="A602" s="0">
        <f>HYPERLINK("https://dl.dropboxusercontent.com/scl/fi/wootqkkify2119166qxfw/124042-f1.jpg?rlkey=k1g88ssi3o7ri91hwxqidzmk3&amp;dl=0","Click to download Image")</f>
      </c>
      <c r="B602" s="0">
        <f>HYPERLINK("https://dl.dropboxusercontent.com/scl/fi/0ae5x73tvw449ojzey53s/mens-jackets-size-chartsrobert.jpg?rlkey=ir6ufhs82dakslrf9qlfnxmp4&amp;dl=0","Click to download SizeChart")</f>
      </c>
      <c r="C602" s="0" t="inlineStr">
        <is>
          <t>Robert Men's Wool Vest</t>
        </is>
      </c>
      <c r="D602" s="0" t="inlineStr">
        <is>
          <t>'124042</t>
        </is>
      </c>
      <c r="E602" s="0" t="inlineStr">
        <is>
          <t>CU ROBERT M BK:124042A-S</t>
        </is>
      </c>
      <c r="F602" s="0" t="inlineStr">
        <is>
          <t>'810124042042</t>
        </is>
      </c>
      <c r="G602" s="0" t="inlineStr">
        <is>
          <t>MENS</t>
        </is>
      </c>
      <c r="H602" s="0" t="inlineStr">
        <is>
          <t>S</t>
        </is>
      </c>
      <c r="I602" s="0">
        <v>59.99</v>
      </c>
      <c r="J602" s="0">
        <v>4</v>
      </c>
    </row>
    <row r="603" spans="1:10" customHeight="0">
      <c r="A603" s="0">
        <f>HYPERLINK("https://dl.dropboxusercontent.com/scl/fi/wootqkkify2119166qxfw/124042-f1.jpg?rlkey=k1g88ssi3o7ri91hwxqidzmk3&amp;dl=0","Click to download Image")</f>
      </c>
      <c r="B603" s="0">
        <f>HYPERLINK("https://dl.dropboxusercontent.com/scl/fi/0ae5x73tvw449ojzey53s/mens-jackets-size-chartsrobert.jpg?rlkey=ir6ufhs82dakslrf9qlfnxmp4&amp;dl=0","Click to download SizeChart")</f>
      </c>
      <c r="C603" s="0" t="inlineStr">
        <is>
          <t>Robert Men's Wool Vest</t>
        </is>
      </c>
      <c r="D603" s="0" t="inlineStr">
        <is>
          <t>'124042</t>
        </is>
      </c>
      <c r="E603" s="0" t="inlineStr">
        <is>
          <t>CU ROBERT M BK:124042B-M</t>
        </is>
      </c>
      <c r="F603" s="0" t="inlineStr">
        <is>
          <t>'810124042059</t>
        </is>
      </c>
      <c r="G603" s="0" t="inlineStr">
        <is>
          <t>MENS</t>
        </is>
      </c>
      <c r="H603" s="0" t="inlineStr">
        <is>
          <t>M</t>
        </is>
      </c>
      <c r="I603" s="0">
        <v>59.99</v>
      </c>
      <c r="J603" s="0">
        <v>6</v>
      </c>
    </row>
    <row r="604" spans="1:10" customHeight="0">
      <c r="A604" s="0">
        <f>HYPERLINK("https://dl.dropboxusercontent.com/scl/fi/wootqkkify2119166qxfw/124042-f1.jpg?rlkey=k1g88ssi3o7ri91hwxqidzmk3&amp;dl=0","Click to download Image")</f>
      </c>
      <c r="B604" s="0">
        <f>HYPERLINK("https://dl.dropboxusercontent.com/scl/fi/0ae5x73tvw449ojzey53s/mens-jackets-size-chartsrobert.jpg?rlkey=ir6ufhs82dakslrf9qlfnxmp4&amp;dl=0","Click to download SizeChart")</f>
      </c>
      <c r="C604" s="0" t="inlineStr">
        <is>
          <t>Robert Men's Wool Vest</t>
        </is>
      </c>
      <c r="D604" s="0" t="inlineStr">
        <is>
          <t>'124042</t>
        </is>
      </c>
      <c r="E604" s="0" t="inlineStr">
        <is>
          <t>CU ROBERT M BK:124042C-L</t>
        </is>
      </c>
      <c r="F604" s="0" t="inlineStr">
        <is>
          <t>'810124042066</t>
        </is>
      </c>
      <c r="G604" s="0" t="inlineStr">
        <is>
          <t>MENS</t>
        </is>
      </c>
      <c r="H604" s="0" t="inlineStr">
        <is>
          <t>L</t>
        </is>
      </c>
      <c r="I604" s="0">
        <v>59.99</v>
      </c>
      <c r="J604" s="0">
        <v>9</v>
      </c>
    </row>
    <row r="605" spans="1:10" customHeight="0">
      <c r="A605" s="0">
        <f>HYPERLINK("https://dl.dropboxusercontent.com/scl/fi/wootqkkify2119166qxfw/124042-f1.jpg?rlkey=k1g88ssi3o7ri91hwxqidzmk3&amp;dl=0","Click to download Image")</f>
      </c>
      <c r="B605" s="0">
        <f>HYPERLINK("https://dl.dropboxusercontent.com/scl/fi/0ae5x73tvw449ojzey53s/mens-jackets-size-chartsrobert.jpg?rlkey=ir6ufhs82dakslrf9qlfnxmp4&amp;dl=0","Click to download SizeChart")</f>
      </c>
      <c r="C605" s="0" t="inlineStr">
        <is>
          <t>Robert Men's Wool Vest</t>
        </is>
      </c>
      <c r="D605" s="0" t="inlineStr">
        <is>
          <t>'124042</t>
        </is>
      </c>
      <c r="E605" s="0" t="inlineStr">
        <is>
          <t>CU ROBERT M BK:124042D-XL</t>
        </is>
      </c>
      <c r="F605" s="0" t="inlineStr">
        <is>
          <t>'810124042073</t>
        </is>
      </c>
      <c r="G605" s="0" t="inlineStr">
        <is>
          <t>MENS</t>
        </is>
      </c>
      <c r="H605" s="0" t="inlineStr">
        <is>
          <t>XL</t>
        </is>
      </c>
      <c r="I605" s="0">
        <v>59.99</v>
      </c>
      <c r="J605" s="0">
        <v>3</v>
      </c>
    </row>
    <row r="606" spans="1:10" customHeight="0">
      <c r="A606" s="0">
        <f>HYPERLINK("https://dl.dropboxusercontent.com/scl/fi/wootqkkify2119166qxfw/124042-f1.jpg?rlkey=k1g88ssi3o7ri91hwxqidzmk3&amp;dl=0","Click to download Image")</f>
      </c>
      <c r="B606" s="0">
        <f>HYPERLINK("https://dl.dropboxusercontent.com/scl/fi/0ae5x73tvw449ojzey53s/mens-jackets-size-chartsrobert.jpg?rlkey=ir6ufhs82dakslrf9qlfnxmp4&amp;dl=0","Click to download SizeChart")</f>
      </c>
      <c r="C606" s="0" t="inlineStr">
        <is>
          <t>Robert Men's Wool Vest</t>
        </is>
      </c>
      <c r="D606" s="0" t="inlineStr">
        <is>
          <t>'124042</t>
        </is>
      </c>
      <c r="E606" s="0" t="inlineStr">
        <is>
          <t>CU ROBERT M BK:124042E-2XL</t>
        </is>
      </c>
      <c r="F606" s="0" t="inlineStr">
        <is>
          <t>'810124042080</t>
        </is>
      </c>
      <c r="G606" s="0" t="inlineStr">
        <is>
          <t>MENS</t>
        </is>
      </c>
      <c r="H606" s="0" t="inlineStr">
        <is>
          <t>2XL</t>
        </is>
      </c>
      <c r="I606" s="0">
        <v>59.99</v>
      </c>
      <c r="J606" s="0">
        <v>8</v>
      </c>
    </row>
    <row r="607" spans="1:10" customHeight="0">
      <c r="A607" s="0">
        <f>HYPERLINK("https://dl.dropboxusercontent.com/scl/fi/wootqkkify2119166qxfw/124042-f1.jpg?rlkey=k1g88ssi3o7ri91hwxqidzmk3&amp;dl=0","Click to download Image")</f>
      </c>
      <c r="B607" s="0">
        <f>HYPERLINK("https://dl.dropboxusercontent.com/scl/fi/0ae5x73tvw449ojzey53s/mens-jackets-size-chartsrobert.jpg?rlkey=ir6ufhs82dakslrf9qlfnxmp4&amp;dl=0","Click to download SizeChart")</f>
      </c>
      <c r="C607" s="0" t="inlineStr">
        <is>
          <t>Robert Men's Wool Vest</t>
        </is>
      </c>
      <c r="D607" s="0" t="inlineStr">
        <is>
          <t>'124042</t>
        </is>
      </c>
      <c r="E607" s="0" t="inlineStr">
        <is>
          <t>CU ROBERT M BK:124042F-3XL</t>
        </is>
      </c>
      <c r="F607" s="0" t="inlineStr">
        <is>
          <t>'810124042097</t>
        </is>
      </c>
      <c r="G607" s="0" t="inlineStr">
        <is>
          <t>MENS</t>
        </is>
      </c>
      <c r="H607" s="0" t="inlineStr">
        <is>
          <t>3XL</t>
        </is>
      </c>
      <c r="I607" s="0">
        <v>59.99</v>
      </c>
      <c r="J607" s="0">
        <v>3</v>
      </c>
    </row>
    <row r="608" spans="1:10" customHeight="0">
      <c r="A608" s="0">
        <f>HYPERLINK("https://dl.dropboxusercontent.com/scl/fi/wootqkkify2119166qxfw/124042-f1.jpg?rlkey=k1g88ssi3o7ri91hwxqidzmk3&amp;dl=0","Click to download Image")</f>
      </c>
      <c r="B608" s="0">
        <f>HYPERLINK("https://dl.dropboxusercontent.com/scl/fi/0ae5x73tvw449ojzey53s/mens-jackets-size-chartsrobert.jpg?rlkey=ir6ufhs82dakslrf9qlfnxmp4&amp;dl=0","Click to download SizeChart")</f>
      </c>
      <c r="C608" s="0" t="inlineStr">
        <is>
          <t>Robert Men's Wool Vest</t>
        </is>
      </c>
      <c r="D608" s="0" t="inlineStr">
        <is>
          <t>'124042</t>
        </is>
      </c>
      <c r="E608" s="0" t="inlineStr">
        <is>
          <t>CU ROBERT M BK 12PK:124042Z-12PK</t>
        </is>
      </c>
      <c r="F608" s="0" t="inlineStr">
        <is>
          <t>'810124042998</t>
        </is>
      </c>
      <c r="G608" s="0" t="inlineStr">
        <is>
          <t>MENS</t>
        </is>
      </c>
      <c r="H608" s="0" t="inlineStr">
        <is>
          <t>12 PACK</t>
        </is>
      </c>
      <c r="I608" s="0">
        <v>582</v>
      </c>
      <c r="J608" s="0">
        <v>1</v>
      </c>
    </row>
    <row r="609" spans="1:10" customHeight="0">
      <c r="A609" s="0">
        <f>HYPERLINK("https://dl.dropboxusercontent.com/scl/fi/s4grz4av96jph63p376js/124135-f1.jpg?rlkey=632bl6hofkf6gedp8puryd6es&amp;dl=0","Click to download Image")</f>
      </c>
      <c r="B609" s="0">
        <f>HYPERLINK("https://dl.dropboxusercontent.com/scl/fi/0ae5x73tvw449ojzey53s/mens-jackets-size-chartsrobert.jpg?rlkey=ir6ufhs82dakslrf9qlfnxmp4&amp;dl=0","Click to download SizeChart")</f>
      </c>
      <c r="C609" s="0" t="inlineStr">
        <is>
          <t>Robert Men's Wool Vest</t>
        </is>
      </c>
      <c r="D609" s="0" t="inlineStr">
        <is>
          <t>'124135</t>
        </is>
      </c>
      <c r="E609" s="0" t="inlineStr">
        <is>
          <t>USD ROBERT M BK:124135A-S</t>
        </is>
      </c>
      <c r="F609" s="0" t="inlineStr">
        <is>
          <t>'811124135048</t>
        </is>
      </c>
      <c r="G609" s="0" t="inlineStr">
        <is>
          <t>MENS</t>
        </is>
      </c>
      <c r="H609" s="0" t="inlineStr">
        <is>
          <t>S</t>
        </is>
      </c>
      <c r="I609" s="0">
        <v>59.99</v>
      </c>
      <c r="J609" s="0">
        <v>3</v>
      </c>
    </row>
    <row r="610" spans="1:10" customHeight="0">
      <c r="A610" s="0">
        <f>HYPERLINK("https://dl.dropboxusercontent.com/scl/fi/s4grz4av96jph63p376js/124135-f1.jpg?rlkey=632bl6hofkf6gedp8puryd6es&amp;dl=0","Click to download Image")</f>
      </c>
      <c r="B610" s="0">
        <f>HYPERLINK("https://dl.dropboxusercontent.com/scl/fi/0ae5x73tvw449ojzey53s/mens-jackets-size-chartsrobert.jpg?rlkey=ir6ufhs82dakslrf9qlfnxmp4&amp;dl=0","Click to download SizeChart")</f>
      </c>
      <c r="C610" s="0" t="inlineStr">
        <is>
          <t>Robert Men's Wool Vest</t>
        </is>
      </c>
      <c r="D610" s="0" t="inlineStr">
        <is>
          <t>'124135</t>
        </is>
      </c>
      <c r="E610" s="0" t="inlineStr">
        <is>
          <t>USD ROBERT M BK:124135B-M</t>
        </is>
      </c>
      <c r="F610" s="0" t="inlineStr">
        <is>
          <t>'811124135055</t>
        </is>
      </c>
      <c r="G610" s="0" t="inlineStr">
        <is>
          <t>MENS</t>
        </is>
      </c>
      <c r="H610" s="0" t="inlineStr">
        <is>
          <t>M</t>
        </is>
      </c>
      <c r="I610" s="0">
        <v>59.99</v>
      </c>
      <c r="J610" s="0">
        <v>6</v>
      </c>
    </row>
    <row r="611" spans="1:10" customHeight="0">
      <c r="A611" s="0">
        <f>HYPERLINK("https://dl.dropboxusercontent.com/scl/fi/s4grz4av96jph63p376js/124135-f1.jpg?rlkey=632bl6hofkf6gedp8puryd6es&amp;dl=0","Click to download Image")</f>
      </c>
      <c r="B611" s="0">
        <f>HYPERLINK("https://dl.dropboxusercontent.com/scl/fi/0ae5x73tvw449ojzey53s/mens-jackets-size-chartsrobert.jpg?rlkey=ir6ufhs82dakslrf9qlfnxmp4&amp;dl=0","Click to download SizeChart")</f>
      </c>
      <c r="C611" s="0" t="inlineStr">
        <is>
          <t>Robert Men's Wool Vest</t>
        </is>
      </c>
      <c r="D611" s="0" t="inlineStr">
        <is>
          <t>'124135</t>
        </is>
      </c>
      <c r="E611" s="0" t="inlineStr">
        <is>
          <t>USD ROBERT M BK:124135C-L</t>
        </is>
      </c>
      <c r="F611" s="0" t="inlineStr">
        <is>
          <t>'811124135062</t>
        </is>
      </c>
      <c r="G611" s="0" t="inlineStr">
        <is>
          <t>MENS</t>
        </is>
      </c>
      <c r="H611" s="0" t="inlineStr">
        <is>
          <t>L</t>
        </is>
      </c>
      <c r="I611" s="0">
        <v>59.99</v>
      </c>
      <c r="J611" s="0">
        <v>9</v>
      </c>
    </row>
    <row r="612" spans="1:10" customHeight="0">
      <c r="A612" s="0">
        <f>HYPERLINK("https://dl.dropboxusercontent.com/scl/fi/s4grz4av96jph63p376js/124135-f1.jpg?rlkey=632bl6hofkf6gedp8puryd6es&amp;dl=0","Click to download Image")</f>
      </c>
      <c r="B612" s="0">
        <f>HYPERLINK("https://dl.dropboxusercontent.com/scl/fi/0ae5x73tvw449ojzey53s/mens-jackets-size-chartsrobert.jpg?rlkey=ir6ufhs82dakslrf9qlfnxmp4&amp;dl=0","Click to download SizeChart")</f>
      </c>
      <c r="C612" s="0" t="inlineStr">
        <is>
          <t>Robert Men's Wool Vest</t>
        </is>
      </c>
      <c r="D612" s="0" t="inlineStr">
        <is>
          <t>'124135</t>
        </is>
      </c>
      <c r="E612" s="0" t="inlineStr">
        <is>
          <t>USD ROBERT M BK:124135D-XL</t>
        </is>
      </c>
      <c r="F612" s="0" t="inlineStr">
        <is>
          <t>'811124135079</t>
        </is>
      </c>
      <c r="G612" s="0" t="inlineStr">
        <is>
          <t>MENS</t>
        </is>
      </c>
      <c r="H612" s="0" t="inlineStr">
        <is>
          <t>XL</t>
        </is>
      </c>
      <c r="I612" s="0">
        <v>59.99</v>
      </c>
      <c r="J612" s="0">
        <v>8</v>
      </c>
    </row>
    <row r="613" spans="1:10" customHeight="0">
      <c r="A613" s="0">
        <f>HYPERLINK("https://dl.dropboxusercontent.com/scl/fi/s4grz4av96jph63p376js/124135-f1.jpg?rlkey=632bl6hofkf6gedp8puryd6es&amp;dl=0","Click to download Image")</f>
      </c>
      <c r="B613" s="0">
        <f>HYPERLINK("https://dl.dropboxusercontent.com/scl/fi/0ae5x73tvw449ojzey53s/mens-jackets-size-chartsrobert.jpg?rlkey=ir6ufhs82dakslrf9qlfnxmp4&amp;dl=0","Click to download SizeChart")</f>
      </c>
      <c r="C613" s="0" t="inlineStr">
        <is>
          <t>Robert Men's Wool Vest</t>
        </is>
      </c>
      <c r="D613" s="0" t="inlineStr">
        <is>
          <t>'124135</t>
        </is>
      </c>
      <c r="E613" s="0" t="inlineStr">
        <is>
          <t>USD ROBERT M BK:124135E-2XL</t>
        </is>
      </c>
      <c r="F613" s="0" t="inlineStr">
        <is>
          <t>'811124135086</t>
        </is>
      </c>
      <c r="G613" s="0" t="inlineStr">
        <is>
          <t>MENS</t>
        </is>
      </c>
      <c r="H613" s="0" t="inlineStr">
        <is>
          <t>2XL</t>
        </is>
      </c>
      <c r="I613" s="0">
        <v>59.99</v>
      </c>
      <c r="J613" s="0">
        <v>6</v>
      </c>
    </row>
    <row r="614" spans="1:10" customHeight="0">
      <c r="A614" s="0">
        <f>HYPERLINK("https://dl.dropboxusercontent.com/scl/fi/s4grz4av96jph63p376js/124135-f1.jpg?rlkey=632bl6hofkf6gedp8puryd6es&amp;dl=0","Click to download Image")</f>
      </c>
      <c r="B614" s="0">
        <f>HYPERLINK("https://dl.dropboxusercontent.com/scl/fi/0ae5x73tvw449ojzey53s/mens-jackets-size-chartsrobert.jpg?rlkey=ir6ufhs82dakslrf9qlfnxmp4&amp;dl=0","Click to download SizeChart")</f>
      </c>
      <c r="C614" s="0" t="inlineStr">
        <is>
          <t>Robert Men's Wool Vest</t>
        </is>
      </c>
      <c r="D614" s="0" t="inlineStr">
        <is>
          <t>'124135</t>
        </is>
      </c>
      <c r="E614" s="0" t="inlineStr">
        <is>
          <t>USD ROBERT M BK:124135F-3XL</t>
        </is>
      </c>
      <c r="F614" s="0" t="inlineStr">
        <is>
          <t>'811124135093</t>
        </is>
      </c>
      <c r="G614" s="0" t="inlineStr">
        <is>
          <t>MENS</t>
        </is>
      </c>
      <c r="H614" s="0" t="inlineStr">
        <is>
          <t>3XL</t>
        </is>
      </c>
      <c r="I614" s="0">
        <v>59.99</v>
      </c>
      <c r="J614" s="0">
        <v>3</v>
      </c>
    </row>
    <row r="615" spans="1:10" customHeight="0">
      <c r="A615" s="0">
        <f>HYPERLINK("https://dl.dropboxusercontent.com/scl/fi/s4grz4av96jph63p376js/124135-f1.jpg?rlkey=632bl6hofkf6gedp8puryd6es&amp;dl=0","Click to download Image")</f>
      </c>
      <c r="B615" s="0">
        <f>HYPERLINK("https://dl.dropboxusercontent.com/scl/fi/0ae5x73tvw449ojzey53s/mens-jackets-size-chartsrobert.jpg?rlkey=ir6ufhs82dakslrf9qlfnxmp4&amp;dl=0","Click to download SizeChart")</f>
      </c>
      <c r="C615" s="0" t="inlineStr">
        <is>
          <t>Robert Men's Wool Vest</t>
        </is>
      </c>
      <c r="D615" s="0" t="inlineStr">
        <is>
          <t>'124135</t>
        </is>
      </c>
      <c r="E615" s="0" t="inlineStr">
        <is>
          <t>USD ROBERT M BK 12PK:124135Z-12PK</t>
        </is>
      </c>
      <c r="F615" s="0" t="inlineStr">
        <is>
          <t>'811124135994</t>
        </is>
      </c>
      <c r="G615" s="0" t="inlineStr">
        <is>
          <t>MENS</t>
        </is>
      </c>
      <c r="H615" s="0" t="inlineStr">
        <is>
          <t>12 PACK</t>
        </is>
      </c>
      <c r="I615" s="0">
        <v>582</v>
      </c>
      <c r="J615" s="0">
        <v>2</v>
      </c>
    </row>
    <row r="616" spans="1:10" customHeight="0">
      <c r="A616" s="0">
        <f>HYPERLINK("https://dl.dropboxusercontent.com/scl/fi/7l81jst6k03y0ug712p6w/129084t.jpg?rlkey=pem0gn2iouumypgfv20jukjl0&amp;dl=0","Click to download Image")</f>
      </c>
      <c r="B616" s="0">
        <f>HYPERLINK("https://dl.dropboxusercontent.com/scl/fi/2awdmdvaa7bbincrvvc3n/mens-jackets-size-chartsward.jpg?rlkey=sogblf2688x0ezy3um97rccc9&amp;dl=0","Click to download SizeChart")</f>
      </c>
      <c r="C616" s="0" t="inlineStr">
        <is>
          <t>Ward Men's Jacket</t>
        </is>
      </c>
      <c r="D616" s="0" t="inlineStr">
        <is>
          <t>'129084</t>
        </is>
      </c>
      <c r="E616" s="0" t="inlineStr">
        <is>
          <t>IND WARD M GY:129084A-S</t>
        </is>
      </c>
      <c r="F616" s="0" t="inlineStr">
        <is>
          <t>'806129084040</t>
        </is>
      </c>
      <c r="G616" s="0" t="inlineStr">
        <is>
          <t>MENS</t>
        </is>
      </c>
      <c r="H616" s="0" t="inlineStr">
        <is>
          <t>S</t>
        </is>
      </c>
      <c r="I616" s="0">
        <v>59.99</v>
      </c>
      <c r="J616" s="0">
        <v>0</v>
      </c>
    </row>
    <row r="617" spans="1:10" customHeight="0">
      <c r="A617" s="0">
        <f>HYPERLINK("https://dl.dropboxusercontent.com/scl/fi/7l81jst6k03y0ug712p6w/129084t.jpg?rlkey=pem0gn2iouumypgfv20jukjl0&amp;dl=0","Click to download Image")</f>
      </c>
      <c r="B617" s="0">
        <f>HYPERLINK("https://dl.dropboxusercontent.com/scl/fi/2awdmdvaa7bbincrvvc3n/mens-jackets-size-chartsward.jpg?rlkey=sogblf2688x0ezy3um97rccc9&amp;dl=0","Click to download SizeChart")</f>
      </c>
      <c r="C617" s="0" t="inlineStr">
        <is>
          <t>Ward Men's Jacket</t>
        </is>
      </c>
      <c r="D617" s="0" t="inlineStr">
        <is>
          <t>'129084</t>
        </is>
      </c>
      <c r="E617" s="0" t="inlineStr">
        <is>
          <t>IND WARD M GY:129084B-M</t>
        </is>
      </c>
      <c r="F617" s="0" t="inlineStr">
        <is>
          <t>'806129084057</t>
        </is>
      </c>
      <c r="G617" s="0" t="inlineStr">
        <is>
          <t>MENS</t>
        </is>
      </c>
      <c r="H617" s="0" t="inlineStr">
        <is>
          <t>M</t>
        </is>
      </c>
      <c r="I617" s="0">
        <v>59.99</v>
      </c>
      <c r="J617" s="0">
        <v>0</v>
      </c>
    </row>
    <row r="618" spans="1:10" customHeight="0">
      <c r="A618" s="0">
        <f>HYPERLINK("https://dl.dropboxusercontent.com/scl/fi/7l81jst6k03y0ug712p6w/129084t.jpg?rlkey=pem0gn2iouumypgfv20jukjl0&amp;dl=0","Click to download Image")</f>
      </c>
      <c r="B618" s="0">
        <f>HYPERLINK("https://dl.dropboxusercontent.com/scl/fi/2awdmdvaa7bbincrvvc3n/mens-jackets-size-chartsward.jpg?rlkey=sogblf2688x0ezy3um97rccc9&amp;dl=0","Click to download SizeChart")</f>
      </c>
      <c r="C618" s="0" t="inlineStr">
        <is>
          <t>Ward Men's Jacket</t>
        </is>
      </c>
      <c r="D618" s="0" t="inlineStr">
        <is>
          <t>'129084</t>
        </is>
      </c>
      <c r="E618" s="0" t="inlineStr">
        <is>
          <t>IND WARD M GY:129084C-L</t>
        </is>
      </c>
      <c r="F618" s="0" t="inlineStr">
        <is>
          <t>'806129084064</t>
        </is>
      </c>
      <c r="G618" s="0" t="inlineStr">
        <is>
          <t>MENS</t>
        </is>
      </c>
      <c r="H618" s="0" t="inlineStr">
        <is>
          <t>L</t>
        </is>
      </c>
      <c r="I618" s="0">
        <v>59.99</v>
      </c>
      <c r="J618" s="0">
        <v>1</v>
      </c>
    </row>
    <row r="619" spans="1:10" customHeight="0">
      <c r="A619" s="0">
        <f>HYPERLINK("https://dl.dropboxusercontent.com/scl/fi/7l81jst6k03y0ug712p6w/129084t.jpg?rlkey=pem0gn2iouumypgfv20jukjl0&amp;dl=0","Click to download Image")</f>
      </c>
      <c r="B619" s="0">
        <f>HYPERLINK("https://dl.dropboxusercontent.com/scl/fi/2awdmdvaa7bbincrvvc3n/mens-jackets-size-chartsward.jpg?rlkey=sogblf2688x0ezy3um97rccc9&amp;dl=0","Click to download SizeChart")</f>
      </c>
      <c r="C619" s="0" t="inlineStr">
        <is>
          <t>Ward Men's Jacket</t>
        </is>
      </c>
      <c r="D619" s="0" t="inlineStr">
        <is>
          <t>'129084</t>
        </is>
      </c>
      <c r="E619" s="0" t="inlineStr">
        <is>
          <t>IND WARD M GY:129084D-XL</t>
        </is>
      </c>
      <c r="F619" s="0" t="inlineStr">
        <is>
          <t>'806129084071</t>
        </is>
      </c>
      <c r="G619" s="0" t="inlineStr">
        <is>
          <t>MENS</t>
        </is>
      </c>
      <c r="H619" s="0" t="inlineStr">
        <is>
          <t>XL</t>
        </is>
      </c>
      <c r="I619" s="0">
        <v>59.99</v>
      </c>
      <c r="J619" s="0">
        <v>0</v>
      </c>
    </row>
    <row r="620" spans="1:10" customHeight="0">
      <c r="A620" s="0">
        <f>HYPERLINK("https://dl.dropboxusercontent.com/scl/fi/7l81jst6k03y0ug712p6w/129084t.jpg?rlkey=pem0gn2iouumypgfv20jukjl0&amp;dl=0","Click to download Image")</f>
      </c>
      <c r="B620" s="0">
        <f>HYPERLINK("https://dl.dropboxusercontent.com/scl/fi/2awdmdvaa7bbincrvvc3n/mens-jackets-size-chartsward.jpg?rlkey=sogblf2688x0ezy3um97rccc9&amp;dl=0","Click to download SizeChart")</f>
      </c>
      <c r="C620" s="0" t="inlineStr">
        <is>
          <t>Ward Men's Jacket</t>
        </is>
      </c>
      <c r="D620" s="0" t="inlineStr">
        <is>
          <t>'129084</t>
        </is>
      </c>
      <c r="E620" s="0" t="inlineStr">
        <is>
          <t>IND WARD M GY:129084E-2XL</t>
        </is>
      </c>
      <c r="F620" s="0" t="inlineStr">
        <is>
          <t>'806129084088</t>
        </is>
      </c>
      <c r="G620" s="0" t="inlineStr">
        <is>
          <t>MENS</t>
        </is>
      </c>
      <c r="H620" s="0" t="inlineStr">
        <is>
          <t>2XL</t>
        </is>
      </c>
      <c r="I620" s="0">
        <v>59.99</v>
      </c>
      <c r="J620" s="0">
        <v>0</v>
      </c>
    </row>
    <row r="621" spans="1:10" customHeight="0">
      <c r="A621" s="0">
        <f>HYPERLINK("https://dl.dropboxusercontent.com/scl/fi/7l81jst6k03y0ug712p6w/129084t.jpg?rlkey=pem0gn2iouumypgfv20jukjl0&amp;dl=0","Click to download Image")</f>
      </c>
      <c r="B621" s="0">
        <f>HYPERLINK("https://dl.dropboxusercontent.com/scl/fi/2awdmdvaa7bbincrvvc3n/mens-jackets-size-chartsward.jpg?rlkey=sogblf2688x0ezy3um97rccc9&amp;dl=0","Click to download SizeChart")</f>
      </c>
      <c r="C621" s="0" t="inlineStr">
        <is>
          <t>Ward Men's Jacket</t>
        </is>
      </c>
      <c r="D621" s="0" t="inlineStr">
        <is>
          <t>'129084</t>
        </is>
      </c>
      <c r="E621" s="0" t="inlineStr">
        <is>
          <t>IND WARD M GY:129084F-3XL</t>
        </is>
      </c>
      <c r="F621" s="0" t="inlineStr">
        <is>
          <t>'806129084095</t>
        </is>
      </c>
      <c r="G621" s="0" t="inlineStr">
        <is>
          <t>MENS</t>
        </is>
      </c>
      <c r="H621" s="0" t="inlineStr">
        <is>
          <t>3XL</t>
        </is>
      </c>
      <c r="I621" s="0">
        <v>59.99</v>
      </c>
      <c r="J621" s="0">
        <v>0</v>
      </c>
    </row>
    <row r="622" spans="1:10" customHeight="0">
      <c r="A622" s="0">
        <f>HYPERLINK("https://dl.dropboxusercontent.com/scl/fi/7l81jst6k03y0ug712p6w/129084t.jpg?rlkey=pem0gn2iouumypgfv20jukjl0&amp;dl=0","Click to download Image")</f>
      </c>
      <c r="B622" s="0">
        <f>HYPERLINK("https://dl.dropboxusercontent.com/scl/fi/2awdmdvaa7bbincrvvc3n/mens-jackets-size-chartsward.jpg?rlkey=sogblf2688x0ezy3um97rccc9&amp;dl=0","Click to download SizeChart")</f>
      </c>
      <c r="C622" s="0" t="inlineStr">
        <is>
          <t>Ward Men's Jacket</t>
        </is>
      </c>
      <c r="D622" s="0" t="inlineStr">
        <is>
          <t>'129084</t>
        </is>
      </c>
      <c r="E622" s="0" t="inlineStr">
        <is>
          <t>IND WARD M GY 12PK:129084Z-12PK</t>
        </is>
      </c>
      <c r="F622" s="0" t="inlineStr">
        <is>
          <t>'806129084996</t>
        </is>
      </c>
      <c r="G622" s="0" t="inlineStr">
        <is>
          <t>MENS</t>
        </is>
      </c>
      <c r="H622" s="0" t="inlineStr">
        <is>
          <t>12 PACK</t>
        </is>
      </c>
      <c r="I622" s="0">
        <v>582</v>
      </c>
      <c r="J622" s="0">
        <v>0</v>
      </c>
    </row>
    <row r="623" spans="1:10" customHeight="0">
      <c r="A623" s="0">
        <f>HYPERLINK("https://dl.dropboxusercontent.com/scl/fi/9j5g76d6gkp26dlht3eo0/121099f.jpg?rlkey=e9b54w9v11s5f42n1rk8viva3&amp;dl=0","Click to download Image")</f>
      </c>
      <c r="B623" s="0">
        <f>HYPERLINK("https://dl.dropboxusercontent.com/scl/fi/qiwedpck38xbyfymx4rja/womens-hoodie-and-sweatshirt-size-chartsromina.jpg?rlkey=l2kxhux2ls0ch3ci1kgrjjwu5&amp;dl=0","Click to download SizeChart")</f>
      </c>
      <c r="C623" s="0" t="inlineStr">
        <is>
          <t>Romina Women's Hoodie</t>
        </is>
      </c>
      <c r="D623" s="0" t="inlineStr">
        <is>
          <t>'121099</t>
        </is>
      </c>
      <c r="E623" s="0" t="inlineStr">
        <is>
          <t>UNI ROMINA W PURPLE:121099A-S</t>
        </is>
      </c>
      <c r="F623" s="0" t="inlineStr">
        <is>
          <t>'802121099044</t>
        </is>
      </c>
      <c r="G623" s="0" t="inlineStr">
        <is>
          <t>WOMENS</t>
        </is>
      </c>
      <c r="H623" s="0" t="inlineStr">
        <is>
          <t>S</t>
        </is>
      </c>
      <c r="I623" s="0">
        <v>39.99</v>
      </c>
      <c r="J623" s="0">
        <v>19</v>
      </c>
    </row>
    <row r="624" spans="1:10" customHeight="0">
      <c r="A624" s="0">
        <f>HYPERLINK("https://dl.dropboxusercontent.com/scl/fi/9j5g76d6gkp26dlht3eo0/121099f.jpg?rlkey=e9b54w9v11s5f42n1rk8viva3&amp;dl=0","Click to download Image")</f>
      </c>
      <c r="B624" s="0">
        <f>HYPERLINK("https://dl.dropboxusercontent.com/scl/fi/qiwedpck38xbyfymx4rja/womens-hoodie-and-sweatshirt-size-chartsromina.jpg?rlkey=l2kxhux2ls0ch3ci1kgrjjwu5&amp;dl=0","Click to download SizeChart")</f>
      </c>
      <c r="C624" s="0" t="inlineStr">
        <is>
          <t>Romina Women's Hoodie</t>
        </is>
      </c>
      <c r="D624" s="0" t="inlineStr">
        <is>
          <t>'121099</t>
        </is>
      </c>
      <c r="E624" s="0" t="inlineStr">
        <is>
          <t>UNI ROMINA W PURPLE:121099B-M</t>
        </is>
      </c>
      <c r="F624" s="0" t="inlineStr">
        <is>
          <t>'802121099051</t>
        </is>
      </c>
      <c r="G624" s="0" t="inlineStr">
        <is>
          <t>WOMENS</t>
        </is>
      </c>
      <c r="H624" s="0" t="inlineStr">
        <is>
          <t>M</t>
        </is>
      </c>
      <c r="I624" s="0">
        <v>39.99</v>
      </c>
      <c r="J624" s="0">
        <v>41</v>
      </c>
    </row>
    <row r="625" spans="1:10" customHeight="0">
      <c r="A625" s="0">
        <f>HYPERLINK("https://dl.dropboxusercontent.com/scl/fi/9j5g76d6gkp26dlht3eo0/121099f.jpg?rlkey=e9b54w9v11s5f42n1rk8viva3&amp;dl=0","Click to download Image")</f>
      </c>
      <c r="B625" s="0">
        <f>HYPERLINK("https://dl.dropboxusercontent.com/scl/fi/qiwedpck38xbyfymx4rja/womens-hoodie-and-sweatshirt-size-chartsromina.jpg?rlkey=l2kxhux2ls0ch3ci1kgrjjwu5&amp;dl=0","Click to download SizeChart")</f>
      </c>
      <c r="C625" s="0" t="inlineStr">
        <is>
          <t>Romina Women's Hoodie</t>
        </is>
      </c>
      <c r="D625" s="0" t="inlineStr">
        <is>
          <t>'121099</t>
        </is>
      </c>
      <c r="E625" s="0" t="inlineStr">
        <is>
          <t>UNI ROMINA W PURPLE:121099C-L</t>
        </is>
      </c>
      <c r="F625" s="0" t="inlineStr">
        <is>
          <t>'802121099068</t>
        </is>
      </c>
      <c r="G625" s="0" t="inlineStr">
        <is>
          <t>WOMENS</t>
        </is>
      </c>
      <c r="H625" s="0" t="inlineStr">
        <is>
          <t>L</t>
        </is>
      </c>
      <c r="I625" s="0">
        <v>39.99</v>
      </c>
      <c r="J625" s="0">
        <v>39</v>
      </c>
    </row>
    <row r="626" spans="1:10" customHeight="0">
      <c r="A626" s="0">
        <f>HYPERLINK("https://dl.dropboxusercontent.com/scl/fi/9j5g76d6gkp26dlht3eo0/121099f.jpg?rlkey=e9b54w9v11s5f42n1rk8viva3&amp;dl=0","Click to download Image")</f>
      </c>
      <c r="B626" s="0">
        <f>HYPERLINK("https://dl.dropboxusercontent.com/scl/fi/qiwedpck38xbyfymx4rja/womens-hoodie-and-sweatshirt-size-chartsromina.jpg?rlkey=l2kxhux2ls0ch3ci1kgrjjwu5&amp;dl=0","Click to download SizeChart")</f>
      </c>
      <c r="C626" s="0" t="inlineStr">
        <is>
          <t>Romina Women's Hoodie</t>
        </is>
      </c>
      <c r="D626" s="0" t="inlineStr">
        <is>
          <t>'121099</t>
        </is>
      </c>
      <c r="E626" s="0" t="inlineStr">
        <is>
          <t>UNI ROMINA W PURPLE:121099D-XL</t>
        </is>
      </c>
      <c r="F626" s="0" t="inlineStr">
        <is>
          <t>'802121099075</t>
        </is>
      </c>
      <c r="G626" s="0" t="inlineStr">
        <is>
          <t>WOMENS</t>
        </is>
      </c>
      <c r="H626" s="0" t="inlineStr">
        <is>
          <t>XL</t>
        </is>
      </c>
      <c r="I626" s="0">
        <v>39.99</v>
      </c>
      <c r="J626" s="0">
        <v>14</v>
      </c>
    </row>
    <row r="627" spans="1:10" customHeight="0">
      <c r="A627" s="0">
        <f>HYPERLINK("https://dl.dropboxusercontent.com/scl/fi/9j5g76d6gkp26dlht3eo0/121099f.jpg?rlkey=e9b54w9v11s5f42n1rk8viva3&amp;dl=0","Click to download Image")</f>
      </c>
      <c r="B627" s="0">
        <f>HYPERLINK("https://dl.dropboxusercontent.com/scl/fi/qiwedpck38xbyfymx4rja/womens-hoodie-and-sweatshirt-size-chartsromina.jpg?rlkey=l2kxhux2ls0ch3ci1kgrjjwu5&amp;dl=0","Click to download SizeChart")</f>
      </c>
      <c r="C627" s="0" t="inlineStr">
        <is>
          <t>Romina Women's Hoodie</t>
        </is>
      </c>
      <c r="D627" s="0" t="inlineStr">
        <is>
          <t>'121099</t>
        </is>
      </c>
      <c r="E627" s="0" t="inlineStr">
        <is>
          <t>UNI ROMINA W PURPLE:121099E-2XL</t>
        </is>
      </c>
      <c r="F627" s="0" t="inlineStr">
        <is>
          <t>'802121099082</t>
        </is>
      </c>
      <c r="G627" s="0" t="inlineStr">
        <is>
          <t>WOMENS</t>
        </is>
      </c>
      <c r="H627" s="0" t="inlineStr">
        <is>
          <t>2XL</t>
        </is>
      </c>
      <c r="I627" s="0">
        <v>39.99</v>
      </c>
      <c r="J627" s="0">
        <v>14</v>
      </c>
    </row>
    <row r="628" spans="1:10" customHeight="0">
      <c r="A628" s="0">
        <f>HYPERLINK("https://dl.dropboxusercontent.com/scl/fi/9j5g76d6gkp26dlht3eo0/121099f.jpg?rlkey=e9b54w9v11s5f42n1rk8viva3&amp;dl=0","Click to download Image")</f>
      </c>
      <c r="B628" s="0">
        <f>HYPERLINK("https://dl.dropboxusercontent.com/scl/fi/qiwedpck38xbyfymx4rja/womens-hoodie-and-sweatshirt-size-chartsromina.jpg?rlkey=l2kxhux2ls0ch3ci1kgrjjwu5&amp;dl=0","Click to download SizeChart")</f>
      </c>
      <c r="C628" s="0" t="inlineStr">
        <is>
          <t>Romina Women's Hoodie</t>
        </is>
      </c>
      <c r="D628" s="0" t="inlineStr">
        <is>
          <t>'121099</t>
        </is>
      </c>
      <c r="E628" s="0" t="inlineStr">
        <is>
          <t>UNI ROMINA W PURPLE:121099F-3XL</t>
        </is>
      </c>
      <c r="F628" s="0" t="inlineStr">
        <is>
          <t>'802121099099</t>
        </is>
      </c>
      <c r="G628" s="0" t="inlineStr">
        <is>
          <t>WOMENS</t>
        </is>
      </c>
      <c r="H628" s="0" t="inlineStr">
        <is>
          <t>3XL</t>
        </is>
      </c>
      <c r="I628" s="0">
        <v>39.99</v>
      </c>
      <c r="J628" s="0">
        <v>5</v>
      </c>
    </row>
    <row r="629" spans="1:10" customHeight="0">
      <c r="A629" s="0">
        <f>HYPERLINK("https://dl.dropboxusercontent.com/scl/fi/9j5g76d6gkp26dlht3eo0/121099f.jpg?rlkey=e9b54w9v11s5f42n1rk8viva3&amp;dl=0","Click to download Image")</f>
      </c>
      <c r="B629" s="0">
        <f>HYPERLINK("https://dl.dropboxusercontent.com/scl/fi/qiwedpck38xbyfymx4rja/womens-hoodie-and-sweatshirt-size-chartsromina.jpg?rlkey=l2kxhux2ls0ch3ci1kgrjjwu5&amp;dl=0","Click to download SizeChart")</f>
      </c>
      <c r="C629" s="0" t="inlineStr">
        <is>
          <t>Romina Women's Hoodie</t>
        </is>
      </c>
      <c r="D629" s="0" t="inlineStr">
        <is>
          <t>'121099</t>
        </is>
      </c>
      <c r="E629" s="0" t="inlineStr">
        <is>
          <t>UNI ROMINA W PURPLE 12 PACK:121099Z-12PK</t>
        </is>
      </c>
      <c r="F629" s="0" t="inlineStr">
        <is>
          <t>'802121099990</t>
        </is>
      </c>
      <c r="G629" s="0" t="inlineStr">
        <is>
          <t>WOMENS</t>
        </is>
      </c>
      <c r="H629" s="0" t="inlineStr">
        <is>
          <t>12 PACK</t>
        </is>
      </c>
      <c r="I629" s="0">
        <v>384</v>
      </c>
      <c r="J629" s="0">
        <v>0</v>
      </c>
    </row>
    <row r="630" spans="1:10" customHeight="0">
      <c r="A630" s="0">
        <f>HYPERLINK("https://dl.dropboxusercontent.com/scl/fi/h39qxenfs8dbfpqwjd9yb/123178f.jpg?rlkey=o583i4u7rcdf5u5uka0x4ubq3&amp;dl=0","Click to download Image")</f>
      </c>
      <c r="B630" s="0">
        <f>HYPERLINK("https://dl.dropboxusercontent.com/scl/fi/qiwedpck38xbyfymx4rja/womens-hoodie-and-sweatshirt-size-chartsromina.jpg?rlkey=l2kxhux2ls0ch3ci1kgrjjwu5&amp;dl=0","Click to download SizeChart")</f>
      </c>
      <c r="C630" s="0" t="inlineStr">
        <is>
          <t>Romina Women's Hoodie</t>
        </is>
      </c>
      <c r="D630" s="0" t="inlineStr">
        <is>
          <t>'123178</t>
        </is>
      </c>
      <c r="E630" s="0" t="inlineStr">
        <is>
          <t>PUR ROMINA W BK:123178A-S</t>
        </is>
      </c>
      <c r="F630" s="0" t="inlineStr">
        <is>
          <t>'804123178048</t>
        </is>
      </c>
      <c r="G630" s="0" t="inlineStr">
        <is>
          <t>WOMENS</t>
        </is>
      </c>
      <c r="H630" s="0" t="inlineStr">
        <is>
          <t>S</t>
        </is>
      </c>
      <c r="I630" s="0">
        <v>39.99</v>
      </c>
      <c r="J630" s="0">
        <v>5</v>
      </c>
    </row>
    <row r="631" spans="1:10" customHeight="0">
      <c r="A631" s="0">
        <f>HYPERLINK("https://dl.dropboxusercontent.com/scl/fi/h39qxenfs8dbfpqwjd9yb/123178f.jpg?rlkey=o583i4u7rcdf5u5uka0x4ubq3&amp;dl=0","Click to download Image")</f>
      </c>
      <c r="B631" s="0">
        <f>HYPERLINK("https://dl.dropboxusercontent.com/scl/fi/qiwedpck38xbyfymx4rja/womens-hoodie-and-sweatshirt-size-chartsromina.jpg?rlkey=l2kxhux2ls0ch3ci1kgrjjwu5&amp;dl=0","Click to download SizeChart")</f>
      </c>
      <c r="C631" s="0" t="inlineStr">
        <is>
          <t>Romina Women's Hoodie</t>
        </is>
      </c>
      <c r="D631" s="0" t="inlineStr">
        <is>
          <t>'123178</t>
        </is>
      </c>
      <c r="E631" s="0" t="inlineStr">
        <is>
          <t>PUR ROMINA W BK:123178B-M</t>
        </is>
      </c>
      <c r="F631" s="0" t="inlineStr">
        <is>
          <t>'804123178055</t>
        </is>
      </c>
      <c r="G631" s="0" t="inlineStr">
        <is>
          <t>WOMENS</t>
        </is>
      </c>
      <c r="H631" s="0" t="inlineStr">
        <is>
          <t>M</t>
        </is>
      </c>
      <c r="I631" s="0">
        <v>39.99</v>
      </c>
      <c r="J631" s="0">
        <v>12</v>
      </c>
    </row>
    <row r="632" spans="1:10" customHeight="0">
      <c r="A632" s="0">
        <f>HYPERLINK("https://dl.dropboxusercontent.com/scl/fi/h39qxenfs8dbfpqwjd9yb/123178f.jpg?rlkey=o583i4u7rcdf5u5uka0x4ubq3&amp;dl=0","Click to download Image")</f>
      </c>
      <c r="B632" s="0">
        <f>HYPERLINK("https://dl.dropboxusercontent.com/scl/fi/qiwedpck38xbyfymx4rja/womens-hoodie-and-sweatshirt-size-chartsromina.jpg?rlkey=l2kxhux2ls0ch3ci1kgrjjwu5&amp;dl=0","Click to download SizeChart")</f>
      </c>
      <c r="C632" s="0" t="inlineStr">
        <is>
          <t>Romina Women's Hoodie</t>
        </is>
      </c>
      <c r="D632" s="0" t="inlineStr">
        <is>
          <t>'123178</t>
        </is>
      </c>
      <c r="E632" s="0" t="inlineStr">
        <is>
          <t>PUR ROMINA W BK:123178C-L</t>
        </is>
      </c>
      <c r="F632" s="0" t="inlineStr">
        <is>
          <t>'804123178062</t>
        </is>
      </c>
      <c r="G632" s="0" t="inlineStr">
        <is>
          <t>WOMENS</t>
        </is>
      </c>
      <c r="H632" s="0" t="inlineStr">
        <is>
          <t>L</t>
        </is>
      </c>
      <c r="I632" s="0">
        <v>39.99</v>
      </c>
      <c r="J632" s="0">
        <v>4</v>
      </c>
    </row>
    <row r="633" spans="1:10" customHeight="0">
      <c r="A633" s="0">
        <f>HYPERLINK("https://dl.dropboxusercontent.com/scl/fi/h39qxenfs8dbfpqwjd9yb/123178f.jpg?rlkey=o583i4u7rcdf5u5uka0x4ubq3&amp;dl=0","Click to download Image")</f>
      </c>
      <c r="B633" s="0">
        <f>HYPERLINK("https://dl.dropboxusercontent.com/scl/fi/qiwedpck38xbyfymx4rja/womens-hoodie-and-sweatshirt-size-chartsromina.jpg?rlkey=l2kxhux2ls0ch3ci1kgrjjwu5&amp;dl=0","Click to download SizeChart")</f>
      </c>
      <c r="C633" s="0" t="inlineStr">
        <is>
          <t>Romina Women's Hoodie</t>
        </is>
      </c>
      <c r="D633" s="0" t="inlineStr">
        <is>
          <t>'123178</t>
        </is>
      </c>
      <c r="E633" s="0" t="inlineStr">
        <is>
          <t>PUR ROMINA W BK:123178D-XL</t>
        </is>
      </c>
      <c r="F633" s="0" t="inlineStr">
        <is>
          <t>'804123178079</t>
        </is>
      </c>
      <c r="G633" s="0" t="inlineStr">
        <is>
          <t>WOMENS</t>
        </is>
      </c>
      <c r="H633" s="0" t="inlineStr">
        <is>
          <t>XL</t>
        </is>
      </c>
      <c r="I633" s="0">
        <v>39.99</v>
      </c>
      <c r="J633" s="0">
        <v>2</v>
      </c>
    </row>
    <row r="634" spans="1:10" customHeight="0">
      <c r="A634" s="0">
        <f>HYPERLINK("https://dl.dropboxusercontent.com/scl/fi/h39qxenfs8dbfpqwjd9yb/123178f.jpg?rlkey=o583i4u7rcdf5u5uka0x4ubq3&amp;dl=0","Click to download Image")</f>
      </c>
      <c r="B634" s="0">
        <f>HYPERLINK("https://dl.dropboxusercontent.com/scl/fi/qiwedpck38xbyfymx4rja/womens-hoodie-and-sweatshirt-size-chartsromina.jpg?rlkey=l2kxhux2ls0ch3ci1kgrjjwu5&amp;dl=0","Click to download SizeChart")</f>
      </c>
      <c r="C634" s="0" t="inlineStr">
        <is>
          <t>Romina Women's Hoodie</t>
        </is>
      </c>
      <c r="D634" s="0" t="inlineStr">
        <is>
          <t>'123178</t>
        </is>
      </c>
      <c r="E634" s="0" t="inlineStr">
        <is>
          <t>PUR ROMINA W BK:123178E-2XL</t>
        </is>
      </c>
      <c r="F634" s="0" t="inlineStr">
        <is>
          <t>'804123178086</t>
        </is>
      </c>
      <c r="G634" s="0" t="inlineStr">
        <is>
          <t>WOMENS</t>
        </is>
      </c>
      <c r="H634" s="0" t="inlineStr">
        <is>
          <t>2XL</t>
        </is>
      </c>
      <c r="I634" s="0">
        <v>39.99</v>
      </c>
      <c r="J634" s="0">
        <v>1</v>
      </c>
    </row>
    <row r="635" spans="1:10" customHeight="0">
      <c r="A635" s="0">
        <f>HYPERLINK("https://dl.dropboxusercontent.com/scl/fi/h39qxenfs8dbfpqwjd9yb/123178f.jpg?rlkey=o583i4u7rcdf5u5uka0x4ubq3&amp;dl=0","Click to download Image")</f>
      </c>
      <c r="B635" s="0">
        <f>HYPERLINK("https://dl.dropboxusercontent.com/scl/fi/qiwedpck38xbyfymx4rja/womens-hoodie-and-sweatshirt-size-chartsromina.jpg?rlkey=l2kxhux2ls0ch3ci1kgrjjwu5&amp;dl=0","Click to download SizeChart")</f>
      </c>
      <c r="C635" s="0" t="inlineStr">
        <is>
          <t>Romina Women's Hoodie</t>
        </is>
      </c>
      <c r="D635" s="0" t="inlineStr">
        <is>
          <t>'123178</t>
        </is>
      </c>
      <c r="E635" s="0" t="inlineStr">
        <is>
          <t>PUR ROMINA W BK:123178F-3XL</t>
        </is>
      </c>
      <c r="F635" s="0" t="inlineStr">
        <is>
          <t>'804123178093</t>
        </is>
      </c>
      <c r="G635" s="0" t="inlineStr">
        <is>
          <t>WOMENS</t>
        </is>
      </c>
      <c r="H635" s="0" t="inlineStr">
        <is>
          <t>3XL</t>
        </is>
      </c>
      <c r="I635" s="0">
        <v>39.99</v>
      </c>
      <c r="J635" s="0">
        <v>0</v>
      </c>
    </row>
    <row r="636" spans="1:10" customHeight="0">
      <c r="A636" s="0">
        <f>HYPERLINK("https://dl.dropboxusercontent.com/scl/fi/h39qxenfs8dbfpqwjd9yb/123178f.jpg?rlkey=o583i4u7rcdf5u5uka0x4ubq3&amp;dl=0","Click to download Image")</f>
      </c>
      <c r="B636" s="0">
        <f>HYPERLINK("https://dl.dropboxusercontent.com/scl/fi/qiwedpck38xbyfymx4rja/womens-hoodie-and-sweatshirt-size-chartsromina.jpg?rlkey=l2kxhux2ls0ch3ci1kgrjjwu5&amp;dl=0","Click to download SizeChart")</f>
      </c>
      <c r="C636" s="0" t="inlineStr">
        <is>
          <t>Romina Women's Hoodie</t>
        </is>
      </c>
      <c r="D636" s="0" t="inlineStr">
        <is>
          <t>'123178</t>
        </is>
      </c>
      <c r="E636" s="0" t="inlineStr">
        <is>
          <t>PUR ROMINA W BK 12PK:123178Z-12PK</t>
        </is>
      </c>
      <c r="F636" s="0" t="inlineStr">
        <is>
          <t>'804123178994</t>
        </is>
      </c>
      <c r="G636" s="0" t="inlineStr">
        <is>
          <t>WOMENS</t>
        </is>
      </c>
      <c r="H636" s="0" t="inlineStr">
        <is>
          <t>12 PACK</t>
        </is>
      </c>
      <c r="I636" s="0">
        <v>384</v>
      </c>
      <c r="J636" s="0">
        <v>1</v>
      </c>
    </row>
    <row r="637" spans="1:10" customHeight="0">
      <c r="A637" s="0">
        <f>HYPERLINK("https://dl.dropboxusercontent.com/scl/fi/xzuar1ny2qdk5yj0wh68q/123280-f.jpg?rlkey=vymo7dv6yyxjgooc8en5txydd&amp;dl=0","Click to download Image")</f>
      </c>
      <c r="B637" s="0">
        <f>HYPERLINK("https://dl.dropboxusercontent.com/scl/fi/qiwedpck38xbyfymx4rja/womens-hoodie-and-sweatshirt-size-chartsromina.jpg?rlkey=l2kxhux2ls0ch3ci1kgrjjwu5&amp;dl=0","Click to download SizeChart")</f>
      </c>
      <c r="C637" s="0" t="inlineStr">
        <is>
          <t>Romina Women's Hoodie</t>
        </is>
      </c>
      <c r="D637" s="0" t="inlineStr">
        <is>
          <t>'123280</t>
        </is>
      </c>
      <c r="E637" s="0" t="inlineStr">
        <is>
          <t>IND ROMINA W CL:123280A-S</t>
        </is>
      </c>
      <c r="F637" s="0" t="inlineStr">
        <is>
          <t>'806123280042</t>
        </is>
      </c>
      <c r="G637" s="0" t="inlineStr">
        <is>
          <t>WOMENS</t>
        </is>
      </c>
      <c r="H637" s="0" t="inlineStr">
        <is>
          <t>S</t>
        </is>
      </c>
      <c r="I637" s="0">
        <v>39.99</v>
      </c>
      <c r="J637" s="0">
        <v>6</v>
      </c>
    </row>
    <row r="638" spans="1:10" customHeight="0">
      <c r="A638" s="0">
        <f>HYPERLINK("https://dl.dropboxusercontent.com/scl/fi/xzuar1ny2qdk5yj0wh68q/123280-f.jpg?rlkey=vymo7dv6yyxjgooc8en5txydd&amp;dl=0","Click to download Image")</f>
      </c>
      <c r="B638" s="0">
        <f>HYPERLINK("https://dl.dropboxusercontent.com/scl/fi/qiwedpck38xbyfymx4rja/womens-hoodie-and-sweatshirt-size-chartsromina.jpg?rlkey=l2kxhux2ls0ch3ci1kgrjjwu5&amp;dl=0","Click to download SizeChart")</f>
      </c>
      <c r="C638" s="0" t="inlineStr">
        <is>
          <t>Romina Women's Hoodie</t>
        </is>
      </c>
      <c r="D638" s="0" t="inlineStr">
        <is>
          <t>'123280</t>
        </is>
      </c>
      <c r="E638" s="0" t="inlineStr">
        <is>
          <t>IND ROMINA W CL:123280B-M</t>
        </is>
      </c>
      <c r="F638" s="0" t="inlineStr">
        <is>
          <t>'806123280059</t>
        </is>
      </c>
      <c r="G638" s="0" t="inlineStr">
        <is>
          <t>WOMENS</t>
        </is>
      </c>
      <c r="H638" s="0" t="inlineStr">
        <is>
          <t>M</t>
        </is>
      </c>
      <c r="I638" s="0">
        <v>39.99</v>
      </c>
      <c r="J638" s="0">
        <v>12</v>
      </c>
    </row>
    <row r="639" spans="1:10" customHeight="0">
      <c r="A639" s="0">
        <f>HYPERLINK("https://dl.dropboxusercontent.com/scl/fi/xzuar1ny2qdk5yj0wh68q/123280-f.jpg?rlkey=vymo7dv6yyxjgooc8en5txydd&amp;dl=0","Click to download Image")</f>
      </c>
      <c r="B639" s="0">
        <f>HYPERLINK("https://dl.dropboxusercontent.com/scl/fi/qiwedpck38xbyfymx4rja/womens-hoodie-and-sweatshirt-size-chartsromina.jpg?rlkey=l2kxhux2ls0ch3ci1kgrjjwu5&amp;dl=0","Click to download SizeChart")</f>
      </c>
      <c r="C639" s="0" t="inlineStr">
        <is>
          <t>Romina Women's Hoodie</t>
        </is>
      </c>
      <c r="D639" s="0" t="inlineStr">
        <is>
          <t>'123280</t>
        </is>
      </c>
      <c r="E639" s="0" t="inlineStr">
        <is>
          <t>IND ROMINA W CL:123280C-L</t>
        </is>
      </c>
      <c r="F639" s="0" t="inlineStr">
        <is>
          <t>'806123280066</t>
        </is>
      </c>
      <c r="G639" s="0" t="inlineStr">
        <is>
          <t>WOMENS</t>
        </is>
      </c>
      <c r="H639" s="0" t="inlineStr">
        <is>
          <t>L</t>
        </is>
      </c>
      <c r="I639" s="0">
        <v>39.99</v>
      </c>
      <c r="J639" s="0">
        <v>12</v>
      </c>
    </row>
    <row r="640" spans="1:10" customHeight="0">
      <c r="A640" s="0">
        <f>HYPERLINK("https://dl.dropboxusercontent.com/scl/fi/xzuar1ny2qdk5yj0wh68q/123280-f.jpg?rlkey=vymo7dv6yyxjgooc8en5txydd&amp;dl=0","Click to download Image")</f>
      </c>
      <c r="B640" s="0">
        <f>HYPERLINK("https://dl.dropboxusercontent.com/scl/fi/qiwedpck38xbyfymx4rja/womens-hoodie-and-sweatshirt-size-chartsromina.jpg?rlkey=l2kxhux2ls0ch3ci1kgrjjwu5&amp;dl=0","Click to download SizeChart")</f>
      </c>
      <c r="C640" s="0" t="inlineStr">
        <is>
          <t>Romina Women's Hoodie</t>
        </is>
      </c>
      <c r="D640" s="0" t="inlineStr">
        <is>
          <t>'123280</t>
        </is>
      </c>
      <c r="E640" s="0" t="inlineStr">
        <is>
          <t>IND ROMINA W CL:123280D-XL</t>
        </is>
      </c>
      <c r="F640" s="0" t="inlineStr">
        <is>
          <t>'806123280073</t>
        </is>
      </c>
      <c r="G640" s="0" t="inlineStr">
        <is>
          <t>WOMENS</t>
        </is>
      </c>
      <c r="H640" s="0" t="inlineStr">
        <is>
          <t>XL</t>
        </is>
      </c>
      <c r="I640" s="0">
        <v>39.99</v>
      </c>
      <c r="J640" s="0">
        <v>6</v>
      </c>
    </row>
    <row r="641" spans="1:10" customHeight="0">
      <c r="A641" s="0">
        <f>HYPERLINK("https://dl.dropboxusercontent.com/scl/fi/xzuar1ny2qdk5yj0wh68q/123280-f.jpg?rlkey=vymo7dv6yyxjgooc8en5txydd&amp;dl=0","Click to download Image")</f>
      </c>
      <c r="B641" s="0">
        <f>HYPERLINK("https://dl.dropboxusercontent.com/scl/fi/qiwedpck38xbyfymx4rja/womens-hoodie-and-sweatshirt-size-chartsromina.jpg?rlkey=l2kxhux2ls0ch3ci1kgrjjwu5&amp;dl=0","Click to download SizeChart")</f>
      </c>
      <c r="C641" s="0" t="inlineStr">
        <is>
          <t>Romina Women's Hoodie</t>
        </is>
      </c>
      <c r="D641" s="0" t="inlineStr">
        <is>
          <t>'123280</t>
        </is>
      </c>
      <c r="E641" s="0" t="inlineStr">
        <is>
          <t>IND ROMINA W CL:123280E-2XL</t>
        </is>
      </c>
      <c r="F641" s="0" t="inlineStr">
        <is>
          <t>'806123280080</t>
        </is>
      </c>
      <c r="G641" s="0" t="inlineStr">
        <is>
          <t>WOMENS</t>
        </is>
      </c>
      <c r="H641" s="0" t="inlineStr">
        <is>
          <t>2XL</t>
        </is>
      </c>
      <c r="I641" s="0">
        <v>39.99</v>
      </c>
      <c r="J641" s="0">
        <v>2</v>
      </c>
    </row>
    <row r="642" spans="1:10" customHeight="0">
      <c r="A642" s="0">
        <f>HYPERLINK("https://dl.dropboxusercontent.com/scl/fi/xzuar1ny2qdk5yj0wh68q/123280-f.jpg?rlkey=vymo7dv6yyxjgooc8en5txydd&amp;dl=0","Click to download Image")</f>
      </c>
      <c r="B642" s="0">
        <f>HYPERLINK("https://dl.dropboxusercontent.com/scl/fi/qiwedpck38xbyfymx4rja/womens-hoodie-and-sweatshirt-size-chartsromina.jpg?rlkey=l2kxhux2ls0ch3ci1kgrjjwu5&amp;dl=0","Click to download SizeChart")</f>
      </c>
      <c r="C642" s="0" t="inlineStr">
        <is>
          <t>Romina Women's Hoodie</t>
        </is>
      </c>
      <c r="D642" s="0" t="inlineStr">
        <is>
          <t>'123280</t>
        </is>
      </c>
      <c r="E642" s="0" t="inlineStr">
        <is>
          <t>IND ROMINA W CL:123280F-3XL</t>
        </is>
      </c>
      <c r="F642" s="0" t="inlineStr">
        <is>
          <t>'806123280097</t>
        </is>
      </c>
      <c r="G642" s="0" t="inlineStr">
        <is>
          <t>WOMENS</t>
        </is>
      </c>
      <c r="H642" s="0" t="inlineStr">
        <is>
          <t>3XL</t>
        </is>
      </c>
      <c r="I642" s="0">
        <v>39.99</v>
      </c>
      <c r="J642" s="0">
        <v>2</v>
      </c>
    </row>
    <row r="643" spans="1:10" customHeight="0">
      <c r="A643" s="0">
        <f>HYPERLINK("https://dl.dropboxusercontent.com/scl/fi/xzuar1ny2qdk5yj0wh68q/123280-f.jpg?rlkey=vymo7dv6yyxjgooc8en5txydd&amp;dl=0","Click to download Image")</f>
      </c>
      <c r="B643" s="0">
        <f>HYPERLINK("https://dl.dropboxusercontent.com/scl/fi/qiwedpck38xbyfymx4rja/womens-hoodie-and-sweatshirt-size-chartsromina.jpg?rlkey=l2kxhux2ls0ch3ci1kgrjjwu5&amp;dl=0","Click to download SizeChart")</f>
      </c>
      <c r="C643" s="0" t="inlineStr">
        <is>
          <t>Romina Women's Hoodie</t>
        </is>
      </c>
      <c r="D643" s="0" t="inlineStr">
        <is>
          <t>'123280</t>
        </is>
      </c>
      <c r="E643" s="0" t="inlineStr">
        <is>
          <t>IND ROMINA W CL 12PK:123280Z-12PK</t>
        </is>
      </c>
      <c r="F643" s="0" t="inlineStr">
        <is>
          <t>'806123280998</t>
        </is>
      </c>
      <c r="G643" s="0" t="inlineStr">
        <is>
          <t>WOMENS</t>
        </is>
      </c>
      <c r="H643" s="0" t="inlineStr">
        <is>
          <t>12 PACK</t>
        </is>
      </c>
      <c r="I643" s="0">
        <v>384</v>
      </c>
      <c r="J643" s="0">
        <v>3</v>
      </c>
    </row>
    <row r="644" spans="1:10" customHeight="0">
      <c r="A644" s="0">
        <f>HYPERLINK("https://dl.dropboxusercontent.com/scl/fi/kls0mk5d3y6neekd8jp8w/123894f.jpg?rlkey=gh22ikrrut53g2lvem8cebkjq&amp;dl=0","Click to download Image")</f>
      </c>
      <c r="B644" s="0">
        <f>HYPERLINK("https://dl.dropboxusercontent.com/scl/fi/qiwedpck38xbyfymx4rja/womens-hoodie-and-sweatshirt-size-chartsromina.jpg?rlkey=l2kxhux2ls0ch3ci1kgrjjwu5&amp;dl=0","Click to download SizeChart")</f>
      </c>
      <c r="C644" s="0" t="inlineStr">
        <is>
          <t>Romina Women's Hoodie</t>
        </is>
      </c>
      <c r="D644" s="0" t="inlineStr">
        <is>
          <t>'123894</t>
        </is>
      </c>
      <c r="E644" s="0" t="inlineStr">
        <is>
          <t>UNO ROMINA W BK:123894A-S</t>
        </is>
      </c>
      <c r="F644" s="0" t="inlineStr">
        <is>
          <t>'809123894042</t>
        </is>
      </c>
      <c r="G644" s="0" t="inlineStr">
        <is>
          <t>WOMENS</t>
        </is>
      </c>
      <c r="H644" s="0" t="inlineStr">
        <is>
          <t>S</t>
        </is>
      </c>
      <c r="I644" s="0">
        <v>39.99</v>
      </c>
      <c r="J644" s="0">
        <v>3</v>
      </c>
    </row>
    <row r="645" spans="1:10" customHeight="0">
      <c r="A645" s="0">
        <f>HYPERLINK("https://dl.dropboxusercontent.com/scl/fi/kls0mk5d3y6neekd8jp8w/123894f.jpg?rlkey=gh22ikrrut53g2lvem8cebkjq&amp;dl=0","Click to download Image")</f>
      </c>
      <c r="B645" s="0">
        <f>HYPERLINK("https://dl.dropboxusercontent.com/scl/fi/qiwedpck38xbyfymx4rja/womens-hoodie-and-sweatshirt-size-chartsromina.jpg?rlkey=l2kxhux2ls0ch3ci1kgrjjwu5&amp;dl=0","Click to download SizeChart")</f>
      </c>
      <c r="C645" s="0" t="inlineStr">
        <is>
          <t>Romina Women's Hoodie</t>
        </is>
      </c>
      <c r="D645" s="0" t="inlineStr">
        <is>
          <t>'123894</t>
        </is>
      </c>
      <c r="E645" s="0" t="inlineStr">
        <is>
          <t>UNO ROMINA W BK:123894B-M</t>
        </is>
      </c>
      <c r="F645" s="0" t="inlineStr">
        <is>
          <t>'809123894059</t>
        </is>
      </c>
      <c r="G645" s="0" t="inlineStr">
        <is>
          <t>WOMENS</t>
        </is>
      </c>
      <c r="H645" s="0" t="inlineStr">
        <is>
          <t>M</t>
        </is>
      </c>
      <c r="I645" s="0">
        <v>39.99</v>
      </c>
      <c r="J645" s="0">
        <v>4</v>
      </c>
    </row>
    <row r="646" spans="1:10" customHeight="0">
      <c r="A646" s="0">
        <f>HYPERLINK("https://dl.dropboxusercontent.com/scl/fi/kls0mk5d3y6neekd8jp8w/123894f.jpg?rlkey=gh22ikrrut53g2lvem8cebkjq&amp;dl=0","Click to download Image")</f>
      </c>
      <c r="B646" s="0">
        <f>HYPERLINK("https://dl.dropboxusercontent.com/scl/fi/qiwedpck38xbyfymx4rja/womens-hoodie-and-sweatshirt-size-chartsromina.jpg?rlkey=l2kxhux2ls0ch3ci1kgrjjwu5&amp;dl=0","Click to download SizeChart")</f>
      </c>
      <c r="C646" s="0" t="inlineStr">
        <is>
          <t>Romina Women's Hoodie</t>
        </is>
      </c>
      <c r="D646" s="0" t="inlineStr">
        <is>
          <t>'123894</t>
        </is>
      </c>
      <c r="E646" s="0" t="inlineStr">
        <is>
          <t>UNO ROMINA W BK:123894C-L</t>
        </is>
      </c>
      <c r="F646" s="0" t="inlineStr">
        <is>
          <t>'809123894066</t>
        </is>
      </c>
      <c r="G646" s="0" t="inlineStr">
        <is>
          <t>WOMENS</t>
        </is>
      </c>
      <c r="H646" s="0" t="inlineStr">
        <is>
          <t>L</t>
        </is>
      </c>
      <c r="I646" s="0">
        <v>39.99</v>
      </c>
      <c r="J646" s="0">
        <v>4</v>
      </c>
    </row>
    <row r="647" spans="1:10" customHeight="0">
      <c r="A647" s="0">
        <f>HYPERLINK("https://dl.dropboxusercontent.com/scl/fi/kls0mk5d3y6neekd8jp8w/123894f.jpg?rlkey=gh22ikrrut53g2lvem8cebkjq&amp;dl=0","Click to download Image")</f>
      </c>
      <c r="B647" s="0">
        <f>HYPERLINK("https://dl.dropboxusercontent.com/scl/fi/qiwedpck38xbyfymx4rja/womens-hoodie-and-sweatshirt-size-chartsromina.jpg?rlkey=l2kxhux2ls0ch3ci1kgrjjwu5&amp;dl=0","Click to download SizeChart")</f>
      </c>
      <c r="C647" s="0" t="inlineStr">
        <is>
          <t>Romina Women's Hoodie</t>
        </is>
      </c>
      <c r="D647" s="0" t="inlineStr">
        <is>
          <t>'123894</t>
        </is>
      </c>
      <c r="E647" s="0" t="inlineStr">
        <is>
          <t>UNO ROMINA W BK:123894D-XL</t>
        </is>
      </c>
      <c r="F647" s="0" t="inlineStr">
        <is>
          <t>'809123894073</t>
        </is>
      </c>
      <c r="G647" s="0" t="inlineStr">
        <is>
          <t>WOMENS</t>
        </is>
      </c>
      <c r="H647" s="0" t="inlineStr">
        <is>
          <t>XL</t>
        </is>
      </c>
      <c r="I647" s="0">
        <v>39.99</v>
      </c>
      <c r="J647" s="0">
        <v>2</v>
      </c>
    </row>
    <row r="648" spans="1:10" customHeight="0">
      <c r="A648" s="0">
        <f>HYPERLINK("https://dl.dropboxusercontent.com/scl/fi/kls0mk5d3y6neekd8jp8w/123894f.jpg?rlkey=gh22ikrrut53g2lvem8cebkjq&amp;dl=0","Click to download Image")</f>
      </c>
      <c r="B648" s="0">
        <f>HYPERLINK("https://dl.dropboxusercontent.com/scl/fi/qiwedpck38xbyfymx4rja/womens-hoodie-and-sweatshirt-size-chartsromina.jpg?rlkey=l2kxhux2ls0ch3ci1kgrjjwu5&amp;dl=0","Click to download SizeChart")</f>
      </c>
      <c r="C648" s="0" t="inlineStr">
        <is>
          <t>Romina Women's Hoodie</t>
        </is>
      </c>
      <c r="D648" s="0" t="inlineStr">
        <is>
          <t>'123894</t>
        </is>
      </c>
      <c r="E648" s="0" t="inlineStr">
        <is>
          <t>UNO ROMINA W BK:123894E-2XL</t>
        </is>
      </c>
      <c r="F648" s="0" t="inlineStr">
        <is>
          <t>'809123894080</t>
        </is>
      </c>
      <c r="G648" s="0" t="inlineStr">
        <is>
          <t>WOMENS</t>
        </is>
      </c>
      <c r="H648" s="0" t="inlineStr">
        <is>
          <t>2XL</t>
        </is>
      </c>
      <c r="I648" s="0">
        <v>39.99</v>
      </c>
      <c r="J648" s="0">
        <v>4</v>
      </c>
    </row>
    <row r="649" spans="1:10" customHeight="0">
      <c r="A649" s="0">
        <f>HYPERLINK("https://dl.dropboxusercontent.com/scl/fi/kls0mk5d3y6neekd8jp8w/123894f.jpg?rlkey=gh22ikrrut53g2lvem8cebkjq&amp;dl=0","Click to download Image")</f>
      </c>
      <c r="B649" s="0">
        <f>HYPERLINK("https://dl.dropboxusercontent.com/scl/fi/qiwedpck38xbyfymx4rja/womens-hoodie-and-sweatshirt-size-chartsromina.jpg?rlkey=l2kxhux2ls0ch3ci1kgrjjwu5&amp;dl=0","Click to download SizeChart")</f>
      </c>
      <c r="C649" s="0" t="inlineStr">
        <is>
          <t>Romina Women's Hoodie</t>
        </is>
      </c>
      <c r="D649" s="0" t="inlineStr">
        <is>
          <t>'123894</t>
        </is>
      </c>
      <c r="E649" s="0" t="inlineStr">
        <is>
          <t>UNO ROMINA W BK:123894F-3XL</t>
        </is>
      </c>
      <c r="F649" s="0" t="inlineStr">
        <is>
          <t>'809123894097</t>
        </is>
      </c>
      <c r="G649" s="0" t="inlineStr">
        <is>
          <t>WOMENS</t>
        </is>
      </c>
      <c r="H649" s="0" t="inlineStr">
        <is>
          <t>3XL</t>
        </is>
      </c>
      <c r="I649" s="0">
        <v>39.99</v>
      </c>
      <c r="J649" s="0">
        <v>2</v>
      </c>
    </row>
    <row r="650" spans="1:10" customHeight="0">
      <c r="A650" s="0">
        <f>HYPERLINK("https://dl.dropboxusercontent.com/scl/fi/kls0mk5d3y6neekd8jp8w/123894f.jpg?rlkey=gh22ikrrut53g2lvem8cebkjq&amp;dl=0","Click to download Image")</f>
      </c>
      <c r="B650" s="0">
        <f>HYPERLINK("https://dl.dropboxusercontent.com/scl/fi/qiwedpck38xbyfymx4rja/womens-hoodie-and-sweatshirt-size-chartsromina.jpg?rlkey=l2kxhux2ls0ch3ci1kgrjjwu5&amp;dl=0","Click to download SizeChart")</f>
      </c>
      <c r="C650" s="0" t="inlineStr">
        <is>
          <t>Romina Women's Hoodie</t>
        </is>
      </c>
      <c r="D650" s="0" t="inlineStr">
        <is>
          <t>'123894</t>
        </is>
      </c>
      <c r="E650" s="0" t="inlineStr">
        <is>
          <t>UNO ROMINA W BK 12PK:123894Z-12PK</t>
        </is>
      </c>
      <c r="F650" s="0" t="inlineStr">
        <is>
          <t>'809123894998</t>
        </is>
      </c>
      <c r="G650" s="0" t="inlineStr">
        <is>
          <t>WOMENS</t>
        </is>
      </c>
      <c r="H650" s="0" t="inlineStr">
        <is>
          <t>12 PACK</t>
        </is>
      </c>
      <c r="I650" s="0">
        <v>384</v>
      </c>
      <c r="J650" s="0">
        <v>1</v>
      </c>
    </row>
    <row r="651" spans="1:10" customHeight="0">
      <c r="A651" s="0">
        <f>HYPERLINK("https://dl.dropboxusercontent.com/scl/fi/x5tk6tw51lgsfwoza78wo/romina73136.jpeg?rlkey=53c9ex26oxd3fch1q9764nb2t&amp;dl=0","Click to download Image")</f>
      </c>
      <c r="B651" s="0">
        <f>HYPERLINK("https://dl.dropboxusercontent.com/scl/fi/qiwedpck38xbyfymx4rja/womens-hoodie-and-sweatshirt-size-chartsromina.jpg?rlkey=l2kxhux2ls0ch3ci1kgrjjwu5&amp;dl=0","Click to download SizeChart")</f>
      </c>
      <c r="C651" s="0" t="inlineStr">
        <is>
          <t>Romina Women's Hoodie</t>
        </is>
      </c>
      <c r="D651" s="0" t="inlineStr">
        <is>
          <t>'123981</t>
        </is>
      </c>
      <c r="E651" s="0" t="inlineStr">
        <is>
          <t>CU ROMINA W WT:123981A-S</t>
        </is>
      </c>
      <c r="F651" s="0" t="inlineStr">
        <is>
          <t>'810123981045</t>
        </is>
      </c>
      <c r="G651" s="0" t="inlineStr">
        <is>
          <t>WOMENS</t>
        </is>
      </c>
      <c r="H651" s="0" t="inlineStr">
        <is>
          <t>S</t>
        </is>
      </c>
      <c r="I651" s="0">
        <v>39.99</v>
      </c>
      <c r="J651" s="0">
        <v>7</v>
      </c>
    </row>
    <row r="652" spans="1:10" customHeight="0">
      <c r="A652" s="0">
        <f>HYPERLINK("https://dl.dropboxusercontent.com/scl/fi/x5tk6tw51lgsfwoza78wo/romina73136.jpeg?rlkey=53c9ex26oxd3fch1q9764nb2t&amp;dl=0","Click to download Image")</f>
      </c>
      <c r="B652" s="0">
        <f>HYPERLINK("https://dl.dropboxusercontent.com/scl/fi/qiwedpck38xbyfymx4rja/womens-hoodie-and-sweatshirt-size-chartsromina.jpg?rlkey=l2kxhux2ls0ch3ci1kgrjjwu5&amp;dl=0","Click to download SizeChart")</f>
      </c>
      <c r="C652" s="0" t="inlineStr">
        <is>
          <t>Romina Women's Hoodie</t>
        </is>
      </c>
      <c r="D652" s="0" t="inlineStr">
        <is>
          <t>'123981</t>
        </is>
      </c>
      <c r="E652" s="0" t="inlineStr">
        <is>
          <t>CU ROMINA W WT:123981B-M</t>
        </is>
      </c>
      <c r="F652" s="0" t="inlineStr">
        <is>
          <t>'810123981052</t>
        </is>
      </c>
      <c r="G652" s="0" t="inlineStr">
        <is>
          <t>WOMENS</t>
        </is>
      </c>
      <c r="H652" s="0" t="inlineStr">
        <is>
          <t>M</t>
        </is>
      </c>
      <c r="I652" s="0">
        <v>39.99</v>
      </c>
      <c r="J652" s="0">
        <v>13</v>
      </c>
    </row>
    <row r="653" spans="1:10" customHeight="0">
      <c r="A653" s="0">
        <f>HYPERLINK("https://dl.dropboxusercontent.com/scl/fi/x5tk6tw51lgsfwoza78wo/romina73136.jpeg?rlkey=53c9ex26oxd3fch1q9764nb2t&amp;dl=0","Click to download Image")</f>
      </c>
      <c r="B653" s="0">
        <f>HYPERLINK("https://dl.dropboxusercontent.com/scl/fi/qiwedpck38xbyfymx4rja/womens-hoodie-and-sweatshirt-size-chartsromina.jpg?rlkey=l2kxhux2ls0ch3ci1kgrjjwu5&amp;dl=0","Click to download SizeChart")</f>
      </c>
      <c r="C653" s="0" t="inlineStr">
        <is>
          <t>Romina Women's Hoodie</t>
        </is>
      </c>
      <c r="D653" s="0" t="inlineStr">
        <is>
          <t>'123981</t>
        </is>
      </c>
      <c r="E653" s="0" t="inlineStr">
        <is>
          <t>CU ROMINA W WT:123981C-L</t>
        </is>
      </c>
      <c r="F653" s="0" t="inlineStr">
        <is>
          <t>'810123981069</t>
        </is>
      </c>
      <c r="G653" s="0" t="inlineStr">
        <is>
          <t>WOMENS</t>
        </is>
      </c>
      <c r="H653" s="0" t="inlineStr">
        <is>
          <t>L</t>
        </is>
      </c>
      <c r="I653" s="0">
        <v>39.99</v>
      </c>
      <c r="J653" s="0">
        <v>13</v>
      </c>
    </row>
    <row r="654" spans="1:10" customHeight="0">
      <c r="A654" s="0">
        <f>HYPERLINK("https://dl.dropboxusercontent.com/scl/fi/x5tk6tw51lgsfwoza78wo/romina73136.jpeg?rlkey=53c9ex26oxd3fch1q9764nb2t&amp;dl=0","Click to download Image")</f>
      </c>
      <c r="B654" s="0">
        <f>HYPERLINK("https://dl.dropboxusercontent.com/scl/fi/qiwedpck38xbyfymx4rja/womens-hoodie-and-sweatshirt-size-chartsromina.jpg?rlkey=l2kxhux2ls0ch3ci1kgrjjwu5&amp;dl=0","Click to download SizeChart")</f>
      </c>
      <c r="C654" s="0" t="inlineStr">
        <is>
          <t>Romina Women's Hoodie</t>
        </is>
      </c>
      <c r="D654" s="0" t="inlineStr">
        <is>
          <t>'123981</t>
        </is>
      </c>
      <c r="E654" s="0" t="inlineStr">
        <is>
          <t>CU ROMINA W WT:123981D-XL</t>
        </is>
      </c>
      <c r="F654" s="0" t="inlineStr">
        <is>
          <t>'810123981076</t>
        </is>
      </c>
      <c r="G654" s="0" t="inlineStr">
        <is>
          <t>WOMENS</t>
        </is>
      </c>
      <c r="H654" s="0" t="inlineStr">
        <is>
          <t>XL</t>
        </is>
      </c>
      <c r="I654" s="0">
        <v>39.99</v>
      </c>
      <c r="J654" s="0">
        <v>6</v>
      </c>
    </row>
    <row r="655" spans="1:10" customHeight="0">
      <c r="A655" s="0">
        <f>HYPERLINK("https://dl.dropboxusercontent.com/scl/fi/x5tk6tw51lgsfwoza78wo/romina73136.jpeg?rlkey=53c9ex26oxd3fch1q9764nb2t&amp;dl=0","Click to download Image")</f>
      </c>
      <c r="B655" s="0">
        <f>HYPERLINK("https://dl.dropboxusercontent.com/scl/fi/qiwedpck38xbyfymx4rja/womens-hoodie-and-sweatshirt-size-chartsromina.jpg?rlkey=l2kxhux2ls0ch3ci1kgrjjwu5&amp;dl=0","Click to download SizeChart")</f>
      </c>
      <c r="C655" s="0" t="inlineStr">
        <is>
          <t>Romina Women's Hoodie</t>
        </is>
      </c>
      <c r="D655" s="0" t="inlineStr">
        <is>
          <t>'123981</t>
        </is>
      </c>
      <c r="E655" s="0" t="inlineStr">
        <is>
          <t>CU ROMINA W WT:123981E-2XL</t>
        </is>
      </c>
      <c r="F655" s="0" t="inlineStr">
        <is>
          <t>'810123981083</t>
        </is>
      </c>
      <c r="G655" s="0" t="inlineStr">
        <is>
          <t>WOMENS</t>
        </is>
      </c>
      <c r="H655" s="0" t="inlineStr">
        <is>
          <t>2XL</t>
        </is>
      </c>
      <c r="I655" s="0">
        <v>39.99</v>
      </c>
      <c r="J655" s="0">
        <v>6</v>
      </c>
    </row>
    <row r="656" spans="1:10" customHeight="0">
      <c r="A656" s="0">
        <f>HYPERLINK("https://dl.dropboxusercontent.com/scl/fi/x5tk6tw51lgsfwoza78wo/romina73136.jpeg?rlkey=53c9ex26oxd3fch1q9764nb2t&amp;dl=0","Click to download Image")</f>
      </c>
      <c r="B656" s="0">
        <f>HYPERLINK("https://dl.dropboxusercontent.com/scl/fi/qiwedpck38xbyfymx4rja/womens-hoodie-and-sweatshirt-size-chartsromina.jpg?rlkey=l2kxhux2ls0ch3ci1kgrjjwu5&amp;dl=0","Click to download SizeChart")</f>
      </c>
      <c r="C656" s="0" t="inlineStr">
        <is>
          <t>Romina Women's Hoodie</t>
        </is>
      </c>
      <c r="D656" s="0" t="inlineStr">
        <is>
          <t>'123981</t>
        </is>
      </c>
      <c r="E656" s="0" t="inlineStr">
        <is>
          <t>CU ROMINA W WT:123981F-3XL</t>
        </is>
      </c>
      <c r="F656" s="0" t="inlineStr">
        <is>
          <t>'810123981090</t>
        </is>
      </c>
      <c r="G656" s="0" t="inlineStr">
        <is>
          <t>WOMENS</t>
        </is>
      </c>
      <c r="H656" s="0" t="inlineStr">
        <is>
          <t>3XL</t>
        </is>
      </c>
      <c r="I656" s="0">
        <v>39.99</v>
      </c>
      <c r="J656" s="0">
        <v>3</v>
      </c>
    </row>
    <row r="657" spans="1:10" customHeight="0">
      <c r="A657" s="0">
        <f>HYPERLINK("https://dl.dropboxusercontent.com/scl/fi/x5tk6tw51lgsfwoza78wo/romina73136.jpeg?rlkey=53c9ex26oxd3fch1q9764nb2t&amp;dl=0","Click to download Image")</f>
      </c>
      <c r="B657" s="0">
        <f>HYPERLINK("https://dl.dropboxusercontent.com/scl/fi/qiwedpck38xbyfymx4rja/womens-hoodie-and-sweatshirt-size-chartsromina.jpg?rlkey=l2kxhux2ls0ch3ci1kgrjjwu5&amp;dl=0","Click to download SizeChart")</f>
      </c>
      <c r="C657" s="0" t="inlineStr">
        <is>
          <t>Romina Women's Hoodie</t>
        </is>
      </c>
      <c r="D657" s="0" t="inlineStr">
        <is>
          <t>'123981</t>
        </is>
      </c>
      <c r="E657" s="0" t="inlineStr">
        <is>
          <t>CU ROMINA W WT 12PK:123981Z-12PK</t>
        </is>
      </c>
      <c r="F657" s="0" t="inlineStr">
        <is>
          <t>'810123981991</t>
        </is>
      </c>
      <c r="G657" s="0" t="inlineStr">
        <is>
          <t>WOMENS</t>
        </is>
      </c>
      <c r="H657" s="0" t="inlineStr">
        <is>
          <t>12 PACK</t>
        </is>
      </c>
      <c r="I657" s="0">
        <v>384</v>
      </c>
      <c r="J657" s="0">
        <v>3</v>
      </c>
    </row>
    <row r="658" spans="1:10" customHeight="0">
      <c r="A658" s="0">
        <f>HYPERLINK("https://dl.dropboxusercontent.com/scl/fi/eah5sqgbyu2vdc54i0njl/124083f.jpg?rlkey=kyicp2lhba1wcy1iqmdvvj7pk&amp;dl=0","Click to download Image")</f>
      </c>
      <c r="B658" s="0">
        <f>HYPERLINK("https://dl.dropboxusercontent.com/scl/fi/qiwedpck38xbyfymx4rja/womens-hoodie-and-sweatshirt-size-chartsromina.jpg?rlkey=l2kxhux2ls0ch3ci1kgrjjwu5&amp;dl=0","Click to download SizeChart")</f>
      </c>
      <c r="C658" s="0" t="inlineStr">
        <is>
          <t>Romina Women's Hoodie</t>
        </is>
      </c>
      <c r="D658" s="0" t="inlineStr">
        <is>
          <t>'124083</t>
        </is>
      </c>
      <c r="E658" s="0" t="inlineStr">
        <is>
          <t>USD ROMINA W BK:124083A-S</t>
        </is>
      </c>
      <c r="F658" s="0" t="inlineStr">
        <is>
          <t>'811124083042</t>
        </is>
      </c>
      <c r="G658" s="0" t="inlineStr">
        <is>
          <t>WOMENS</t>
        </is>
      </c>
      <c r="H658" s="0" t="inlineStr">
        <is>
          <t>S</t>
        </is>
      </c>
      <c r="I658" s="0">
        <v>39.99</v>
      </c>
      <c r="J658" s="0">
        <v>6</v>
      </c>
    </row>
    <row r="659" spans="1:10" customHeight="0">
      <c r="A659" s="0">
        <f>HYPERLINK("https://dl.dropboxusercontent.com/scl/fi/eah5sqgbyu2vdc54i0njl/124083f.jpg?rlkey=kyicp2lhba1wcy1iqmdvvj7pk&amp;dl=0","Click to download Image")</f>
      </c>
      <c r="B659" s="0">
        <f>HYPERLINK("https://dl.dropboxusercontent.com/scl/fi/qiwedpck38xbyfymx4rja/womens-hoodie-and-sweatshirt-size-chartsromina.jpg?rlkey=l2kxhux2ls0ch3ci1kgrjjwu5&amp;dl=0","Click to download SizeChart")</f>
      </c>
      <c r="C659" s="0" t="inlineStr">
        <is>
          <t>Romina Women's Hoodie</t>
        </is>
      </c>
      <c r="D659" s="0" t="inlineStr">
        <is>
          <t>'124083</t>
        </is>
      </c>
      <c r="E659" s="0" t="inlineStr">
        <is>
          <t>USD ROMINA W BK:124083B-M</t>
        </is>
      </c>
      <c r="F659" s="0" t="inlineStr">
        <is>
          <t>'811124083059</t>
        </is>
      </c>
      <c r="G659" s="0" t="inlineStr">
        <is>
          <t>WOMENS</t>
        </is>
      </c>
      <c r="H659" s="0" t="inlineStr">
        <is>
          <t>M</t>
        </is>
      </c>
      <c r="I659" s="0">
        <v>39.99</v>
      </c>
      <c r="J659" s="0">
        <v>10</v>
      </c>
    </row>
    <row r="660" spans="1:10" customHeight="0">
      <c r="A660" s="0">
        <f>HYPERLINK("https://dl.dropboxusercontent.com/scl/fi/eah5sqgbyu2vdc54i0njl/124083f.jpg?rlkey=kyicp2lhba1wcy1iqmdvvj7pk&amp;dl=0","Click to download Image")</f>
      </c>
      <c r="B660" s="0">
        <f>HYPERLINK("https://dl.dropboxusercontent.com/scl/fi/qiwedpck38xbyfymx4rja/womens-hoodie-and-sweatshirt-size-chartsromina.jpg?rlkey=l2kxhux2ls0ch3ci1kgrjjwu5&amp;dl=0","Click to download SizeChart")</f>
      </c>
      <c r="C660" s="0" t="inlineStr">
        <is>
          <t>Romina Women's Hoodie</t>
        </is>
      </c>
      <c r="D660" s="0" t="inlineStr">
        <is>
          <t>'124083</t>
        </is>
      </c>
      <c r="E660" s="0" t="inlineStr">
        <is>
          <t>USD ROMINA W BK:124083C-L</t>
        </is>
      </c>
      <c r="F660" s="0" t="inlineStr">
        <is>
          <t>'811124083066</t>
        </is>
      </c>
      <c r="G660" s="0" t="inlineStr">
        <is>
          <t>WOMENS</t>
        </is>
      </c>
      <c r="H660" s="0" t="inlineStr">
        <is>
          <t>L</t>
        </is>
      </c>
      <c r="I660" s="0">
        <v>39.99</v>
      </c>
      <c r="J660" s="0">
        <v>10</v>
      </c>
    </row>
    <row r="661" spans="1:10" customHeight="0">
      <c r="A661" s="0">
        <f>HYPERLINK("https://dl.dropboxusercontent.com/scl/fi/eah5sqgbyu2vdc54i0njl/124083f.jpg?rlkey=kyicp2lhba1wcy1iqmdvvj7pk&amp;dl=0","Click to download Image")</f>
      </c>
      <c r="B661" s="0">
        <f>HYPERLINK("https://dl.dropboxusercontent.com/scl/fi/qiwedpck38xbyfymx4rja/womens-hoodie-and-sweatshirt-size-chartsromina.jpg?rlkey=l2kxhux2ls0ch3ci1kgrjjwu5&amp;dl=0","Click to download SizeChart")</f>
      </c>
      <c r="C661" s="0" t="inlineStr">
        <is>
          <t>Romina Women's Hoodie</t>
        </is>
      </c>
      <c r="D661" s="0" t="inlineStr">
        <is>
          <t>'124083</t>
        </is>
      </c>
      <c r="E661" s="0" t="inlineStr">
        <is>
          <t>USD ROMINA W BK:124083D-XL</t>
        </is>
      </c>
      <c r="F661" s="0" t="inlineStr">
        <is>
          <t>'811124083073</t>
        </is>
      </c>
      <c r="G661" s="0" t="inlineStr">
        <is>
          <t>WOMENS</t>
        </is>
      </c>
      <c r="H661" s="0" t="inlineStr">
        <is>
          <t>XL</t>
        </is>
      </c>
      <c r="I661" s="0">
        <v>39.99</v>
      </c>
      <c r="J661" s="0">
        <v>4</v>
      </c>
    </row>
    <row r="662" spans="1:10" customHeight="0">
      <c r="A662" s="0">
        <f>HYPERLINK("https://dl.dropboxusercontent.com/scl/fi/eah5sqgbyu2vdc54i0njl/124083f.jpg?rlkey=kyicp2lhba1wcy1iqmdvvj7pk&amp;dl=0","Click to download Image")</f>
      </c>
      <c r="B662" s="0">
        <f>HYPERLINK("https://dl.dropboxusercontent.com/scl/fi/qiwedpck38xbyfymx4rja/womens-hoodie-and-sweatshirt-size-chartsromina.jpg?rlkey=l2kxhux2ls0ch3ci1kgrjjwu5&amp;dl=0","Click to download SizeChart")</f>
      </c>
      <c r="C662" s="0" t="inlineStr">
        <is>
          <t>Romina Women's Hoodie</t>
        </is>
      </c>
      <c r="D662" s="0" t="inlineStr">
        <is>
          <t>'124083</t>
        </is>
      </c>
      <c r="E662" s="0" t="inlineStr">
        <is>
          <t>USD ROMINA W BK:124083E-2XL</t>
        </is>
      </c>
      <c r="F662" s="0" t="inlineStr">
        <is>
          <t>'811124083080</t>
        </is>
      </c>
      <c r="G662" s="0" t="inlineStr">
        <is>
          <t>WOMENS</t>
        </is>
      </c>
      <c r="H662" s="0" t="inlineStr">
        <is>
          <t>2XL</t>
        </is>
      </c>
      <c r="I662" s="0">
        <v>39.99</v>
      </c>
      <c r="J662" s="0">
        <v>2</v>
      </c>
    </row>
    <row r="663" spans="1:10" customHeight="0">
      <c r="A663" s="0">
        <f>HYPERLINK("https://dl.dropboxusercontent.com/scl/fi/eah5sqgbyu2vdc54i0njl/124083f.jpg?rlkey=kyicp2lhba1wcy1iqmdvvj7pk&amp;dl=0","Click to download Image")</f>
      </c>
      <c r="B663" s="0">
        <f>HYPERLINK("https://dl.dropboxusercontent.com/scl/fi/qiwedpck38xbyfymx4rja/womens-hoodie-and-sweatshirt-size-chartsromina.jpg?rlkey=l2kxhux2ls0ch3ci1kgrjjwu5&amp;dl=0","Click to download SizeChart")</f>
      </c>
      <c r="C663" s="0" t="inlineStr">
        <is>
          <t>Romina Women's Hoodie</t>
        </is>
      </c>
      <c r="D663" s="0" t="inlineStr">
        <is>
          <t>'124083</t>
        </is>
      </c>
      <c r="E663" s="0" t="inlineStr">
        <is>
          <t>USD ROMINA W BK:124083F-3XL</t>
        </is>
      </c>
      <c r="F663" s="0" t="inlineStr">
        <is>
          <t>'811124083097</t>
        </is>
      </c>
      <c r="G663" s="0" t="inlineStr">
        <is>
          <t>WOMENS</t>
        </is>
      </c>
      <c r="H663" s="0" t="inlineStr">
        <is>
          <t>3XL</t>
        </is>
      </c>
      <c r="I663" s="0">
        <v>39.99</v>
      </c>
      <c r="J663" s="0">
        <v>2</v>
      </c>
    </row>
    <row r="664" spans="1:10" customHeight="0">
      <c r="A664" s="0">
        <f>HYPERLINK("https://dl.dropboxusercontent.com/scl/fi/eah5sqgbyu2vdc54i0njl/124083f.jpg?rlkey=kyicp2lhba1wcy1iqmdvvj7pk&amp;dl=0","Click to download Image")</f>
      </c>
      <c r="B664" s="0">
        <f>HYPERLINK("https://dl.dropboxusercontent.com/scl/fi/qiwedpck38xbyfymx4rja/womens-hoodie-and-sweatshirt-size-chartsromina.jpg?rlkey=l2kxhux2ls0ch3ci1kgrjjwu5&amp;dl=0","Click to download SizeChart")</f>
      </c>
      <c r="C664" s="0" t="inlineStr">
        <is>
          <t>Romina Women's Hoodie</t>
        </is>
      </c>
      <c r="D664" s="0" t="inlineStr">
        <is>
          <t>'124083</t>
        </is>
      </c>
      <c r="E664" s="0" t="inlineStr">
        <is>
          <t>USD ROMINA W BK 12PK:124083Z-12PK</t>
        </is>
      </c>
      <c r="F664" s="0" t="inlineStr">
        <is>
          <t>'811124083998</t>
        </is>
      </c>
      <c r="G664" s="0" t="inlineStr">
        <is>
          <t>WOMENS</t>
        </is>
      </c>
      <c r="H664" s="0" t="inlineStr">
        <is>
          <t>12 PACK</t>
        </is>
      </c>
      <c r="I664" s="0">
        <v>384</v>
      </c>
      <c r="J664" s="0">
        <v>0</v>
      </c>
    </row>
    <row r="665" spans="1:10" customHeight="0">
      <c r="A665" s="0">
        <f>HYPERLINK("https://dl.dropboxusercontent.com/scl/fi/ac7ykx32uqxpfe1hgrj7r/larkt.jpg?rlkey=6odksavpzsptm8g8io0srmh15&amp;dl=0","Click to download Image")</f>
      </c>
      <c r="C665" s="0" t="inlineStr">
        <is>
          <t>Lark Youth Polo</t>
        </is>
      </c>
      <c r="D665" s="0" t="inlineStr">
        <is>
          <t>'124797</t>
        </is>
      </c>
      <c r="E665" s="0" t="inlineStr">
        <is>
          <t>IOWA LARK Y BK:124797B-YS</t>
        </is>
      </c>
      <c r="F665" s="0" t="inlineStr">
        <is>
          <t>'800124797011</t>
        </is>
      </c>
      <c r="G665" s="0" t="inlineStr">
        <is>
          <t>YOUTH</t>
        </is>
      </c>
      <c r="H665" s="0" t="inlineStr">
        <is>
          <t>YS</t>
        </is>
      </c>
      <c r="I665" s="0">
        <v>34.99</v>
      </c>
      <c r="J665" s="0">
        <v>0</v>
      </c>
    </row>
    <row r="666" spans="1:10" customHeight="0">
      <c r="A666" s="0">
        <f>HYPERLINK("https://dl.dropboxusercontent.com/scl/fi/ac7ykx32uqxpfe1hgrj7r/larkt.jpg?rlkey=6odksavpzsptm8g8io0srmh15&amp;dl=0","Click to download Image")</f>
      </c>
      <c r="C666" s="0" t="inlineStr">
        <is>
          <t>Lark Youth Polo</t>
        </is>
      </c>
      <c r="D666" s="0" t="inlineStr">
        <is>
          <t>'124797</t>
        </is>
      </c>
      <c r="E666" s="0" t="inlineStr">
        <is>
          <t>IOWA LARK Y BK:124797C-YM</t>
        </is>
      </c>
      <c r="F666" s="0" t="inlineStr">
        <is>
          <t>'800124797028</t>
        </is>
      </c>
      <c r="G666" s="0" t="inlineStr">
        <is>
          <t>YOUTH</t>
        </is>
      </c>
      <c r="H666" s="0" t="inlineStr">
        <is>
          <t>YM</t>
        </is>
      </c>
      <c r="I666" s="0">
        <v>34.99</v>
      </c>
      <c r="J666" s="0">
        <v>0</v>
      </c>
    </row>
    <row r="667" spans="1:10" customHeight="0">
      <c r="A667" s="0">
        <f>HYPERLINK("https://dl.dropboxusercontent.com/scl/fi/ac7ykx32uqxpfe1hgrj7r/larkt.jpg?rlkey=6odksavpzsptm8g8io0srmh15&amp;dl=0","Click to download Image")</f>
      </c>
      <c r="C667" s="0" t="inlineStr">
        <is>
          <t>Lark Youth Polo</t>
        </is>
      </c>
      <c r="D667" s="0" t="inlineStr">
        <is>
          <t>'124797</t>
        </is>
      </c>
      <c r="E667" s="0" t="inlineStr">
        <is>
          <t>IOWA LARK Y BK:124797D-YL</t>
        </is>
      </c>
      <c r="F667" s="0" t="inlineStr">
        <is>
          <t>'800124797035</t>
        </is>
      </c>
      <c r="G667" s="0" t="inlineStr">
        <is>
          <t>YOUTH</t>
        </is>
      </c>
      <c r="H667" s="0" t="inlineStr">
        <is>
          <t>YL</t>
        </is>
      </c>
      <c r="I667" s="0">
        <v>34.99</v>
      </c>
      <c r="J667" s="0">
        <v>0</v>
      </c>
    </row>
    <row r="668" spans="1:10" customHeight="0">
      <c r="A668" s="0">
        <f>HYPERLINK("https://dl.dropboxusercontent.com/scl/fi/ac7ykx32uqxpfe1hgrj7r/larkt.jpg?rlkey=6odksavpzsptm8g8io0srmh15&amp;dl=0","Click to download Image")</f>
      </c>
      <c r="C668" s="0" t="inlineStr">
        <is>
          <t>Lark Youth Polo</t>
        </is>
      </c>
      <c r="D668" s="0" t="inlineStr">
        <is>
          <t>'124797</t>
        </is>
      </c>
      <c r="E668" s="0" t="inlineStr">
        <is>
          <t>IOWA LARK Y BK:124797E-YXL</t>
        </is>
      </c>
      <c r="F668" s="0" t="inlineStr">
        <is>
          <t>'800124797042</t>
        </is>
      </c>
      <c r="G668" s="0" t="inlineStr">
        <is>
          <t>YOUTH</t>
        </is>
      </c>
      <c r="H668" s="0" t="inlineStr">
        <is>
          <t>YXL</t>
        </is>
      </c>
      <c r="I668" s="0">
        <v>34.99</v>
      </c>
      <c r="J668" s="0">
        <v>2</v>
      </c>
    </row>
    <row r="669" spans="1:10" customHeight="0">
      <c r="A669" s="0">
        <f>HYPERLINK("https://dl.dropboxusercontent.com/scl/fi/ac7ykx32uqxpfe1hgrj7r/larkt.jpg?rlkey=6odksavpzsptm8g8io0srmh15&amp;dl=0","Click to download Image")</f>
      </c>
      <c r="C669" s="0" t="inlineStr">
        <is>
          <t>Lark Youth Polo</t>
        </is>
      </c>
      <c r="D669" s="0" t="inlineStr">
        <is>
          <t>'124797</t>
        </is>
      </c>
      <c r="E669" s="0" t="inlineStr">
        <is>
          <t>IOWA LARK Y BK 12PK:124797Z-12PK</t>
        </is>
      </c>
      <c r="F669" s="0" t="inlineStr">
        <is>
          <t>'800124797998</t>
        </is>
      </c>
      <c r="G669" s="0" t="inlineStr">
        <is>
          <t>YOUTH</t>
        </is>
      </c>
      <c r="H669" s="0" t="inlineStr">
        <is>
          <t>12 PACK</t>
        </is>
      </c>
      <c r="I669" s="0">
        <v>336</v>
      </c>
      <c r="J669" s="0">
        <v>0</v>
      </c>
    </row>
    <row r="670" spans="1:10" customHeight="0">
      <c r="A670" s="0">
        <f>HYPERLINK("https://dl.dropboxusercontent.com/scl/fi/v7zmyti9f0g6yyjo62lj6/124800t.jpg?rlkey=baquu3g0n91mlgj7ljnavu049&amp;dl=0","Click to download Image")</f>
      </c>
      <c r="C670" s="0" t="inlineStr">
        <is>
          <t>Lark Youth Polo</t>
        </is>
      </c>
      <c r="D670" s="0" t="inlineStr">
        <is>
          <t>'124800</t>
        </is>
      </c>
      <c r="E670" s="0" t="inlineStr">
        <is>
          <t>ISU LARK Y CL:124800B-YS</t>
        </is>
      </c>
      <c r="F670" s="0" t="inlineStr">
        <is>
          <t>'801124800015</t>
        </is>
      </c>
      <c r="G670" s="0" t="inlineStr">
        <is>
          <t>YOUTH</t>
        </is>
      </c>
      <c r="H670" s="0" t="inlineStr">
        <is>
          <t>YS</t>
        </is>
      </c>
      <c r="I670" s="0">
        <v>34.99</v>
      </c>
      <c r="J670" s="0">
        <v>0</v>
      </c>
    </row>
    <row r="671" spans="1:10" customHeight="0">
      <c r="A671" s="0">
        <f>HYPERLINK("https://dl.dropboxusercontent.com/scl/fi/v7zmyti9f0g6yyjo62lj6/124800t.jpg?rlkey=baquu3g0n91mlgj7ljnavu049&amp;dl=0","Click to download Image")</f>
      </c>
      <c r="C671" s="0" t="inlineStr">
        <is>
          <t>Lark Youth Polo</t>
        </is>
      </c>
      <c r="D671" s="0" t="inlineStr">
        <is>
          <t>'124800</t>
        </is>
      </c>
      <c r="E671" s="0" t="inlineStr">
        <is>
          <t>ISU LARK Y CL:124800C-YM</t>
        </is>
      </c>
      <c r="F671" s="0" t="inlineStr">
        <is>
          <t>'801124800022</t>
        </is>
      </c>
      <c r="G671" s="0" t="inlineStr">
        <is>
          <t>YOUTH</t>
        </is>
      </c>
      <c r="H671" s="0" t="inlineStr">
        <is>
          <t>YM</t>
        </is>
      </c>
      <c r="I671" s="0">
        <v>34.99</v>
      </c>
      <c r="J671" s="0">
        <v>0</v>
      </c>
    </row>
    <row r="672" spans="1:10" customHeight="0">
      <c r="A672" s="0">
        <f>HYPERLINK("https://dl.dropboxusercontent.com/scl/fi/v7zmyti9f0g6yyjo62lj6/124800t.jpg?rlkey=baquu3g0n91mlgj7ljnavu049&amp;dl=0","Click to download Image")</f>
      </c>
      <c r="C672" s="0" t="inlineStr">
        <is>
          <t>Lark Youth Polo</t>
        </is>
      </c>
      <c r="D672" s="0" t="inlineStr">
        <is>
          <t>'124800</t>
        </is>
      </c>
      <c r="E672" s="0" t="inlineStr">
        <is>
          <t>ISU LARK Y CL:124800D-YL</t>
        </is>
      </c>
      <c r="F672" s="0" t="inlineStr">
        <is>
          <t>'801124800039</t>
        </is>
      </c>
      <c r="G672" s="0" t="inlineStr">
        <is>
          <t>YOUTH</t>
        </is>
      </c>
      <c r="H672" s="0" t="inlineStr">
        <is>
          <t>YL</t>
        </is>
      </c>
      <c r="I672" s="0">
        <v>34.99</v>
      </c>
      <c r="J672" s="0">
        <v>1</v>
      </c>
    </row>
    <row r="673" spans="1:10" customHeight="0">
      <c r="A673" s="0">
        <f>HYPERLINK("https://dl.dropboxusercontent.com/scl/fi/v7zmyti9f0g6yyjo62lj6/124800t.jpg?rlkey=baquu3g0n91mlgj7ljnavu049&amp;dl=0","Click to download Image")</f>
      </c>
      <c r="C673" s="0" t="inlineStr">
        <is>
          <t>Lark Youth Polo</t>
        </is>
      </c>
      <c r="D673" s="0" t="inlineStr">
        <is>
          <t>'124800</t>
        </is>
      </c>
      <c r="E673" s="0" t="inlineStr">
        <is>
          <t>ISU LARK Y CL:124800E-YXL</t>
        </is>
      </c>
      <c r="F673" s="0" t="inlineStr">
        <is>
          <t>'801124800046</t>
        </is>
      </c>
      <c r="G673" s="0" t="inlineStr">
        <is>
          <t>YOUTH</t>
        </is>
      </c>
      <c r="H673" s="0" t="inlineStr">
        <is>
          <t>YXL</t>
        </is>
      </c>
      <c r="I673" s="0">
        <v>34.99</v>
      </c>
      <c r="J673" s="0">
        <v>2</v>
      </c>
    </row>
    <row r="674" spans="1:10" customHeight="0">
      <c r="A674" s="0">
        <f>HYPERLINK("https://dl.dropboxusercontent.com/scl/fi/v7zmyti9f0g6yyjo62lj6/124800t.jpg?rlkey=baquu3g0n91mlgj7ljnavu049&amp;dl=0","Click to download Image")</f>
      </c>
      <c r="C674" s="0" t="inlineStr">
        <is>
          <t>Lark Youth Polo</t>
        </is>
      </c>
      <c r="D674" s="0" t="inlineStr">
        <is>
          <t>'124800</t>
        </is>
      </c>
      <c r="E674" s="0" t="inlineStr">
        <is>
          <t>ISU LARK Y CL 12PK:124800Z-12PK</t>
        </is>
      </c>
      <c r="F674" s="0" t="inlineStr">
        <is>
          <t>'801124800992</t>
        </is>
      </c>
      <c r="G674" s="0" t="inlineStr">
        <is>
          <t>YOUTH</t>
        </is>
      </c>
      <c r="H674" s="0" t="inlineStr">
        <is>
          <t>12 PACK</t>
        </is>
      </c>
      <c r="I674" s="0">
        <v>336</v>
      </c>
      <c r="J674" s="0">
        <v>0</v>
      </c>
    </row>
    <row r="675" spans="1:10" customHeight="0">
      <c r="A675" s="0">
        <f>HYPERLINK("https://dl.dropboxusercontent.com/scl/fi/oysdco8ixb37qe82yyadp/lark.jpg?rlkey=e6cvebk8as49x3t9s3un5ru0h&amp;dl=0","Click to download Image")</f>
      </c>
      <c r="C675" s="0" t="inlineStr">
        <is>
          <t>Lark Men's Polo</t>
        </is>
      </c>
      <c r="D675" s="0" t="inlineStr">
        <is>
          <t>'123408</t>
        </is>
      </c>
      <c r="E675" s="0" t="inlineStr">
        <is>
          <t>ISU LARK M CL:123408A-S</t>
        </is>
      </c>
      <c r="F675" s="0" t="inlineStr">
        <is>
          <t>'801123408045</t>
        </is>
      </c>
      <c r="G675" s="0" t="inlineStr">
        <is>
          <t>MENS</t>
        </is>
      </c>
      <c r="H675" s="0" t="inlineStr">
        <is>
          <t>S</t>
        </is>
      </c>
      <c r="I675" s="0">
        <v>49.99</v>
      </c>
      <c r="J675" s="0">
        <v>1</v>
      </c>
    </row>
    <row r="676" spans="1:10" customHeight="0">
      <c r="A676" s="0">
        <f>HYPERLINK("https://dl.dropboxusercontent.com/scl/fi/oysdco8ixb37qe82yyadp/lark.jpg?rlkey=e6cvebk8as49x3t9s3un5ru0h&amp;dl=0","Click to download Image")</f>
      </c>
      <c r="C676" s="0" t="inlineStr">
        <is>
          <t>Lark Men's Polo</t>
        </is>
      </c>
      <c r="D676" s="0" t="inlineStr">
        <is>
          <t>'123408</t>
        </is>
      </c>
      <c r="E676" s="0" t="inlineStr">
        <is>
          <t>ISU LARK M CL:123408B-M</t>
        </is>
      </c>
      <c r="F676" s="0" t="inlineStr">
        <is>
          <t>'801123408052</t>
        </is>
      </c>
      <c r="G676" s="0" t="inlineStr">
        <is>
          <t>MENS</t>
        </is>
      </c>
      <c r="H676" s="0" t="inlineStr">
        <is>
          <t>M</t>
        </is>
      </c>
      <c r="I676" s="0">
        <v>49.99</v>
      </c>
      <c r="J676" s="0">
        <v>1</v>
      </c>
    </row>
    <row r="677" spans="1:10" customHeight="0">
      <c r="A677" s="0">
        <f>HYPERLINK("https://dl.dropboxusercontent.com/scl/fi/oysdco8ixb37qe82yyadp/lark.jpg?rlkey=e6cvebk8as49x3t9s3un5ru0h&amp;dl=0","Click to download Image")</f>
      </c>
      <c r="C677" s="0" t="inlineStr">
        <is>
          <t>Lark Men's Polo</t>
        </is>
      </c>
      <c r="D677" s="0" t="inlineStr">
        <is>
          <t>'123408</t>
        </is>
      </c>
      <c r="E677" s="0" t="inlineStr">
        <is>
          <t>ISU LARK M CL:123408C-L</t>
        </is>
      </c>
      <c r="F677" s="0" t="inlineStr">
        <is>
          <t>'801123408069</t>
        </is>
      </c>
      <c r="G677" s="0" t="inlineStr">
        <is>
          <t>MENS</t>
        </is>
      </c>
      <c r="H677" s="0" t="inlineStr">
        <is>
          <t>L</t>
        </is>
      </c>
      <c r="I677" s="0">
        <v>49.99</v>
      </c>
      <c r="J677" s="0">
        <v>0</v>
      </c>
    </row>
    <row r="678" spans="1:10" customHeight="0">
      <c r="A678" s="0">
        <f>HYPERLINK("https://dl.dropboxusercontent.com/scl/fi/oysdco8ixb37qe82yyadp/lark.jpg?rlkey=e6cvebk8as49x3t9s3un5ru0h&amp;dl=0","Click to download Image")</f>
      </c>
      <c r="C678" s="0" t="inlineStr">
        <is>
          <t>Lark Men's Polo</t>
        </is>
      </c>
      <c r="D678" s="0" t="inlineStr">
        <is>
          <t>'123408</t>
        </is>
      </c>
      <c r="E678" s="0" t="inlineStr">
        <is>
          <t>ISU LARK M CL:123408D-XL</t>
        </is>
      </c>
      <c r="F678" s="0" t="inlineStr">
        <is>
          <t>'801123408076</t>
        </is>
      </c>
      <c r="G678" s="0" t="inlineStr">
        <is>
          <t>MENS</t>
        </is>
      </c>
      <c r="H678" s="0" t="inlineStr">
        <is>
          <t>XL</t>
        </is>
      </c>
      <c r="I678" s="0">
        <v>49.99</v>
      </c>
      <c r="J678" s="0">
        <v>0</v>
      </c>
    </row>
    <row r="679" spans="1:10" customHeight="0">
      <c r="A679" s="0">
        <f>HYPERLINK("https://dl.dropboxusercontent.com/scl/fi/oysdco8ixb37qe82yyadp/lark.jpg?rlkey=e6cvebk8as49x3t9s3un5ru0h&amp;dl=0","Click to download Image")</f>
      </c>
      <c r="C679" s="0" t="inlineStr">
        <is>
          <t>Lark Men's Polo</t>
        </is>
      </c>
      <c r="D679" s="0" t="inlineStr">
        <is>
          <t>'123408</t>
        </is>
      </c>
      <c r="E679" s="0" t="inlineStr">
        <is>
          <t>ISU LARK M CL:123408E-2XL</t>
        </is>
      </c>
      <c r="F679" s="0" t="inlineStr">
        <is>
          <t>'801123408083</t>
        </is>
      </c>
      <c r="G679" s="0" t="inlineStr">
        <is>
          <t>MENS</t>
        </is>
      </c>
      <c r="H679" s="0" t="inlineStr">
        <is>
          <t>2XL</t>
        </is>
      </c>
      <c r="I679" s="0">
        <v>49.99</v>
      </c>
      <c r="J679" s="0">
        <v>0</v>
      </c>
    </row>
    <row r="680" spans="1:10" customHeight="0">
      <c r="A680" s="0">
        <f>HYPERLINK("https://dl.dropboxusercontent.com/scl/fi/oysdco8ixb37qe82yyadp/lark.jpg?rlkey=e6cvebk8as49x3t9s3un5ru0h&amp;dl=0","Click to download Image")</f>
      </c>
      <c r="C680" s="0" t="inlineStr">
        <is>
          <t>Lark Men's Polo</t>
        </is>
      </c>
      <c r="D680" s="0" t="inlineStr">
        <is>
          <t>'123408</t>
        </is>
      </c>
      <c r="E680" s="0" t="inlineStr">
        <is>
          <t>ISU LARK M CL:123408F-3XL</t>
        </is>
      </c>
      <c r="F680" s="0" t="inlineStr">
        <is>
          <t>'801123408090</t>
        </is>
      </c>
      <c r="G680" s="0" t="inlineStr">
        <is>
          <t>MENS</t>
        </is>
      </c>
      <c r="H680" s="0" t="inlineStr">
        <is>
          <t>3XL</t>
        </is>
      </c>
      <c r="I680" s="0">
        <v>49.99</v>
      </c>
      <c r="J680" s="0">
        <v>1</v>
      </c>
    </row>
    <row r="681" spans="1:10" customHeight="0">
      <c r="A681" s="0">
        <f>HYPERLINK("https://dl.dropboxusercontent.com/scl/fi/oysdco8ixb37qe82yyadp/lark.jpg?rlkey=e6cvebk8as49x3t9s3un5ru0h&amp;dl=0","Click to download Image")</f>
      </c>
      <c r="C681" s="0" t="inlineStr">
        <is>
          <t>Lark Men's Polo</t>
        </is>
      </c>
      <c r="D681" s="0" t="inlineStr">
        <is>
          <t>'123408</t>
        </is>
      </c>
      <c r="E681" s="0" t="inlineStr">
        <is>
          <t>ISU LARK M CL 12PK:123408Z-12PK</t>
        </is>
      </c>
      <c r="F681" s="0" t="inlineStr">
        <is>
          <t>'801123408991</t>
        </is>
      </c>
      <c r="G681" s="0" t="inlineStr">
        <is>
          <t>MENS</t>
        </is>
      </c>
      <c r="H681" s="0" t="inlineStr">
        <is>
          <t>12 PACK</t>
        </is>
      </c>
      <c r="I681" s="0">
        <v>486</v>
      </c>
      <c r="J681" s="0">
        <v>0</v>
      </c>
    </row>
    <row r="682" spans="1:10" customHeight="0">
      <c r="A682" s="0">
        <f>HYPERLINK("https://dl.dropboxusercontent.com/scl/fi/06rnnvgkkv3nukds9m64e/124718f19952.jpg?rlkey=uttfvb0dr6tfhgrq86vf7gqgr&amp;dl=0","Click to download Image")</f>
      </c>
      <c r="C682" s="0" t="inlineStr">
        <is>
          <t>Lark Men's Polo</t>
        </is>
      </c>
      <c r="D682" s="0" t="inlineStr">
        <is>
          <t>'124718</t>
        </is>
      </c>
      <c r="E682" s="0" t="inlineStr">
        <is>
          <t>IOWA LARK M BK:124718A-S</t>
        </is>
      </c>
      <c r="F682" s="0" t="inlineStr">
        <is>
          <t>'800124718047</t>
        </is>
      </c>
      <c r="G682" s="0" t="inlineStr">
        <is>
          <t>MENS</t>
        </is>
      </c>
      <c r="H682" s="0" t="inlineStr">
        <is>
          <t>S</t>
        </is>
      </c>
      <c r="I682" s="0">
        <v>49.99</v>
      </c>
      <c r="J682" s="0">
        <v>3</v>
      </c>
    </row>
    <row r="683" spans="1:10" customHeight="0">
      <c r="A683" s="0">
        <f>HYPERLINK("https://dl.dropboxusercontent.com/scl/fi/06rnnvgkkv3nukds9m64e/124718f19952.jpg?rlkey=uttfvb0dr6tfhgrq86vf7gqgr&amp;dl=0","Click to download Image")</f>
      </c>
      <c r="C683" s="0" t="inlineStr">
        <is>
          <t>Lark Men's Polo</t>
        </is>
      </c>
      <c r="D683" s="0" t="inlineStr">
        <is>
          <t>'124718</t>
        </is>
      </c>
      <c r="E683" s="0" t="inlineStr">
        <is>
          <t>IOWA LARK M BK:124718B-M</t>
        </is>
      </c>
      <c r="F683" s="0" t="inlineStr">
        <is>
          <t>'800124718054</t>
        </is>
      </c>
      <c r="G683" s="0" t="inlineStr">
        <is>
          <t>MENS</t>
        </is>
      </c>
      <c r="H683" s="0" t="inlineStr">
        <is>
          <t>M</t>
        </is>
      </c>
      <c r="I683" s="0">
        <v>49.99</v>
      </c>
      <c r="J683" s="0">
        <v>0</v>
      </c>
    </row>
    <row r="684" spans="1:10" customHeight="0">
      <c r="A684" s="0">
        <f>HYPERLINK("https://dl.dropboxusercontent.com/scl/fi/06rnnvgkkv3nukds9m64e/124718f19952.jpg?rlkey=uttfvb0dr6tfhgrq86vf7gqgr&amp;dl=0","Click to download Image")</f>
      </c>
      <c r="C684" s="0" t="inlineStr">
        <is>
          <t>Lark Men's Polo</t>
        </is>
      </c>
      <c r="D684" s="0" t="inlineStr">
        <is>
          <t>'124718</t>
        </is>
      </c>
      <c r="E684" s="0" t="inlineStr">
        <is>
          <t>IOWA LARK M BK:124718C-L</t>
        </is>
      </c>
      <c r="F684" s="0" t="inlineStr">
        <is>
          <t>'800124718061</t>
        </is>
      </c>
      <c r="G684" s="0" t="inlineStr">
        <is>
          <t>MENS</t>
        </is>
      </c>
      <c r="H684" s="0" t="inlineStr">
        <is>
          <t>L</t>
        </is>
      </c>
      <c r="I684" s="0">
        <v>49.99</v>
      </c>
      <c r="J684" s="0">
        <v>0</v>
      </c>
    </row>
    <row r="685" spans="1:10" customHeight="0">
      <c r="A685" s="0">
        <f>HYPERLINK("https://dl.dropboxusercontent.com/scl/fi/06rnnvgkkv3nukds9m64e/124718f19952.jpg?rlkey=uttfvb0dr6tfhgrq86vf7gqgr&amp;dl=0","Click to download Image")</f>
      </c>
      <c r="C685" s="0" t="inlineStr">
        <is>
          <t>Lark Men's Polo</t>
        </is>
      </c>
      <c r="D685" s="0" t="inlineStr">
        <is>
          <t>'124718</t>
        </is>
      </c>
      <c r="E685" s="0" t="inlineStr">
        <is>
          <t>IOWA LARK M BK:124718D-XL</t>
        </is>
      </c>
      <c r="F685" s="0" t="inlineStr">
        <is>
          <t>'800124718078</t>
        </is>
      </c>
      <c r="G685" s="0" t="inlineStr">
        <is>
          <t>MENS</t>
        </is>
      </c>
      <c r="H685" s="0" t="inlineStr">
        <is>
          <t>XL</t>
        </is>
      </c>
      <c r="I685" s="0">
        <v>49.99</v>
      </c>
      <c r="J685" s="0">
        <v>0</v>
      </c>
    </row>
    <row r="686" spans="1:10" customHeight="0">
      <c r="A686" s="0">
        <f>HYPERLINK("https://dl.dropboxusercontent.com/scl/fi/06rnnvgkkv3nukds9m64e/124718f19952.jpg?rlkey=uttfvb0dr6tfhgrq86vf7gqgr&amp;dl=0","Click to download Image")</f>
      </c>
      <c r="C686" s="0" t="inlineStr">
        <is>
          <t>Lark Men's Polo</t>
        </is>
      </c>
      <c r="D686" s="0" t="inlineStr">
        <is>
          <t>'124718</t>
        </is>
      </c>
      <c r="E686" s="0" t="inlineStr">
        <is>
          <t>IOWA LARK M BK:124718E-2XL</t>
        </is>
      </c>
      <c r="F686" s="0" t="inlineStr">
        <is>
          <t>'800124718085</t>
        </is>
      </c>
      <c r="G686" s="0" t="inlineStr">
        <is>
          <t>MENS</t>
        </is>
      </c>
      <c r="H686" s="0" t="inlineStr">
        <is>
          <t>2XL</t>
        </is>
      </c>
      <c r="I686" s="0">
        <v>49.99</v>
      </c>
      <c r="J686" s="0">
        <v>0</v>
      </c>
    </row>
    <row r="687" spans="1:10" customHeight="0">
      <c r="A687" s="0">
        <f>HYPERLINK("https://dl.dropboxusercontent.com/scl/fi/06rnnvgkkv3nukds9m64e/124718f19952.jpg?rlkey=uttfvb0dr6tfhgrq86vf7gqgr&amp;dl=0","Click to download Image")</f>
      </c>
      <c r="C687" s="0" t="inlineStr">
        <is>
          <t>Lark Men's Polo</t>
        </is>
      </c>
      <c r="D687" s="0" t="inlineStr">
        <is>
          <t>'124718</t>
        </is>
      </c>
      <c r="E687" s="0" t="inlineStr">
        <is>
          <t>IOWA LARK M BK:124718F-3XL</t>
        </is>
      </c>
      <c r="F687" s="0" t="inlineStr">
        <is>
          <t>'800124718092</t>
        </is>
      </c>
      <c r="G687" s="0" t="inlineStr">
        <is>
          <t>MENS</t>
        </is>
      </c>
      <c r="H687" s="0" t="inlineStr">
        <is>
          <t>3XL</t>
        </is>
      </c>
      <c r="I687" s="0">
        <v>49.99</v>
      </c>
      <c r="J687" s="0">
        <v>0</v>
      </c>
    </row>
    <row r="688" spans="1:10" customHeight="0">
      <c r="A688" s="0">
        <f>HYPERLINK("https://dl.dropboxusercontent.com/scl/fi/06rnnvgkkv3nukds9m64e/124718f19952.jpg?rlkey=uttfvb0dr6tfhgrq86vf7gqgr&amp;dl=0","Click to download Image")</f>
      </c>
      <c r="C688" s="0" t="inlineStr">
        <is>
          <t>Lark Men's Polo</t>
        </is>
      </c>
      <c r="D688" s="0" t="inlineStr">
        <is>
          <t>'124718</t>
        </is>
      </c>
      <c r="E688" s="0" t="inlineStr">
        <is>
          <t>IOWA LARK M BK 12PK:124718Z-12PK</t>
        </is>
      </c>
      <c r="F688" s="0" t="inlineStr">
        <is>
          <t>'800124718993</t>
        </is>
      </c>
      <c r="G688" s="0" t="inlineStr">
        <is>
          <t>MENS</t>
        </is>
      </c>
      <c r="H688" s="0" t="inlineStr">
        <is>
          <t>12 PACK</t>
        </is>
      </c>
      <c r="I688" s="0">
        <v>486</v>
      </c>
      <c r="J688" s="0">
        <v>0</v>
      </c>
    </row>
    <row r="689" spans="1:10" customHeight="0">
      <c r="A689" s="0">
        <f>HYPERLINK("https://dl.dropboxusercontent.com/scl/fi/h4o72dg505c9i0wx75363/127300t.jpg?rlkey=00c4u1e70hjr1igkzaml1wt8g&amp;dl=0","Click to download Image")</f>
      </c>
      <c r="C689" s="0" t="inlineStr">
        <is>
          <t>Lark Men's Polo</t>
        </is>
      </c>
      <c r="D689" s="0" t="inlineStr">
        <is>
          <t>'127300</t>
        </is>
      </c>
      <c r="E689" s="0" t="inlineStr">
        <is>
          <t>KSU LARK M PE:127300A-S</t>
        </is>
      </c>
      <c r="F689" s="0" t="inlineStr">
        <is>
          <t>'805127300046</t>
        </is>
      </c>
      <c r="G689" s="0" t="inlineStr">
        <is>
          <t>MENS</t>
        </is>
      </c>
      <c r="H689" s="0" t="inlineStr">
        <is>
          <t>S</t>
        </is>
      </c>
      <c r="I689" s="0">
        <v>49.99</v>
      </c>
      <c r="J689" s="0">
        <v>3</v>
      </c>
    </row>
    <row r="690" spans="1:10" customHeight="0">
      <c r="A690" s="0">
        <f>HYPERLINK("https://dl.dropboxusercontent.com/scl/fi/h4o72dg505c9i0wx75363/127300t.jpg?rlkey=00c4u1e70hjr1igkzaml1wt8g&amp;dl=0","Click to download Image")</f>
      </c>
      <c r="C690" s="0" t="inlineStr">
        <is>
          <t>Lark Men's Polo</t>
        </is>
      </c>
      <c r="D690" s="0" t="inlineStr">
        <is>
          <t>'127300</t>
        </is>
      </c>
      <c r="E690" s="0" t="inlineStr">
        <is>
          <t>KSU LARK M PE:127300B-M</t>
        </is>
      </c>
      <c r="F690" s="0" t="inlineStr">
        <is>
          <t>'805127300053</t>
        </is>
      </c>
      <c r="G690" s="0" t="inlineStr">
        <is>
          <t>MENS</t>
        </is>
      </c>
      <c r="H690" s="0" t="inlineStr">
        <is>
          <t>M</t>
        </is>
      </c>
      <c r="I690" s="0">
        <v>49.99</v>
      </c>
      <c r="J690" s="0">
        <v>6</v>
      </c>
    </row>
    <row r="691" spans="1:10" customHeight="0">
      <c r="A691" s="0">
        <f>HYPERLINK("https://dl.dropboxusercontent.com/scl/fi/h4o72dg505c9i0wx75363/127300t.jpg?rlkey=00c4u1e70hjr1igkzaml1wt8g&amp;dl=0","Click to download Image")</f>
      </c>
      <c r="C691" s="0" t="inlineStr">
        <is>
          <t>Lark Men's Polo</t>
        </is>
      </c>
      <c r="D691" s="0" t="inlineStr">
        <is>
          <t>'127300</t>
        </is>
      </c>
      <c r="E691" s="0" t="inlineStr">
        <is>
          <t>KSU LARK M PE:127300C-L</t>
        </is>
      </c>
      <c r="F691" s="0" t="inlineStr">
        <is>
          <t>'805127300060</t>
        </is>
      </c>
      <c r="G691" s="0" t="inlineStr">
        <is>
          <t>MENS</t>
        </is>
      </c>
      <c r="H691" s="0" t="inlineStr">
        <is>
          <t>L</t>
        </is>
      </c>
      <c r="I691" s="0">
        <v>49.99</v>
      </c>
      <c r="J691" s="0">
        <v>4</v>
      </c>
    </row>
    <row r="692" spans="1:10" customHeight="0">
      <c r="A692" s="0">
        <f>HYPERLINK("https://dl.dropboxusercontent.com/scl/fi/h4o72dg505c9i0wx75363/127300t.jpg?rlkey=00c4u1e70hjr1igkzaml1wt8g&amp;dl=0","Click to download Image")</f>
      </c>
      <c r="C692" s="0" t="inlineStr">
        <is>
          <t>Lark Men's Polo</t>
        </is>
      </c>
      <c r="D692" s="0" t="inlineStr">
        <is>
          <t>'127300</t>
        </is>
      </c>
      <c r="E692" s="0" t="inlineStr">
        <is>
          <t>KSU LARK M PE:127300D-XL</t>
        </is>
      </c>
      <c r="F692" s="0" t="inlineStr">
        <is>
          <t>'805127300077</t>
        </is>
      </c>
      <c r="G692" s="0" t="inlineStr">
        <is>
          <t>MENS</t>
        </is>
      </c>
      <c r="H692" s="0" t="inlineStr">
        <is>
          <t>XL</t>
        </is>
      </c>
      <c r="I692" s="0">
        <v>49.99</v>
      </c>
      <c r="J692" s="0">
        <v>1</v>
      </c>
    </row>
    <row r="693" spans="1:10" customHeight="0">
      <c r="A693" s="0">
        <f>HYPERLINK("https://dl.dropboxusercontent.com/scl/fi/h4o72dg505c9i0wx75363/127300t.jpg?rlkey=00c4u1e70hjr1igkzaml1wt8g&amp;dl=0","Click to download Image")</f>
      </c>
      <c r="C693" s="0" t="inlineStr">
        <is>
          <t>Lark Men's Polo</t>
        </is>
      </c>
      <c r="D693" s="0" t="inlineStr">
        <is>
          <t>'127300</t>
        </is>
      </c>
      <c r="E693" s="0" t="inlineStr">
        <is>
          <t>KSU LARK M PE:127300E-2XL</t>
        </is>
      </c>
      <c r="F693" s="0" t="inlineStr">
        <is>
          <t>'805127300084</t>
        </is>
      </c>
      <c r="G693" s="0" t="inlineStr">
        <is>
          <t>MENS</t>
        </is>
      </c>
      <c r="H693" s="0" t="inlineStr">
        <is>
          <t>2XL</t>
        </is>
      </c>
      <c r="I693" s="0">
        <v>49.99</v>
      </c>
      <c r="J693" s="0">
        <v>3</v>
      </c>
    </row>
    <row r="694" spans="1:10" customHeight="0">
      <c r="A694" s="0">
        <f>HYPERLINK("https://dl.dropboxusercontent.com/scl/fi/h4o72dg505c9i0wx75363/127300t.jpg?rlkey=00c4u1e70hjr1igkzaml1wt8g&amp;dl=0","Click to download Image")</f>
      </c>
      <c r="C694" s="0" t="inlineStr">
        <is>
          <t>Lark Men's Polo</t>
        </is>
      </c>
      <c r="D694" s="0" t="inlineStr">
        <is>
          <t>'127300</t>
        </is>
      </c>
      <c r="E694" s="0" t="inlineStr">
        <is>
          <t>KSU LARK M PE:127300F-3XL</t>
        </is>
      </c>
      <c r="F694" s="0" t="inlineStr">
        <is>
          <t>'805127300091</t>
        </is>
      </c>
      <c r="G694" s="0" t="inlineStr">
        <is>
          <t>MENS</t>
        </is>
      </c>
      <c r="H694" s="0" t="inlineStr">
        <is>
          <t>3XL</t>
        </is>
      </c>
      <c r="I694" s="0">
        <v>49.99</v>
      </c>
      <c r="J694" s="0">
        <v>3</v>
      </c>
    </row>
    <row r="695" spans="1:10" customHeight="0">
      <c r="A695" s="0">
        <f>HYPERLINK("https://dl.dropboxusercontent.com/scl/fi/h4o72dg505c9i0wx75363/127300t.jpg?rlkey=00c4u1e70hjr1igkzaml1wt8g&amp;dl=0","Click to download Image")</f>
      </c>
      <c r="C695" s="0" t="inlineStr">
        <is>
          <t>Lark Men's Polo</t>
        </is>
      </c>
      <c r="D695" s="0" t="inlineStr">
        <is>
          <t>'127300</t>
        </is>
      </c>
      <c r="E695" s="0" t="inlineStr">
        <is>
          <t>KSU LARK M PE 12PK:127300Z-12PK</t>
        </is>
      </c>
      <c r="F695" s="0" t="inlineStr">
        <is>
          <t>'805127300992</t>
        </is>
      </c>
      <c r="G695" s="0" t="inlineStr">
        <is>
          <t>MENS</t>
        </is>
      </c>
      <c r="H695" s="0" t="inlineStr">
        <is>
          <t>12 PACK</t>
        </is>
      </c>
      <c r="I695" s="0">
        <v>486</v>
      </c>
      <c r="J695" s="0">
        <v>0</v>
      </c>
    </row>
    <row r="696" spans="1:10" customHeight="0">
      <c r="A696" s="0">
        <f>HYPERLINK("https://dl.dropboxusercontent.com/scl/fi/0o4o02r4cjvkksr8toe04/dajaiowa57548.jpg?rlkey=9c8qge46cekgqct2jy4k0y1pz&amp;dl=0","Click to download Image")</f>
      </c>
      <c r="B696" s="0">
        <f>HYPERLINK("https://dl.dropboxusercontent.com/scl/fi/5stgrtlwhpn9arxnxe45e/womens-size-chartsdaja.jpg?rlkey=h8rkkivvfdv0rveqmuqdtppmn&amp;dl=0","Click to download SizeChart")</f>
      </c>
      <c r="C696" s="0" t="inlineStr">
        <is>
          <t>Daja Women's Cardigan</t>
        </is>
      </c>
      <c r="D696" s="0" t="inlineStr">
        <is>
          <t>'125215</t>
        </is>
      </c>
      <c r="E696" s="0" t="inlineStr">
        <is>
          <t>IOWA DAJA W RE:125215S/M</t>
        </is>
      </c>
      <c r="F696" s="0" t="inlineStr">
        <is>
          <t>'800125215422</t>
        </is>
      </c>
      <c r="G696" s="0" t="inlineStr">
        <is>
          <t>WOMENS</t>
        </is>
      </c>
      <c r="H696" s="0" t="inlineStr">
        <is>
          <t>S/M</t>
        </is>
      </c>
      <c r="I696" s="0">
        <v>49.99</v>
      </c>
      <c r="J696" s="0">
        <v>7</v>
      </c>
    </row>
    <row r="697" spans="1:10" customHeight="0">
      <c r="A697" s="0">
        <f>HYPERLINK("https://dl.dropboxusercontent.com/scl/fi/0o4o02r4cjvkksr8toe04/dajaiowa57548.jpg?rlkey=9c8qge46cekgqct2jy4k0y1pz&amp;dl=0","Click to download Image")</f>
      </c>
      <c r="B697" s="0">
        <f>HYPERLINK("https://dl.dropboxusercontent.com/scl/fi/5stgrtlwhpn9arxnxe45e/womens-size-chartsdaja.jpg?rlkey=h8rkkivvfdv0rveqmuqdtppmn&amp;dl=0","Click to download SizeChart")</f>
      </c>
      <c r="C697" s="0" t="inlineStr">
        <is>
          <t>Daja Women's Cardigan</t>
        </is>
      </c>
      <c r="D697" s="0" t="inlineStr">
        <is>
          <t>'125215</t>
        </is>
      </c>
      <c r="E697" s="0" t="inlineStr">
        <is>
          <t>IOWA DAJA W RE:125215L/XL</t>
        </is>
      </c>
      <c r="F697" s="0" t="inlineStr">
        <is>
          <t>'800125215439</t>
        </is>
      </c>
      <c r="G697" s="0" t="inlineStr">
        <is>
          <t>WOMENS</t>
        </is>
      </c>
      <c r="H697" s="0" t="inlineStr">
        <is>
          <t>L/XL</t>
        </is>
      </c>
      <c r="I697" s="0">
        <v>49.99</v>
      </c>
      <c r="J697" s="0">
        <v>5</v>
      </c>
    </row>
    <row r="698" spans="1:10" customHeight="0">
      <c r="A698" s="0">
        <f>HYPERLINK("https://dl.dropboxusercontent.com/scl/fi/0o4o02r4cjvkksr8toe04/dajaiowa57548.jpg?rlkey=9c8qge46cekgqct2jy4k0y1pz&amp;dl=0","Click to download Image")</f>
      </c>
      <c r="B698" s="0">
        <f>HYPERLINK("https://dl.dropboxusercontent.com/scl/fi/5stgrtlwhpn9arxnxe45e/womens-size-chartsdaja.jpg?rlkey=h8rkkivvfdv0rveqmuqdtppmn&amp;dl=0","Click to download SizeChart")</f>
      </c>
      <c r="C698" s="0" t="inlineStr">
        <is>
          <t>Daja Women's Cardigan</t>
        </is>
      </c>
      <c r="D698" s="0" t="inlineStr">
        <is>
          <t>'125215</t>
        </is>
      </c>
      <c r="E698" s="0" t="inlineStr">
        <is>
          <t>IOWA DAJA W RE 12PK:125215Z-12PK</t>
        </is>
      </c>
      <c r="F698" s="0" t="inlineStr">
        <is>
          <t>'800125215996</t>
        </is>
      </c>
      <c r="G698" s="0" t="inlineStr">
        <is>
          <t>WOMENS</t>
        </is>
      </c>
      <c r="H698" s="0" t="inlineStr">
        <is>
          <t>12 PACK</t>
        </is>
      </c>
      <c r="I698" s="0">
        <v>480</v>
      </c>
      <c r="J698" s="0">
        <v>0</v>
      </c>
    </row>
    <row r="699" spans="1:10" customHeight="0">
      <c r="A699" s="0">
        <f>HYPERLINK("https://dl.dropboxusercontent.com/scl/fi/0zbgnawc6i5cn7epe4bm8/123616t.jpg?rlkey=ilt0nxn8hcw71tikbbwcddhqy&amp;dl=0","Click to download Image")</f>
      </c>
      <c r="C699" s="0" t="inlineStr">
        <is>
          <t>Krew Men's Long Sleeve</t>
        </is>
      </c>
      <c r="D699" s="0" t="inlineStr">
        <is>
          <t>'123616</t>
        </is>
      </c>
      <c r="E699" s="0" t="inlineStr">
        <is>
          <t>IOWA KREW M CO:123616A-S</t>
        </is>
      </c>
      <c r="F699" s="0" t="inlineStr">
        <is>
          <t>'800123616047</t>
        </is>
      </c>
      <c r="G699" s="0" t="inlineStr">
        <is>
          <t>MENS</t>
        </is>
      </c>
      <c r="H699" s="0" t="inlineStr">
        <is>
          <t>S</t>
        </is>
      </c>
      <c r="I699" s="0">
        <v>34.99</v>
      </c>
      <c r="J699" s="0">
        <v>0</v>
      </c>
    </row>
    <row r="700" spans="1:10" customHeight="0">
      <c r="A700" s="0">
        <f>HYPERLINK("https://dl.dropboxusercontent.com/scl/fi/0zbgnawc6i5cn7epe4bm8/123616t.jpg?rlkey=ilt0nxn8hcw71tikbbwcddhqy&amp;dl=0","Click to download Image")</f>
      </c>
      <c r="C700" s="0" t="inlineStr">
        <is>
          <t>Krew Men's Long Sleeve</t>
        </is>
      </c>
      <c r="D700" s="0" t="inlineStr">
        <is>
          <t>'123616</t>
        </is>
      </c>
      <c r="E700" s="0" t="inlineStr">
        <is>
          <t>IOWA KREW M CO:123616B-M</t>
        </is>
      </c>
      <c r="F700" s="0" t="inlineStr">
        <is>
          <t>'800123616054</t>
        </is>
      </c>
      <c r="G700" s="0" t="inlineStr">
        <is>
          <t>MENS</t>
        </is>
      </c>
      <c r="H700" s="0" t="inlineStr">
        <is>
          <t>M</t>
        </is>
      </c>
      <c r="I700" s="0">
        <v>34.99</v>
      </c>
      <c r="J700" s="0">
        <v>0</v>
      </c>
    </row>
    <row r="701" spans="1:10" customHeight="0">
      <c r="A701" s="0">
        <f>HYPERLINK("https://dl.dropboxusercontent.com/scl/fi/0zbgnawc6i5cn7epe4bm8/123616t.jpg?rlkey=ilt0nxn8hcw71tikbbwcddhqy&amp;dl=0","Click to download Image")</f>
      </c>
      <c r="C701" s="0" t="inlineStr">
        <is>
          <t>Krew Men's Long Sleeve</t>
        </is>
      </c>
      <c r="D701" s="0" t="inlineStr">
        <is>
          <t>'123616</t>
        </is>
      </c>
      <c r="E701" s="0" t="inlineStr">
        <is>
          <t>IOWA KREW M CO:123616C-L</t>
        </is>
      </c>
      <c r="F701" s="0" t="inlineStr">
        <is>
          <t>'800123616061</t>
        </is>
      </c>
      <c r="G701" s="0" t="inlineStr">
        <is>
          <t>MENS</t>
        </is>
      </c>
      <c r="H701" s="0" t="inlineStr">
        <is>
          <t>L</t>
        </is>
      </c>
      <c r="I701" s="0">
        <v>34.99</v>
      </c>
      <c r="J701" s="0">
        <v>0</v>
      </c>
    </row>
    <row r="702" spans="1:10" customHeight="0">
      <c r="A702" s="0">
        <f>HYPERLINK("https://dl.dropboxusercontent.com/scl/fi/0zbgnawc6i5cn7epe4bm8/123616t.jpg?rlkey=ilt0nxn8hcw71tikbbwcddhqy&amp;dl=0","Click to download Image")</f>
      </c>
      <c r="C702" s="0" t="inlineStr">
        <is>
          <t>Krew Men's Long Sleeve</t>
        </is>
      </c>
      <c r="D702" s="0" t="inlineStr">
        <is>
          <t>'123616</t>
        </is>
      </c>
      <c r="E702" s="0" t="inlineStr">
        <is>
          <t>IOWA KREW M CO:123616D-XL</t>
        </is>
      </c>
      <c r="F702" s="0" t="inlineStr">
        <is>
          <t>'800123616078</t>
        </is>
      </c>
      <c r="G702" s="0" t="inlineStr">
        <is>
          <t>MENS</t>
        </is>
      </c>
      <c r="H702" s="0" t="inlineStr">
        <is>
          <t>XL</t>
        </is>
      </c>
      <c r="I702" s="0">
        <v>34.99</v>
      </c>
      <c r="J702" s="0">
        <v>0</v>
      </c>
    </row>
    <row r="703" spans="1:10" customHeight="0">
      <c r="A703" s="0">
        <f>HYPERLINK("https://dl.dropboxusercontent.com/scl/fi/0zbgnawc6i5cn7epe4bm8/123616t.jpg?rlkey=ilt0nxn8hcw71tikbbwcddhqy&amp;dl=0","Click to download Image")</f>
      </c>
      <c r="C703" s="0" t="inlineStr">
        <is>
          <t>Krew Men's Long Sleeve</t>
        </is>
      </c>
      <c r="D703" s="0" t="inlineStr">
        <is>
          <t>'123616</t>
        </is>
      </c>
      <c r="E703" s="0" t="inlineStr">
        <is>
          <t>IOWA KREW M CO:123616E-2XL</t>
        </is>
      </c>
      <c r="F703" s="0" t="inlineStr">
        <is>
          <t>'800123616085</t>
        </is>
      </c>
      <c r="G703" s="0" t="inlineStr">
        <is>
          <t>MENS</t>
        </is>
      </c>
      <c r="H703" s="0" t="inlineStr">
        <is>
          <t>2XL</t>
        </is>
      </c>
      <c r="I703" s="0">
        <v>34.99</v>
      </c>
      <c r="J703" s="0">
        <v>0</v>
      </c>
    </row>
    <row r="704" spans="1:10" customHeight="0">
      <c r="A704" s="0">
        <f>HYPERLINK("https://dl.dropboxusercontent.com/scl/fi/0zbgnawc6i5cn7epe4bm8/123616t.jpg?rlkey=ilt0nxn8hcw71tikbbwcddhqy&amp;dl=0","Click to download Image")</f>
      </c>
      <c r="C704" s="0" t="inlineStr">
        <is>
          <t>Krew Men's Long Sleeve</t>
        </is>
      </c>
      <c r="D704" s="0" t="inlineStr">
        <is>
          <t>'123616</t>
        </is>
      </c>
      <c r="E704" s="0" t="inlineStr">
        <is>
          <t>IOWA KREW M CO:123616F-3XL</t>
        </is>
      </c>
      <c r="F704" s="0" t="inlineStr">
        <is>
          <t>'800123616092</t>
        </is>
      </c>
      <c r="G704" s="0" t="inlineStr">
        <is>
          <t>MENS</t>
        </is>
      </c>
      <c r="H704" s="0" t="inlineStr">
        <is>
          <t>3XL</t>
        </is>
      </c>
      <c r="I704" s="0">
        <v>34.99</v>
      </c>
      <c r="J704" s="0">
        <v>2</v>
      </c>
    </row>
    <row r="705" spans="1:10" customHeight="0">
      <c r="A705" s="0">
        <f>HYPERLINK("https://dl.dropboxusercontent.com/scl/fi/0zbgnawc6i5cn7epe4bm8/123616t.jpg?rlkey=ilt0nxn8hcw71tikbbwcddhqy&amp;dl=0","Click to download Image")</f>
      </c>
      <c r="C705" s="0" t="inlineStr">
        <is>
          <t>Krew Men's Long Sleeve</t>
        </is>
      </c>
      <c r="D705" s="0" t="inlineStr">
        <is>
          <t>'123616</t>
        </is>
      </c>
      <c r="E705" s="0" t="inlineStr">
        <is>
          <t>IOWA KREW M CO 12PK:123616Z-12PK</t>
        </is>
      </c>
      <c r="F705" s="0" t="inlineStr">
        <is>
          <t>'800123616993</t>
        </is>
      </c>
      <c r="G705" s="0" t="inlineStr">
        <is>
          <t>MENS</t>
        </is>
      </c>
      <c r="H705" s="0" t="inlineStr">
        <is>
          <t>12 PACK</t>
        </is>
      </c>
      <c r="I705" s="0">
        <v>342</v>
      </c>
      <c r="J705" s="0">
        <v>0</v>
      </c>
    </row>
    <row r="706" spans="1:10" customHeight="0">
      <c r="A706" s="0">
        <f>HYPERLINK("https://dl.dropboxusercontent.com/scl/fi/5y6c5b75nysshzr4gd9yj/127811t.jpg?rlkey=abbijto8rbsokfctsp08toab2&amp;dl=0","Click to download Image")</f>
      </c>
      <c r="B706" s="0">
        <f>HYPERLINK("https://dl.dropboxusercontent.com/scl/fi/rlvjpixolu2fqrdd66fqo/mens-t-shirt-size-chartsjobe.jpg?rlkey=jjxrmp8pmbdj481c0e82833oz&amp;dl=0","Click to download SizeChart")</f>
      </c>
      <c r="C706" s="0" t="inlineStr">
        <is>
          <t>Jobe Men's Long Sleeve</t>
        </is>
      </c>
      <c r="D706" s="0" t="inlineStr">
        <is>
          <t>'127811</t>
        </is>
      </c>
      <c r="E706" s="0" t="inlineStr">
        <is>
          <t>NDSU JOBE M GY:127811A-S</t>
        </is>
      </c>
      <c r="F706" s="0" t="inlineStr">
        <is>
          <t>'813127811042</t>
        </is>
      </c>
      <c r="G706" s="0" t="inlineStr">
        <is>
          <t>MENS</t>
        </is>
      </c>
      <c r="H706" s="0" t="inlineStr">
        <is>
          <t>S</t>
        </is>
      </c>
      <c r="I706" s="0">
        <v>29.99</v>
      </c>
      <c r="J706" s="0">
        <v>1</v>
      </c>
    </row>
    <row r="707" spans="1:10" customHeight="0">
      <c r="A707" s="0">
        <f>HYPERLINK("https://dl.dropboxusercontent.com/scl/fi/5y6c5b75nysshzr4gd9yj/127811t.jpg?rlkey=abbijto8rbsokfctsp08toab2&amp;dl=0","Click to download Image")</f>
      </c>
      <c r="B707" s="0">
        <f>HYPERLINK("https://dl.dropboxusercontent.com/scl/fi/rlvjpixolu2fqrdd66fqo/mens-t-shirt-size-chartsjobe.jpg?rlkey=jjxrmp8pmbdj481c0e82833oz&amp;dl=0","Click to download SizeChart")</f>
      </c>
      <c r="C707" s="0" t="inlineStr">
        <is>
          <t>Jobe Men's Long Sleeve</t>
        </is>
      </c>
      <c r="D707" s="0" t="inlineStr">
        <is>
          <t>'127811</t>
        </is>
      </c>
      <c r="E707" s="0" t="inlineStr">
        <is>
          <t>NDSU JOBE M GY:127811B-M</t>
        </is>
      </c>
      <c r="F707" s="0" t="inlineStr">
        <is>
          <t>'813127811059</t>
        </is>
      </c>
      <c r="G707" s="0" t="inlineStr">
        <is>
          <t>MENS</t>
        </is>
      </c>
      <c r="H707" s="0" t="inlineStr">
        <is>
          <t>M</t>
        </is>
      </c>
      <c r="I707" s="0">
        <v>29.99</v>
      </c>
      <c r="J707" s="0">
        <v>2</v>
      </c>
    </row>
    <row r="708" spans="1:10" customHeight="0">
      <c r="A708" s="0">
        <f>HYPERLINK("https://dl.dropboxusercontent.com/scl/fi/5y6c5b75nysshzr4gd9yj/127811t.jpg?rlkey=abbijto8rbsokfctsp08toab2&amp;dl=0","Click to download Image")</f>
      </c>
      <c r="B708" s="0">
        <f>HYPERLINK("https://dl.dropboxusercontent.com/scl/fi/rlvjpixolu2fqrdd66fqo/mens-t-shirt-size-chartsjobe.jpg?rlkey=jjxrmp8pmbdj481c0e82833oz&amp;dl=0","Click to download SizeChart")</f>
      </c>
      <c r="C708" s="0" t="inlineStr">
        <is>
          <t>Jobe Men's Long Sleeve</t>
        </is>
      </c>
      <c r="D708" s="0" t="inlineStr">
        <is>
          <t>'127811</t>
        </is>
      </c>
      <c r="E708" s="0" t="inlineStr">
        <is>
          <t>NDSU JOBE M GY:127811C-L</t>
        </is>
      </c>
      <c r="F708" s="0" t="inlineStr">
        <is>
          <t>'813127811066</t>
        </is>
      </c>
      <c r="G708" s="0" t="inlineStr">
        <is>
          <t>MENS</t>
        </is>
      </c>
      <c r="H708" s="0" t="inlineStr">
        <is>
          <t>L</t>
        </is>
      </c>
      <c r="I708" s="0">
        <v>29.99</v>
      </c>
      <c r="J708" s="0">
        <v>1</v>
      </c>
    </row>
    <row r="709" spans="1:10" customHeight="0">
      <c r="A709" s="0">
        <f>HYPERLINK("https://dl.dropboxusercontent.com/scl/fi/5y6c5b75nysshzr4gd9yj/127811t.jpg?rlkey=abbijto8rbsokfctsp08toab2&amp;dl=0","Click to download Image")</f>
      </c>
      <c r="B709" s="0">
        <f>HYPERLINK("https://dl.dropboxusercontent.com/scl/fi/rlvjpixolu2fqrdd66fqo/mens-t-shirt-size-chartsjobe.jpg?rlkey=jjxrmp8pmbdj481c0e82833oz&amp;dl=0","Click to download SizeChart")</f>
      </c>
      <c r="C709" s="0" t="inlineStr">
        <is>
          <t>Jobe Men's Long Sleeve</t>
        </is>
      </c>
      <c r="D709" s="0" t="inlineStr">
        <is>
          <t>'127811</t>
        </is>
      </c>
      <c r="E709" s="0" t="inlineStr">
        <is>
          <t>NDSU JOBE M GY:127811D-XL</t>
        </is>
      </c>
      <c r="F709" s="0" t="inlineStr">
        <is>
          <t>'813127811073</t>
        </is>
      </c>
      <c r="G709" s="0" t="inlineStr">
        <is>
          <t>MENS</t>
        </is>
      </c>
      <c r="H709" s="0" t="inlineStr">
        <is>
          <t>XL</t>
        </is>
      </c>
      <c r="I709" s="0">
        <v>29.99</v>
      </c>
      <c r="J709" s="0">
        <v>3</v>
      </c>
    </row>
    <row r="710" spans="1:10" customHeight="0">
      <c r="A710" s="0">
        <f>HYPERLINK("https://dl.dropboxusercontent.com/scl/fi/5y6c5b75nysshzr4gd9yj/127811t.jpg?rlkey=abbijto8rbsokfctsp08toab2&amp;dl=0","Click to download Image")</f>
      </c>
      <c r="B710" s="0">
        <f>HYPERLINK("https://dl.dropboxusercontent.com/scl/fi/rlvjpixolu2fqrdd66fqo/mens-t-shirt-size-chartsjobe.jpg?rlkey=jjxrmp8pmbdj481c0e82833oz&amp;dl=0","Click to download SizeChart")</f>
      </c>
      <c r="C710" s="0" t="inlineStr">
        <is>
          <t>Jobe Men's Long Sleeve</t>
        </is>
      </c>
      <c r="D710" s="0" t="inlineStr">
        <is>
          <t>'127811</t>
        </is>
      </c>
      <c r="E710" s="0" t="inlineStr">
        <is>
          <t>NDSU JOBE M GY:127811E-2XL</t>
        </is>
      </c>
      <c r="F710" s="0" t="inlineStr">
        <is>
          <t>'813127811080</t>
        </is>
      </c>
      <c r="G710" s="0" t="inlineStr">
        <is>
          <t>MENS</t>
        </is>
      </c>
      <c r="H710" s="0" t="inlineStr">
        <is>
          <t>2XL</t>
        </is>
      </c>
      <c r="I710" s="0">
        <v>29.99</v>
      </c>
      <c r="J710" s="0">
        <v>0</v>
      </c>
    </row>
    <row r="711" spans="1:10" customHeight="0">
      <c r="A711" s="0">
        <f>HYPERLINK("https://dl.dropboxusercontent.com/scl/fi/5y6c5b75nysshzr4gd9yj/127811t.jpg?rlkey=abbijto8rbsokfctsp08toab2&amp;dl=0","Click to download Image")</f>
      </c>
      <c r="B711" s="0">
        <f>HYPERLINK("https://dl.dropboxusercontent.com/scl/fi/rlvjpixolu2fqrdd66fqo/mens-t-shirt-size-chartsjobe.jpg?rlkey=jjxrmp8pmbdj481c0e82833oz&amp;dl=0","Click to download SizeChart")</f>
      </c>
      <c r="C711" s="0" t="inlineStr">
        <is>
          <t>Jobe Men's Long Sleeve</t>
        </is>
      </c>
      <c r="D711" s="0" t="inlineStr">
        <is>
          <t>'127811</t>
        </is>
      </c>
      <c r="E711" s="0" t="inlineStr">
        <is>
          <t>NDSU JOBE M GY:127811F-3XL</t>
        </is>
      </c>
      <c r="F711" s="0" t="inlineStr">
        <is>
          <t>'813127811097</t>
        </is>
      </c>
      <c r="G711" s="0" t="inlineStr">
        <is>
          <t>MENS</t>
        </is>
      </c>
      <c r="H711" s="0" t="inlineStr">
        <is>
          <t>3XL</t>
        </is>
      </c>
      <c r="I711" s="0">
        <v>29.99</v>
      </c>
      <c r="J711" s="0">
        <v>0</v>
      </c>
    </row>
    <row r="712" spans="1:10" customHeight="0">
      <c r="A712" s="0">
        <f>HYPERLINK("https://dl.dropboxusercontent.com/scl/fi/5y6c5b75nysshzr4gd9yj/127811t.jpg?rlkey=abbijto8rbsokfctsp08toab2&amp;dl=0","Click to download Image")</f>
      </c>
      <c r="B712" s="0">
        <f>HYPERLINK("https://dl.dropboxusercontent.com/scl/fi/rlvjpixolu2fqrdd66fqo/mens-t-shirt-size-chartsjobe.jpg?rlkey=jjxrmp8pmbdj481c0e82833oz&amp;dl=0","Click to download SizeChart")</f>
      </c>
      <c r="C712" s="0" t="inlineStr">
        <is>
          <t>Jobe Men's Long Sleeve</t>
        </is>
      </c>
      <c r="D712" s="0" t="inlineStr">
        <is>
          <t>'127811</t>
        </is>
      </c>
      <c r="E712" s="0" t="inlineStr">
        <is>
          <t>NDSU JOBE M GY 12PK:127811Z-12PK</t>
        </is>
      </c>
      <c r="F712" s="0" t="inlineStr">
        <is>
          <t>'813127811998</t>
        </is>
      </c>
      <c r="G712" s="0" t="inlineStr">
        <is>
          <t>MENS</t>
        </is>
      </c>
      <c r="H712" s="0" t="inlineStr">
        <is>
          <t>12 PACK</t>
        </is>
      </c>
      <c r="I712" s="0">
        <v>294</v>
      </c>
      <c r="J712" s="0">
        <v>0</v>
      </c>
    </row>
    <row r="713" spans="1:10" customHeight="0">
      <c r="A713" s="0">
        <f>HYPERLINK("https://dl.dropboxusercontent.com/scl/fi/5yqg72lkf0q9g2n7wz41j/128585t.jpg?rlkey=ywjcgpobmd5ilhfz1e25d5t11&amp;dl=0","Click to download Image")</f>
      </c>
      <c r="B713" s="0">
        <f>HYPERLINK("https://dl.dropboxusercontent.com/scl/fi/rlvjpixolu2fqrdd66fqo/mens-t-shirt-size-chartsjobe.jpg?rlkey=jjxrmp8pmbdj481c0e82833oz&amp;dl=0","Click to download SizeChart")</f>
      </c>
      <c r="C713" s="0" t="inlineStr">
        <is>
          <t>Jobe Men's Long Sleeve</t>
        </is>
      </c>
      <c r="D713" s="0" t="inlineStr">
        <is>
          <t>'128585</t>
        </is>
      </c>
      <c r="E713" s="0" t="inlineStr">
        <is>
          <t>CU JOBE M NY:128585A-S</t>
        </is>
      </c>
      <c r="F713" s="0" t="inlineStr">
        <is>
          <t>'810128585040</t>
        </is>
      </c>
      <c r="G713" s="0" t="inlineStr">
        <is>
          <t>MENS</t>
        </is>
      </c>
      <c r="H713" s="0" t="inlineStr">
        <is>
          <t>S</t>
        </is>
      </c>
      <c r="I713" s="0">
        <v>29.99</v>
      </c>
      <c r="J713" s="0">
        <v>0</v>
      </c>
    </row>
    <row r="714" spans="1:10" customHeight="0">
      <c r="A714" s="0">
        <f>HYPERLINK("https://dl.dropboxusercontent.com/scl/fi/5yqg72lkf0q9g2n7wz41j/128585t.jpg?rlkey=ywjcgpobmd5ilhfz1e25d5t11&amp;dl=0","Click to download Image")</f>
      </c>
      <c r="B714" s="0">
        <f>HYPERLINK("https://dl.dropboxusercontent.com/scl/fi/rlvjpixolu2fqrdd66fqo/mens-t-shirt-size-chartsjobe.jpg?rlkey=jjxrmp8pmbdj481c0e82833oz&amp;dl=0","Click to download SizeChart")</f>
      </c>
      <c r="C714" s="0" t="inlineStr">
        <is>
          <t>Jobe Men's Long Sleeve</t>
        </is>
      </c>
      <c r="D714" s="0" t="inlineStr">
        <is>
          <t>'128585</t>
        </is>
      </c>
      <c r="E714" s="0" t="inlineStr">
        <is>
          <t>CU JOBE M NY:128585B-M</t>
        </is>
      </c>
      <c r="F714" s="0" t="inlineStr">
        <is>
          <t>'810128585057</t>
        </is>
      </c>
      <c r="G714" s="0" t="inlineStr">
        <is>
          <t>MENS</t>
        </is>
      </c>
      <c r="H714" s="0" t="inlineStr">
        <is>
          <t>M</t>
        </is>
      </c>
      <c r="I714" s="0">
        <v>29.99</v>
      </c>
      <c r="J714" s="0">
        <v>0</v>
      </c>
    </row>
    <row r="715" spans="1:10" customHeight="0">
      <c r="A715" s="0">
        <f>HYPERLINK("https://dl.dropboxusercontent.com/scl/fi/5yqg72lkf0q9g2n7wz41j/128585t.jpg?rlkey=ywjcgpobmd5ilhfz1e25d5t11&amp;dl=0","Click to download Image")</f>
      </c>
      <c r="B715" s="0">
        <f>HYPERLINK("https://dl.dropboxusercontent.com/scl/fi/rlvjpixolu2fqrdd66fqo/mens-t-shirt-size-chartsjobe.jpg?rlkey=jjxrmp8pmbdj481c0e82833oz&amp;dl=0","Click to download SizeChart")</f>
      </c>
      <c r="C715" s="0" t="inlineStr">
        <is>
          <t>Jobe Men's Long Sleeve</t>
        </is>
      </c>
      <c r="D715" s="0" t="inlineStr">
        <is>
          <t>'128585</t>
        </is>
      </c>
      <c r="E715" s="0" t="inlineStr">
        <is>
          <t>CU JOBE M NY:128585C-L</t>
        </is>
      </c>
      <c r="F715" s="0" t="inlineStr">
        <is>
          <t>'810128585064</t>
        </is>
      </c>
      <c r="G715" s="0" t="inlineStr">
        <is>
          <t>MENS</t>
        </is>
      </c>
      <c r="H715" s="0" t="inlineStr">
        <is>
          <t>L</t>
        </is>
      </c>
      <c r="I715" s="0">
        <v>29.99</v>
      </c>
      <c r="J715" s="0">
        <v>0</v>
      </c>
    </row>
    <row r="716" spans="1:10" customHeight="0">
      <c r="A716" s="0">
        <f>HYPERLINK("https://dl.dropboxusercontent.com/scl/fi/5yqg72lkf0q9g2n7wz41j/128585t.jpg?rlkey=ywjcgpobmd5ilhfz1e25d5t11&amp;dl=0","Click to download Image")</f>
      </c>
      <c r="B716" s="0">
        <f>HYPERLINK("https://dl.dropboxusercontent.com/scl/fi/rlvjpixolu2fqrdd66fqo/mens-t-shirt-size-chartsjobe.jpg?rlkey=jjxrmp8pmbdj481c0e82833oz&amp;dl=0","Click to download SizeChart")</f>
      </c>
      <c r="C716" s="0" t="inlineStr">
        <is>
          <t>Jobe Men's Long Sleeve</t>
        </is>
      </c>
      <c r="D716" s="0" t="inlineStr">
        <is>
          <t>'128585</t>
        </is>
      </c>
      <c r="E716" s="0" t="inlineStr">
        <is>
          <t>CU JOBE M NY:128585D-XL</t>
        </is>
      </c>
      <c r="F716" s="0" t="inlineStr">
        <is>
          <t>'810128585071</t>
        </is>
      </c>
      <c r="G716" s="0" t="inlineStr">
        <is>
          <t>MENS</t>
        </is>
      </c>
      <c r="H716" s="0" t="inlineStr">
        <is>
          <t>XL</t>
        </is>
      </c>
      <c r="I716" s="0">
        <v>29.99</v>
      </c>
      <c r="J716" s="0">
        <v>3</v>
      </c>
    </row>
    <row r="717" spans="1:10" customHeight="0">
      <c r="A717" s="0">
        <f>HYPERLINK("https://dl.dropboxusercontent.com/scl/fi/5yqg72lkf0q9g2n7wz41j/128585t.jpg?rlkey=ywjcgpobmd5ilhfz1e25d5t11&amp;dl=0","Click to download Image")</f>
      </c>
      <c r="B717" s="0">
        <f>HYPERLINK("https://dl.dropboxusercontent.com/scl/fi/rlvjpixolu2fqrdd66fqo/mens-t-shirt-size-chartsjobe.jpg?rlkey=jjxrmp8pmbdj481c0e82833oz&amp;dl=0","Click to download SizeChart")</f>
      </c>
      <c r="C717" s="0" t="inlineStr">
        <is>
          <t>Jobe Men's Long Sleeve</t>
        </is>
      </c>
      <c r="D717" s="0" t="inlineStr">
        <is>
          <t>'128585</t>
        </is>
      </c>
      <c r="E717" s="0" t="inlineStr">
        <is>
          <t>CU JOBE M NY:128585E-2XL</t>
        </is>
      </c>
      <c r="F717" s="0" t="inlineStr">
        <is>
          <t>'810128585088</t>
        </is>
      </c>
      <c r="G717" s="0" t="inlineStr">
        <is>
          <t>MENS</t>
        </is>
      </c>
      <c r="H717" s="0" t="inlineStr">
        <is>
          <t>2XL</t>
        </is>
      </c>
      <c r="I717" s="0">
        <v>29.99</v>
      </c>
      <c r="J717" s="0">
        <v>2</v>
      </c>
    </row>
    <row r="718" spans="1:10" customHeight="0">
      <c r="A718" s="0">
        <f>HYPERLINK("https://dl.dropboxusercontent.com/scl/fi/5yqg72lkf0q9g2n7wz41j/128585t.jpg?rlkey=ywjcgpobmd5ilhfz1e25d5t11&amp;dl=0","Click to download Image")</f>
      </c>
      <c r="B718" s="0">
        <f>HYPERLINK("https://dl.dropboxusercontent.com/scl/fi/rlvjpixolu2fqrdd66fqo/mens-t-shirt-size-chartsjobe.jpg?rlkey=jjxrmp8pmbdj481c0e82833oz&amp;dl=0","Click to download SizeChart")</f>
      </c>
      <c r="C718" s="0" t="inlineStr">
        <is>
          <t>Jobe Men's Long Sleeve</t>
        </is>
      </c>
      <c r="D718" s="0" t="inlineStr">
        <is>
          <t>'128585</t>
        </is>
      </c>
      <c r="E718" s="0" t="inlineStr">
        <is>
          <t>CU JOBE M NY:128585F-3XL</t>
        </is>
      </c>
      <c r="F718" s="0" t="inlineStr">
        <is>
          <t>'810128585095</t>
        </is>
      </c>
      <c r="G718" s="0" t="inlineStr">
        <is>
          <t>MENS</t>
        </is>
      </c>
      <c r="H718" s="0" t="inlineStr">
        <is>
          <t>3XL</t>
        </is>
      </c>
      <c r="I718" s="0">
        <v>29.99</v>
      </c>
      <c r="J718" s="0">
        <v>3</v>
      </c>
    </row>
    <row r="719" spans="1:10" customHeight="0">
      <c r="A719" s="0">
        <f>HYPERLINK("https://dl.dropboxusercontent.com/scl/fi/5yqg72lkf0q9g2n7wz41j/128585t.jpg?rlkey=ywjcgpobmd5ilhfz1e25d5t11&amp;dl=0","Click to download Image")</f>
      </c>
      <c r="B719" s="0">
        <f>HYPERLINK("https://dl.dropboxusercontent.com/scl/fi/rlvjpixolu2fqrdd66fqo/mens-t-shirt-size-chartsjobe.jpg?rlkey=jjxrmp8pmbdj481c0e82833oz&amp;dl=0","Click to download SizeChart")</f>
      </c>
      <c r="C719" s="0" t="inlineStr">
        <is>
          <t>Jobe Men's Long Sleeve</t>
        </is>
      </c>
      <c r="D719" s="0" t="inlineStr">
        <is>
          <t>'128585</t>
        </is>
      </c>
      <c r="E719" s="0" t="inlineStr">
        <is>
          <t>CU JOBE M NY 12PK:128585Z-12PK</t>
        </is>
      </c>
      <c r="F719" s="0" t="inlineStr">
        <is>
          <t>'810128585996</t>
        </is>
      </c>
      <c r="G719" s="0" t="inlineStr">
        <is>
          <t>MENS</t>
        </is>
      </c>
      <c r="H719" s="0" t="inlineStr">
        <is>
          <t>12 PACK</t>
        </is>
      </c>
      <c r="I719" s="0">
        <v>294</v>
      </c>
      <c r="J719" s="0">
        <v>0</v>
      </c>
    </row>
    <row r="720" spans="1:10" customHeight="0">
      <c r="A720" s="0">
        <f>HYPERLINK("https://dl.dropboxusercontent.com/scl/fi/xihg3owca162f7gc1j82i/dsc0254edit.jpg?rlkey=d4823pkg7dp3e74ocoiqve1ye&amp;dl=0","Click to download Image")</f>
      </c>
      <c r="C720" s="0" t="inlineStr">
        <is>
          <t>Jade Youth Wool Vest</t>
        </is>
      </c>
      <c r="D720" s="0" t="inlineStr">
        <is>
          <t>'113493</t>
        </is>
      </c>
      <c r="E720" s="0" t="inlineStr">
        <is>
          <t>IOWA JADE Y BLACK:113493B-YS</t>
        </is>
      </c>
      <c r="F720" s="0" t="inlineStr">
        <is>
          <t>'800113493016</t>
        </is>
      </c>
      <c r="G720" s="0" t="inlineStr">
        <is>
          <t>YOUTH</t>
        </is>
      </c>
      <c r="H720" s="0" t="inlineStr">
        <is>
          <t>YS</t>
        </is>
      </c>
      <c r="I720" s="0">
        <v>49.99</v>
      </c>
      <c r="J720" s="0">
        <v>3</v>
      </c>
    </row>
    <row r="721" spans="1:10" customHeight="0">
      <c r="A721" s="0">
        <f>HYPERLINK("https://dl.dropboxusercontent.com/scl/fi/xihg3owca162f7gc1j82i/dsc0254edit.jpg?rlkey=d4823pkg7dp3e74ocoiqve1ye&amp;dl=0","Click to download Image")</f>
      </c>
      <c r="C721" s="0" t="inlineStr">
        <is>
          <t>Jade Youth Wool Vest</t>
        </is>
      </c>
      <c r="D721" s="0" t="inlineStr">
        <is>
          <t>'113493</t>
        </is>
      </c>
      <c r="E721" s="0" t="inlineStr">
        <is>
          <t>IOWA JADE Y BLACK:113493C-YM</t>
        </is>
      </c>
      <c r="F721" s="0" t="inlineStr">
        <is>
          <t>'800113493023</t>
        </is>
      </c>
      <c r="G721" s="0" t="inlineStr">
        <is>
          <t>YOUTH</t>
        </is>
      </c>
      <c r="H721" s="0" t="inlineStr">
        <is>
          <t>YM</t>
        </is>
      </c>
      <c r="I721" s="0">
        <v>49.99</v>
      </c>
      <c r="J721" s="0">
        <v>3</v>
      </c>
    </row>
    <row r="722" spans="1:10" customHeight="0">
      <c r="A722" s="0">
        <f>HYPERLINK("https://dl.dropboxusercontent.com/scl/fi/xihg3owca162f7gc1j82i/dsc0254edit.jpg?rlkey=d4823pkg7dp3e74ocoiqve1ye&amp;dl=0","Click to download Image")</f>
      </c>
      <c r="C722" s="0" t="inlineStr">
        <is>
          <t>Jade Youth Wool Vest</t>
        </is>
      </c>
      <c r="D722" s="0" t="inlineStr">
        <is>
          <t>'113493</t>
        </is>
      </c>
      <c r="E722" s="0" t="inlineStr">
        <is>
          <t>IOWA JADE Y BLACK:113493D-YL</t>
        </is>
      </c>
      <c r="F722" s="0" t="inlineStr">
        <is>
          <t>'800113493030</t>
        </is>
      </c>
      <c r="G722" s="0" t="inlineStr">
        <is>
          <t>YOUTH</t>
        </is>
      </c>
      <c r="H722" s="0" t="inlineStr">
        <is>
          <t>YL</t>
        </is>
      </c>
      <c r="I722" s="0">
        <v>49.99</v>
      </c>
      <c r="J722" s="0">
        <v>5</v>
      </c>
    </row>
    <row r="723" spans="1:10" customHeight="0">
      <c r="A723" s="0">
        <f>HYPERLINK("https://dl.dropboxusercontent.com/scl/fi/xihg3owca162f7gc1j82i/dsc0254edit.jpg?rlkey=d4823pkg7dp3e74ocoiqve1ye&amp;dl=0","Click to download Image")</f>
      </c>
      <c r="C723" s="0" t="inlineStr">
        <is>
          <t>Jade Youth Wool Vest</t>
        </is>
      </c>
      <c r="D723" s="0" t="inlineStr">
        <is>
          <t>'113493</t>
        </is>
      </c>
      <c r="E723" s="0" t="inlineStr">
        <is>
          <t>IOWA JADE Y BLACK:113493E-YXL</t>
        </is>
      </c>
      <c r="F723" s="0" t="inlineStr">
        <is>
          <t>'800113493047</t>
        </is>
      </c>
      <c r="G723" s="0" t="inlineStr">
        <is>
          <t>YOUTH</t>
        </is>
      </c>
      <c r="H723" s="0" t="inlineStr">
        <is>
          <t>YXL</t>
        </is>
      </c>
      <c r="I723" s="0">
        <v>49.99</v>
      </c>
      <c r="J723" s="0">
        <v>3</v>
      </c>
    </row>
    <row r="724" spans="1:10" customHeight="0">
      <c r="A724" s="0">
        <f>HYPERLINK("https://dl.dropboxusercontent.com/scl/fi/xihg3owca162f7gc1j82i/dsc0254edit.jpg?rlkey=d4823pkg7dp3e74ocoiqve1ye&amp;dl=0","Click to download Image")</f>
      </c>
      <c r="C724" s="0" t="inlineStr">
        <is>
          <t>Jade Youth Wool Vest</t>
        </is>
      </c>
      <c r="D724" s="0" t="inlineStr">
        <is>
          <t>'113493</t>
        </is>
      </c>
      <c r="E724" s="0" t="inlineStr">
        <is>
          <t>IOWA JADE Y BLACK 12 PACK:113493Z-12PK</t>
        </is>
      </c>
      <c r="F724" s="0" t="inlineStr">
        <is>
          <t>'800113493993</t>
        </is>
      </c>
      <c r="G724" s="0" t="inlineStr">
        <is>
          <t>YOUTH</t>
        </is>
      </c>
      <c r="H724" s="0" t="inlineStr">
        <is>
          <t>12 PACK</t>
        </is>
      </c>
      <c r="I724" s="0">
        <v>480</v>
      </c>
      <c r="J724" s="0">
        <v>1</v>
      </c>
    </row>
    <row r="725" spans="1:10" customHeight="0">
      <c r="A725" s="0">
        <f>HYPERLINK("https://dl.dropboxusercontent.com/scl/fi/8ms3dxbqrtz8zbxzdj1mr/dsc0859.jpg?rlkey=swd2359mnnm8twvthkdmonmec&amp;dl=0","Click to download Image")</f>
      </c>
      <c r="C725" s="0" t="inlineStr">
        <is>
          <t>Haines Infant Jumpsuit</t>
        </is>
      </c>
      <c r="D725" s="0" t="inlineStr">
        <is>
          <t>'121112</t>
        </is>
      </c>
      <c r="E725" s="0" t="inlineStr">
        <is>
          <t>UNI HAINES I WHITE:121112A-0-3M</t>
        </is>
      </c>
      <c r="F725" s="0" t="inlineStr">
        <is>
          <t>'802121112002</t>
        </is>
      </c>
      <c r="G725" s="0" t="inlineStr">
        <is>
          <t>INFANT</t>
        </is>
      </c>
      <c r="H725" s="0" t="inlineStr">
        <is>
          <t>0-3M</t>
        </is>
      </c>
      <c r="I725" s="0">
        <v>24.99</v>
      </c>
      <c r="J725" s="0">
        <v>12</v>
      </c>
    </row>
    <row r="726" spans="1:10" customHeight="0">
      <c r="A726" s="0">
        <f>HYPERLINK("https://dl.dropboxusercontent.com/scl/fi/8ms3dxbqrtz8zbxzdj1mr/dsc0859.jpg?rlkey=swd2359mnnm8twvthkdmonmec&amp;dl=0","Click to download Image")</f>
      </c>
      <c r="C726" s="0" t="inlineStr">
        <is>
          <t>Haines Infant Jumpsuit</t>
        </is>
      </c>
      <c r="D726" s="0" t="inlineStr">
        <is>
          <t>'121112</t>
        </is>
      </c>
      <c r="E726" s="0" t="inlineStr">
        <is>
          <t>UNI HAINES I WHITE:121112B-3-6M</t>
        </is>
      </c>
      <c r="F726" s="0" t="inlineStr">
        <is>
          <t>'802121112019</t>
        </is>
      </c>
      <c r="G726" s="0" t="inlineStr">
        <is>
          <t>INFANT</t>
        </is>
      </c>
      <c r="H726" s="0" t="inlineStr">
        <is>
          <t>3-6M</t>
        </is>
      </c>
      <c r="I726" s="0">
        <v>24.99</v>
      </c>
      <c r="J726" s="0">
        <v>10</v>
      </c>
    </row>
    <row r="727" spans="1:10" customHeight="0">
      <c r="A727" s="0">
        <f>HYPERLINK("https://dl.dropboxusercontent.com/scl/fi/8ms3dxbqrtz8zbxzdj1mr/dsc0859.jpg?rlkey=swd2359mnnm8twvthkdmonmec&amp;dl=0","Click to download Image")</f>
      </c>
      <c r="C727" s="0" t="inlineStr">
        <is>
          <t>Haines Infant Jumpsuit</t>
        </is>
      </c>
      <c r="D727" s="0" t="inlineStr">
        <is>
          <t>'121112</t>
        </is>
      </c>
      <c r="E727" s="0" t="inlineStr">
        <is>
          <t>UNI HAINES I WHITE:121112C-6-9M</t>
        </is>
      </c>
      <c r="F727" s="0" t="inlineStr">
        <is>
          <t>'802121112026</t>
        </is>
      </c>
      <c r="G727" s="0" t="inlineStr">
        <is>
          <t>INFANT</t>
        </is>
      </c>
      <c r="H727" s="0" t="inlineStr">
        <is>
          <t>6-9M</t>
        </is>
      </c>
      <c r="I727" s="0">
        <v>24.99</v>
      </c>
      <c r="J727" s="0">
        <v>7</v>
      </c>
    </row>
    <row r="728" spans="1:10" customHeight="0">
      <c r="A728" s="0">
        <f>HYPERLINK("https://dl.dropboxusercontent.com/scl/fi/8ms3dxbqrtz8zbxzdj1mr/dsc0859.jpg?rlkey=swd2359mnnm8twvthkdmonmec&amp;dl=0","Click to download Image")</f>
      </c>
      <c r="C728" s="0" t="inlineStr">
        <is>
          <t>Haines Infant Jumpsuit</t>
        </is>
      </c>
      <c r="D728" s="0" t="inlineStr">
        <is>
          <t>'121112</t>
        </is>
      </c>
      <c r="E728" s="0" t="inlineStr">
        <is>
          <t>UNI HAINES I WHITE:121112F-12M</t>
        </is>
      </c>
      <c r="F728" s="0" t="inlineStr">
        <is>
          <t>'802121112033</t>
        </is>
      </c>
      <c r="G728" s="0" t="inlineStr">
        <is>
          <t>INFANT</t>
        </is>
      </c>
      <c r="H728" s="0" t="inlineStr">
        <is>
          <t>12M</t>
        </is>
      </c>
      <c r="I728" s="0">
        <v>24.99</v>
      </c>
      <c r="J728" s="0">
        <v>3</v>
      </c>
    </row>
    <row r="729" spans="1:10" customHeight="0">
      <c r="A729" s="0">
        <f>HYPERLINK("https://dl.dropboxusercontent.com/scl/fi/8ms3dxbqrtz8zbxzdj1mr/dsc0859.jpg?rlkey=swd2359mnnm8twvthkdmonmec&amp;dl=0","Click to download Image")</f>
      </c>
      <c r="C729" s="0" t="inlineStr">
        <is>
          <t>Haines Infant Jumpsuit</t>
        </is>
      </c>
      <c r="D729" s="0" t="inlineStr">
        <is>
          <t>'121112</t>
        </is>
      </c>
      <c r="E729" s="0" t="inlineStr">
        <is>
          <t>UNI HAINES I WHITE 12 PACK:121112Z-12PK</t>
        </is>
      </c>
      <c r="F729" s="0" t="inlineStr">
        <is>
          <t>'802121112996</t>
        </is>
      </c>
      <c r="G729" s="0" t="inlineStr">
        <is>
          <t>INFANT</t>
        </is>
      </c>
      <c r="H729" s="0" t="inlineStr">
        <is>
          <t>12 PACK</t>
        </is>
      </c>
      <c r="I729" s="0">
        <v>240</v>
      </c>
      <c r="J729" s="0">
        <v>1</v>
      </c>
    </row>
    <row r="730" spans="1:10" customHeight="0">
      <c r="A730" s="0">
        <f>HYPERLINK("https://dl.dropboxusercontent.com/scl/fi/kgu56q9h6n4lon0sdk7a1/123913-f.jpg?rlkey=jedfj064mhfmgfpmbns2h7p66&amp;dl=0","Click to download Image")</f>
      </c>
      <c r="C730" s="0" t="inlineStr">
        <is>
          <t>Haines Infant Jumpsuit</t>
        </is>
      </c>
      <c r="D730" s="0" t="inlineStr">
        <is>
          <t>'123913</t>
        </is>
      </c>
      <c r="E730" s="0" t="inlineStr">
        <is>
          <t>USD HAINES I BK:123913A-0-3M</t>
        </is>
      </c>
      <c r="F730" s="0" t="inlineStr">
        <is>
          <t>'811123913005</t>
        </is>
      </c>
      <c r="G730" s="0" t="inlineStr">
        <is>
          <t>INFANT</t>
        </is>
      </c>
      <c r="H730" s="0" t="inlineStr">
        <is>
          <t>0-3M</t>
        </is>
      </c>
      <c r="I730" s="0">
        <v>24.99</v>
      </c>
      <c r="J730" s="0">
        <v>6</v>
      </c>
    </row>
    <row r="731" spans="1:10" customHeight="0">
      <c r="A731" s="0">
        <f>HYPERLINK("https://dl.dropboxusercontent.com/scl/fi/kgu56q9h6n4lon0sdk7a1/123913-f.jpg?rlkey=jedfj064mhfmgfpmbns2h7p66&amp;dl=0","Click to download Image")</f>
      </c>
      <c r="C731" s="0" t="inlineStr">
        <is>
          <t>Haines Infant Jumpsuit</t>
        </is>
      </c>
      <c r="D731" s="0" t="inlineStr">
        <is>
          <t>'123913</t>
        </is>
      </c>
      <c r="E731" s="0" t="inlineStr">
        <is>
          <t>USD HAINES I BK:123913B-3-6M</t>
        </is>
      </c>
      <c r="F731" s="0" t="inlineStr">
        <is>
          <t>'811123913012</t>
        </is>
      </c>
      <c r="G731" s="0" t="inlineStr">
        <is>
          <t>INFANT</t>
        </is>
      </c>
      <c r="H731" s="0" t="inlineStr">
        <is>
          <t>3-6M</t>
        </is>
      </c>
      <c r="I731" s="0">
        <v>24.99</v>
      </c>
      <c r="J731" s="0">
        <v>3</v>
      </c>
    </row>
    <row r="732" spans="1:10" customHeight="0">
      <c r="A732" s="0">
        <f>HYPERLINK("https://dl.dropboxusercontent.com/scl/fi/kgu56q9h6n4lon0sdk7a1/123913-f.jpg?rlkey=jedfj064mhfmgfpmbns2h7p66&amp;dl=0","Click to download Image")</f>
      </c>
      <c r="C732" s="0" t="inlineStr">
        <is>
          <t>Haines Infant Jumpsuit</t>
        </is>
      </c>
      <c r="D732" s="0" t="inlineStr">
        <is>
          <t>'123913</t>
        </is>
      </c>
      <c r="E732" s="0" t="inlineStr">
        <is>
          <t>USD HAINES I BK:123913C-6-9M</t>
        </is>
      </c>
      <c r="F732" s="0" t="inlineStr">
        <is>
          <t>'811123913029</t>
        </is>
      </c>
      <c r="G732" s="0" t="inlineStr">
        <is>
          <t>INFANT</t>
        </is>
      </c>
      <c r="H732" s="0" t="inlineStr">
        <is>
          <t>6-9M</t>
        </is>
      </c>
      <c r="I732" s="0">
        <v>24.99</v>
      </c>
      <c r="J732" s="0">
        <v>3</v>
      </c>
    </row>
    <row r="733" spans="1:10" customHeight="0">
      <c r="A733" s="0">
        <f>HYPERLINK("https://dl.dropboxusercontent.com/scl/fi/kgu56q9h6n4lon0sdk7a1/123913-f.jpg?rlkey=jedfj064mhfmgfpmbns2h7p66&amp;dl=0","Click to download Image")</f>
      </c>
      <c r="C733" s="0" t="inlineStr">
        <is>
          <t>Haines Infant Jumpsuit</t>
        </is>
      </c>
      <c r="D733" s="0" t="inlineStr">
        <is>
          <t>'123913</t>
        </is>
      </c>
      <c r="E733" s="0" t="inlineStr">
        <is>
          <t>USD HAINES I BK:123913F-12M</t>
        </is>
      </c>
      <c r="F733" s="0" t="inlineStr">
        <is>
          <t>'811123913036</t>
        </is>
      </c>
      <c r="G733" s="0" t="inlineStr">
        <is>
          <t>INFANT</t>
        </is>
      </c>
      <c r="H733" s="0" t="inlineStr">
        <is>
          <t>12M</t>
        </is>
      </c>
      <c r="I733" s="0">
        <v>24.99</v>
      </c>
      <c r="J733" s="0">
        <v>5</v>
      </c>
    </row>
    <row r="734" spans="1:10" customHeight="0">
      <c r="A734" s="0">
        <f>HYPERLINK("https://dl.dropboxusercontent.com/scl/fi/kgu56q9h6n4lon0sdk7a1/123913-f.jpg?rlkey=jedfj064mhfmgfpmbns2h7p66&amp;dl=0","Click to download Image")</f>
      </c>
      <c r="C734" s="0" t="inlineStr">
        <is>
          <t>Haines Infant Jumpsuit</t>
        </is>
      </c>
      <c r="D734" s="0" t="inlineStr">
        <is>
          <t>'123913</t>
        </is>
      </c>
      <c r="E734" s="0" t="inlineStr">
        <is>
          <t>USD HAINES I BK 12PK:123913Z-12PK</t>
        </is>
      </c>
      <c r="F734" s="0" t="inlineStr">
        <is>
          <t>'811123913999</t>
        </is>
      </c>
      <c r="G734" s="0" t="inlineStr">
        <is>
          <t>INFANT</t>
        </is>
      </c>
      <c r="H734" s="0" t="inlineStr">
        <is>
          <t>12 PACK</t>
        </is>
      </c>
      <c r="I734" s="0">
        <v>240</v>
      </c>
      <c r="J734" s="0">
        <v>1</v>
      </c>
    </row>
    <row r="735" spans="1:10" customHeight="0">
      <c r="A735" s="0">
        <f>HYPERLINK("https://dl.dropboxusercontent.com/scl/fi/xy30hncpcqykmwyp7a036/125334t.jpg?rlkey=xiavd7bteunss6igapfsqo397&amp;dl=0","Click to download Image")</f>
      </c>
      <c r="B735" s="0">
        <f>HYPERLINK("https://dl.dropboxusercontent.com/scl/fi/9sjz9uub37q2m45ck34vq/mens-pullover-size-chartstaft.jpg?rlkey=rtrmcth2nhyopykqybu6y53wi&amp;dl=0","Click to download SizeChart")</f>
      </c>
      <c r="C735" s="0" t="inlineStr">
        <is>
          <t>Taft Men's Pullover</t>
        </is>
      </c>
      <c r="D735" s="0" t="inlineStr">
        <is>
          <t>'125334</t>
        </is>
      </c>
      <c r="E735" s="0" t="inlineStr">
        <is>
          <t>IOWA TAFT M BK:125334A-S</t>
        </is>
      </c>
      <c r="F735" s="0" t="inlineStr">
        <is>
          <t>'800125334048</t>
        </is>
      </c>
      <c r="G735" s="0" t="inlineStr">
        <is>
          <t>MENS</t>
        </is>
      </c>
      <c r="H735" s="0" t="inlineStr">
        <is>
          <t>S</t>
        </is>
      </c>
      <c r="I735" s="0">
        <v>59.99</v>
      </c>
      <c r="J735" s="0">
        <v>2</v>
      </c>
    </row>
    <row r="736" spans="1:10" customHeight="0">
      <c r="A736" s="0">
        <f>HYPERLINK("https://dl.dropboxusercontent.com/scl/fi/xy30hncpcqykmwyp7a036/125334t.jpg?rlkey=xiavd7bteunss6igapfsqo397&amp;dl=0","Click to download Image")</f>
      </c>
      <c r="B736" s="0">
        <f>HYPERLINK("https://dl.dropboxusercontent.com/scl/fi/9sjz9uub37q2m45ck34vq/mens-pullover-size-chartstaft.jpg?rlkey=rtrmcth2nhyopykqybu6y53wi&amp;dl=0","Click to download SizeChart")</f>
      </c>
      <c r="C736" s="0" t="inlineStr">
        <is>
          <t>Taft Men's Pullover</t>
        </is>
      </c>
      <c r="D736" s="0" t="inlineStr">
        <is>
          <t>'125334</t>
        </is>
      </c>
      <c r="E736" s="0" t="inlineStr">
        <is>
          <t>IOWA TAFT M BK:125334B-M</t>
        </is>
      </c>
      <c r="F736" s="0" t="inlineStr">
        <is>
          <t>'800125334055</t>
        </is>
      </c>
      <c r="G736" s="0" t="inlineStr">
        <is>
          <t>MENS</t>
        </is>
      </c>
      <c r="H736" s="0" t="inlineStr">
        <is>
          <t>M</t>
        </is>
      </c>
      <c r="I736" s="0">
        <v>59.99</v>
      </c>
      <c r="J736" s="0">
        <v>2</v>
      </c>
    </row>
    <row r="737" spans="1:10" customHeight="0">
      <c r="A737" s="0">
        <f>HYPERLINK("https://dl.dropboxusercontent.com/scl/fi/xy30hncpcqykmwyp7a036/125334t.jpg?rlkey=xiavd7bteunss6igapfsqo397&amp;dl=0","Click to download Image")</f>
      </c>
      <c r="B737" s="0">
        <f>HYPERLINK("https://dl.dropboxusercontent.com/scl/fi/9sjz9uub37q2m45ck34vq/mens-pullover-size-chartstaft.jpg?rlkey=rtrmcth2nhyopykqybu6y53wi&amp;dl=0","Click to download SizeChart")</f>
      </c>
      <c r="C737" s="0" t="inlineStr">
        <is>
          <t>Taft Men's Pullover</t>
        </is>
      </c>
      <c r="D737" s="0" t="inlineStr">
        <is>
          <t>'125334</t>
        </is>
      </c>
      <c r="E737" s="0" t="inlineStr">
        <is>
          <t>IOWA TAFT M BK:125334C-L</t>
        </is>
      </c>
      <c r="F737" s="0" t="inlineStr">
        <is>
          <t>'800125334062</t>
        </is>
      </c>
      <c r="G737" s="0" t="inlineStr">
        <is>
          <t>MENS</t>
        </is>
      </c>
      <c r="H737" s="0" t="inlineStr">
        <is>
          <t>L</t>
        </is>
      </c>
      <c r="I737" s="0">
        <v>59.99</v>
      </c>
      <c r="J737" s="0">
        <v>1</v>
      </c>
    </row>
    <row r="738" spans="1:10" customHeight="0">
      <c r="A738" s="0">
        <f>HYPERLINK("https://dl.dropboxusercontent.com/scl/fi/xy30hncpcqykmwyp7a036/125334t.jpg?rlkey=xiavd7bteunss6igapfsqo397&amp;dl=0","Click to download Image")</f>
      </c>
      <c r="B738" s="0">
        <f>HYPERLINK("https://dl.dropboxusercontent.com/scl/fi/9sjz9uub37q2m45ck34vq/mens-pullover-size-chartstaft.jpg?rlkey=rtrmcth2nhyopykqybu6y53wi&amp;dl=0","Click to download SizeChart")</f>
      </c>
      <c r="C738" s="0" t="inlineStr">
        <is>
          <t>Taft Men's Pullover</t>
        </is>
      </c>
      <c r="D738" s="0" t="inlineStr">
        <is>
          <t>'125334</t>
        </is>
      </c>
      <c r="E738" s="0" t="inlineStr">
        <is>
          <t>IOWA TAFT M BK:125334D-XL</t>
        </is>
      </c>
      <c r="F738" s="0" t="inlineStr">
        <is>
          <t>'800125334079</t>
        </is>
      </c>
      <c r="G738" s="0" t="inlineStr">
        <is>
          <t>MENS</t>
        </is>
      </c>
      <c r="H738" s="0" t="inlineStr">
        <is>
          <t>XL</t>
        </is>
      </c>
      <c r="I738" s="0">
        <v>59.99</v>
      </c>
      <c r="J738" s="0">
        <v>0</v>
      </c>
    </row>
    <row r="739" spans="1:10" customHeight="0">
      <c r="A739" s="0">
        <f>HYPERLINK("https://dl.dropboxusercontent.com/scl/fi/xy30hncpcqykmwyp7a036/125334t.jpg?rlkey=xiavd7bteunss6igapfsqo397&amp;dl=0","Click to download Image")</f>
      </c>
      <c r="B739" s="0">
        <f>HYPERLINK("https://dl.dropboxusercontent.com/scl/fi/9sjz9uub37q2m45ck34vq/mens-pullover-size-chartstaft.jpg?rlkey=rtrmcth2nhyopykqybu6y53wi&amp;dl=0","Click to download SizeChart")</f>
      </c>
      <c r="C739" s="0" t="inlineStr">
        <is>
          <t>Taft Men's Pullover</t>
        </is>
      </c>
      <c r="D739" s="0" t="inlineStr">
        <is>
          <t>'125334</t>
        </is>
      </c>
      <c r="E739" s="0" t="inlineStr">
        <is>
          <t>IOWA TAFT M BK:125334E-2XL</t>
        </is>
      </c>
      <c r="F739" s="0" t="inlineStr">
        <is>
          <t>'800125334086</t>
        </is>
      </c>
      <c r="G739" s="0" t="inlineStr">
        <is>
          <t>MENS</t>
        </is>
      </c>
      <c r="H739" s="0" t="inlineStr">
        <is>
          <t>2XL</t>
        </is>
      </c>
      <c r="I739" s="0">
        <v>59.99</v>
      </c>
      <c r="J739" s="0">
        <v>1</v>
      </c>
    </row>
    <row r="740" spans="1:10" customHeight="0">
      <c r="A740" s="0">
        <f>HYPERLINK("https://dl.dropboxusercontent.com/scl/fi/xy30hncpcqykmwyp7a036/125334t.jpg?rlkey=xiavd7bteunss6igapfsqo397&amp;dl=0","Click to download Image")</f>
      </c>
      <c r="B740" s="0">
        <f>HYPERLINK("https://dl.dropboxusercontent.com/scl/fi/9sjz9uub37q2m45ck34vq/mens-pullover-size-chartstaft.jpg?rlkey=rtrmcth2nhyopykqybu6y53wi&amp;dl=0","Click to download SizeChart")</f>
      </c>
      <c r="C740" s="0" t="inlineStr">
        <is>
          <t>Taft Men's Pullover</t>
        </is>
      </c>
      <c r="D740" s="0" t="inlineStr">
        <is>
          <t>'125334</t>
        </is>
      </c>
      <c r="E740" s="0" t="inlineStr">
        <is>
          <t>IOWA TAFT M BK:125334F-3XL</t>
        </is>
      </c>
      <c r="F740" s="0" t="inlineStr">
        <is>
          <t>'800125334093</t>
        </is>
      </c>
      <c r="G740" s="0" t="inlineStr">
        <is>
          <t>MENS</t>
        </is>
      </c>
      <c r="H740" s="0" t="inlineStr">
        <is>
          <t>3XL</t>
        </is>
      </c>
      <c r="I740" s="0">
        <v>59.99</v>
      </c>
      <c r="J740" s="0">
        <v>1</v>
      </c>
    </row>
    <row r="741" spans="1:10" customHeight="0">
      <c r="A741" s="0">
        <f>HYPERLINK("https://dl.dropboxusercontent.com/scl/fi/xy30hncpcqykmwyp7a036/125334t.jpg?rlkey=xiavd7bteunss6igapfsqo397&amp;dl=0","Click to download Image")</f>
      </c>
      <c r="B741" s="0">
        <f>HYPERLINK("https://dl.dropboxusercontent.com/scl/fi/9sjz9uub37q2m45ck34vq/mens-pullover-size-chartstaft.jpg?rlkey=rtrmcth2nhyopykqybu6y53wi&amp;dl=0","Click to download SizeChart")</f>
      </c>
      <c r="C741" s="0" t="inlineStr">
        <is>
          <t>Taft Men's Pullover</t>
        </is>
      </c>
      <c r="D741" s="0" t="inlineStr">
        <is>
          <t>'125334</t>
        </is>
      </c>
      <c r="E741" s="0" t="inlineStr">
        <is>
          <t>IOWA TAFT M BK 12PK:125334Z-12PK</t>
        </is>
      </c>
      <c r="F741" s="0" t="inlineStr">
        <is>
          <t>'800125334994</t>
        </is>
      </c>
      <c r="G741" s="0" t="inlineStr">
        <is>
          <t>MENS</t>
        </is>
      </c>
      <c r="H741" s="0" t="inlineStr">
        <is>
          <t>12 PACK</t>
        </is>
      </c>
      <c r="I741" s="0">
        <v>582</v>
      </c>
      <c r="J741" s="0">
        <v>0</v>
      </c>
    </row>
    <row r="742" spans="1:10" customHeight="0">
      <c r="A742" s="0">
        <f>HYPERLINK("https://dl.dropboxusercontent.com/scl/fi/3jzj5dg6treunim7h9qta/dsc0171edit.jpg?rlkey=5yigh3ot57mlkfzacovdjwv46&amp;dl=0","Click to download Image")</f>
      </c>
      <c r="C742" s="0" t="inlineStr">
        <is>
          <t>Gast Youth Hoodie</t>
        </is>
      </c>
      <c r="D742" s="0" t="inlineStr">
        <is>
          <t>'121038</t>
        </is>
      </c>
      <c r="E742" s="0" t="inlineStr">
        <is>
          <t>UNI GAST Y PURPLE:121038B-YS</t>
        </is>
      </c>
      <c r="F742" s="0" t="inlineStr">
        <is>
          <t>'802121038012</t>
        </is>
      </c>
      <c r="G742" s="0" t="inlineStr">
        <is>
          <t>YOUTH</t>
        </is>
      </c>
      <c r="H742" s="0" t="inlineStr">
        <is>
          <t>YS</t>
        </is>
      </c>
      <c r="I742" s="0">
        <v>39.99</v>
      </c>
      <c r="J742" s="0">
        <v>4</v>
      </c>
    </row>
    <row r="743" spans="1:10" customHeight="0">
      <c r="A743" s="0">
        <f>HYPERLINK("https://dl.dropboxusercontent.com/scl/fi/3jzj5dg6treunim7h9qta/dsc0171edit.jpg?rlkey=5yigh3ot57mlkfzacovdjwv46&amp;dl=0","Click to download Image")</f>
      </c>
      <c r="C743" s="0" t="inlineStr">
        <is>
          <t>Gast Youth Hoodie</t>
        </is>
      </c>
      <c r="D743" s="0" t="inlineStr">
        <is>
          <t>'121038</t>
        </is>
      </c>
      <c r="E743" s="0" t="inlineStr">
        <is>
          <t>UNI GAST Y PURPLE:121038C-YM</t>
        </is>
      </c>
      <c r="F743" s="0" t="inlineStr">
        <is>
          <t>'802121038029</t>
        </is>
      </c>
      <c r="G743" s="0" t="inlineStr">
        <is>
          <t>YOUTH</t>
        </is>
      </c>
      <c r="H743" s="0" t="inlineStr">
        <is>
          <t>YM</t>
        </is>
      </c>
      <c r="I743" s="0">
        <v>39.99</v>
      </c>
      <c r="J743" s="0">
        <v>4</v>
      </c>
    </row>
    <row r="744" spans="1:10" customHeight="0">
      <c r="A744" s="0">
        <f>HYPERLINK("https://dl.dropboxusercontent.com/scl/fi/3jzj5dg6treunim7h9qta/dsc0171edit.jpg?rlkey=5yigh3ot57mlkfzacovdjwv46&amp;dl=0","Click to download Image")</f>
      </c>
      <c r="C744" s="0" t="inlineStr">
        <is>
          <t>Gast Youth Hoodie</t>
        </is>
      </c>
      <c r="D744" s="0" t="inlineStr">
        <is>
          <t>'121038</t>
        </is>
      </c>
      <c r="E744" s="0" t="inlineStr">
        <is>
          <t>UNI GAST Y PURPLE:121038D-YL</t>
        </is>
      </c>
      <c r="F744" s="0" t="inlineStr">
        <is>
          <t>'802121038036</t>
        </is>
      </c>
      <c r="G744" s="0" t="inlineStr">
        <is>
          <t>YOUTH</t>
        </is>
      </c>
      <c r="H744" s="0" t="inlineStr">
        <is>
          <t>YL</t>
        </is>
      </c>
      <c r="I744" s="0">
        <v>39.99</v>
      </c>
      <c r="J744" s="0">
        <v>6</v>
      </c>
    </row>
    <row r="745" spans="1:10" customHeight="0">
      <c r="A745" s="0">
        <f>HYPERLINK("https://dl.dropboxusercontent.com/scl/fi/3jzj5dg6treunim7h9qta/dsc0171edit.jpg?rlkey=5yigh3ot57mlkfzacovdjwv46&amp;dl=0","Click to download Image")</f>
      </c>
      <c r="C745" s="0" t="inlineStr">
        <is>
          <t>Gast Youth Hoodie</t>
        </is>
      </c>
      <c r="D745" s="0" t="inlineStr">
        <is>
          <t>'121038</t>
        </is>
      </c>
      <c r="E745" s="0" t="inlineStr">
        <is>
          <t>UNI GAST Y PURPLE:121038E-YXL</t>
        </is>
      </c>
      <c r="F745" s="0" t="inlineStr">
        <is>
          <t>'802121038043</t>
        </is>
      </c>
      <c r="G745" s="0" t="inlineStr">
        <is>
          <t>YOUTH</t>
        </is>
      </c>
      <c r="H745" s="0" t="inlineStr">
        <is>
          <t>YXL</t>
        </is>
      </c>
      <c r="I745" s="0">
        <v>39.99</v>
      </c>
      <c r="J745" s="0">
        <v>6</v>
      </c>
    </row>
    <row r="746" spans="1:10" customHeight="0">
      <c r="A746" s="0">
        <f>HYPERLINK("https://dl.dropboxusercontent.com/scl/fi/3jzj5dg6treunim7h9qta/dsc0171edit.jpg?rlkey=5yigh3ot57mlkfzacovdjwv46&amp;dl=0","Click to download Image")</f>
      </c>
      <c r="C746" s="0" t="inlineStr">
        <is>
          <t>Gast Youth Hoodie</t>
        </is>
      </c>
      <c r="D746" s="0" t="inlineStr">
        <is>
          <t>'121038</t>
        </is>
      </c>
      <c r="E746" s="0" t="inlineStr">
        <is>
          <t>UNI GAST Y PURPLE 12 PACK:121038Z-12PK</t>
        </is>
      </c>
      <c r="F746" s="0" t="inlineStr">
        <is>
          <t>'802121038999</t>
        </is>
      </c>
      <c r="G746" s="0" t="inlineStr">
        <is>
          <t>YOUTH</t>
        </is>
      </c>
      <c r="H746" s="0" t="inlineStr">
        <is>
          <t>12 PACK</t>
        </is>
      </c>
      <c r="I746" s="0">
        <v>384</v>
      </c>
      <c r="J746" s="0">
        <v>1</v>
      </c>
    </row>
    <row r="747" spans="1:10" customHeight="0">
      <c r="A747" s="0">
        <f>HYPERLINK("https://dl.dropboxusercontent.com/scl/fi/gfn8iz56sloj63lped5g2/121037-f.jpg?rlkey=38mgdojuw64l695827supxpmd&amp;dl=0","Click to download Image")</f>
      </c>
      <c r="C747" s="0" t="inlineStr">
        <is>
          <t>Gast Youth Hoodie</t>
        </is>
      </c>
      <c r="D747" s="0" t="inlineStr">
        <is>
          <t>'121037</t>
        </is>
      </c>
      <c r="E747" s="0" t="inlineStr">
        <is>
          <t>ISU GAST Y CARDINAL:121037B-YS</t>
        </is>
      </c>
      <c r="F747" s="0" t="inlineStr">
        <is>
          <t>'801121037018</t>
        </is>
      </c>
      <c r="G747" s="0" t="inlineStr">
        <is>
          <t>YOUTH</t>
        </is>
      </c>
      <c r="H747" s="0" t="inlineStr">
        <is>
          <t>YS</t>
        </is>
      </c>
      <c r="I747" s="0">
        <v>39.99</v>
      </c>
      <c r="J747" s="0">
        <v>8</v>
      </c>
    </row>
    <row r="748" spans="1:10" customHeight="0">
      <c r="A748" s="0">
        <f>HYPERLINK("https://dl.dropboxusercontent.com/scl/fi/gfn8iz56sloj63lped5g2/121037-f.jpg?rlkey=38mgdojuw64l695827supxpmd&amp;dl=0","Click to download Image")</f>
      </c>
      <c r="C748" s="0" t="inlineStr">
        <is>
          <t>Gast Youth Hoodie</t>
        </is>
      </c>
      <c r="D748" s="0" t="inlineStr">
        <is>
          <t>'121037</t>
        </is>
      </c>
      <c r="E748" s="0" t="inlineStr">
        <is>
          <t>ISU GAST Y CARDINAL:121037C-YM</t>
        </is>
      </c>
      <c r="F748" s="0" t="inlineStr">
        <is>
          <t>'801121037025</t>
        </is>
      </c>
      <c r="G748" s="0" t="inlineStr">
        <is>
          <t>YOUTH</t>
        </is>
      </c>
      <c r="H748" s="0" t="inlineStr">
        <is>
          <t>YM</t>
        </is>
      </c>
      <c r="I748" s="0">
        <v>39.99</v>
      </c>
      <c r="J748" s="0">
        <v>8</v>
      </c>
    </row>
    <row r="749" spans="1:10" customHeight="0">
      <c r="A749" s="0">
        <f>HYPERLINK("https://dl.dropboxusercontent.com/scl/fi/gfn8iz56sloj63lped5g2/121037-f.jpg?rlkey=38mgdojuw64l695827supxpmd&amp;dl=0","Click to download Image")</f>
      </c>
      <c r="C749" s="0" t="inlineStr">
        <is>
          <t>Gast Youth Hoodie</t>
        </is>
      </c>
      <c r="D749" s="0" t="inlineStr">
        <is>
          <t>'121037</t>
        </is>
      </c>
      <c r="E749" s="0" t="inlineStr">
        <is>
          <t>ISU GAST Y CARDINAL:121037D-YL</t>
        </is>
      </c>
      <c r="F749" s="0" t="inlineStr">
        <is>
          <t>'801121037032</t>
        </is>
      </c>
      <c r="G749" s="0" t="inlineStr">
        <is>
          <t>YOUTH</t>
        </is>
      </c>
      <c r="H749" s="0" t="inlineStr">
        <is>
          <t>YL</t>
        </is>
      </c>
      <c r="I749" s="0">
        <v>39.99</v>
      </c>
      <c r="J749" s="0">
        <v>0</v>
      </c>
    </row>
    <row r="750" spans="1:10" customHeight="0">
      <c r="A750" s="0">
        <f>HYPERLINK("https://dl.dropboxusercontent.com/scl/fi/gfn8iz56sloj63lped5g2/121037-f.jpg?rlkey=38mgdojuw64l695827supxpmd&amp;dl=0","Click to download Image")</f>
      </c>
      <c r="C750" s="0" t="inlineStr">
        <is>
          <t>Gast Youth Hoodie</t>
        </is>
      </c>
      <c r="D750" s="0" t="inlineStr">
        <is>
          <t>'121037</t>
        </is>
      </c>
      <c r="E750" s="0" t="inlineStr">
        <is>
          <t>ISU GAST Y CARDINAL:121037E-YXL</t>
        </is>
      </c>
      <c r="F750" s="0" t="inlineStr">
        <is>
          <t>'801121037049</t>
        </is>
      </c>
      <c r="G750" s="0" t="inlineStr">
        <is>
          <t>YOUTH</t>
        </is>
      </c>
      <c r="H750" s="0" t="inlineStr">
        <is>
          <t>YXL</t>
        </is>
      </c>
      <c r="I750" s="0">
        <v>39.99</v>
      </c>
      <c r="J750" s="0">
        <v>7</v>
      </c>
    </row>
    <row r="751" spans="1:10" customHeight="0">
      <c r="A751" s="0">
        <f>HYPERLINK("https://dl.dropboxusercontent.com/scl/fi/gfn8iz56sloj63lped5g2/121037-f.jpg?rlkey=38mgdojuw64l695827supxpmd&amp;dl=0","Click to download Image")</f>
      </c>
      <c r="C751" s="0" t="inlineStr">
        <is>
          <t>Gast Youth Hoodie</t>
        </is>
      </c>
      <c r="D751" s="0" t="inlineStr">
        <is>
          <t>'121037</t>
        </is>
      </c>
      <c r="E751" s="0" t="inlineStr">
        <is>
          <t>ISU GAST Y CARDINAL 12 PACK:121037Z-12PK</t>
        </is>
      </c>
      <c r="F751" s="0" t="inlineStr">
        <is>
          <t>'801121037995</t>
        </is>
      </c>
      <c r="G751" s="0" t="inlineStr">
        <is>
          <t>YOUTH</t>
        </is>
      </c>
      <c r="H751" s="0" t="inlineStr">
        <is>
          <t>12 PACK</t>
        </is>
      </c>
      <c r="I751" s="0">
        <v>384</v>
      </c>
      <c r="J751" s="0">
        <v>0</v>
      </c>
    </row>
    <row r="752" spans="1:10" customHeight="0">
      <c r="A752" s="0">
        <f>HYPERLINK("https://dl.dropboxusercontent.com/scl/fi/l8rt3r4y39zu8pigw6oh3/123175-f.jpg?rlkey=c9wglzj65dx2zm54268xfdqir&amp;dl=0","Click to download Image")</f>
      </c>
      <c r="C752" s="0" t="inlineStr">
        <is>
          <t>Gast Youth Hoodie</t>
        </is>
      </c>
      <c r="D752" s="0" t="inlineStr">
        <is>
          <t>'123175</t>
        </is>
      </c>
      <c r="E752" s="0" t="inlineStr">
        <is>
          <t>IND GAST Y CN:123175B-YS</t>
        </is>
      </c>
      <c r="F752" s="0" t="inlineStr">
        <is>
          <t>'806123175010</t>
        </is>
      </c>
      <c r="G752" s="0" t="inlineStr">
        <is>
          <t>YOUTH</t>
        </is>
      </c>
      <c r="H752" s="0" t="inlineStr">
        <is>
          <t>YS</t>
        </is>
      </c>
      <c r="I752" s="0">
        <v>39.99</v>
      </c>
      <c r="J752" s="0">
        <v>10</v>
      </c>
    </row>
    <row r="753" spans="1:10" customHeight="0">
      <c r="A753" s="0">
        <f>HYPERLINK("https://dl.dropboxusercontent.com/scl/fi/l8rt3r4y39zu8pigw6oh3/123175-f.jpg?rlkey=c9wglzj65dx2zm54268xfdqir&amp;dl=0","Click to download Image")</f>
      </c>
      <c r="C753" s="0" t="inlineStr">
        <is>
          <t>Gast Youth Hoodie</t>
        </is>
      </c>
      <c r="D753" s="0" t="inlineStr">
        <is>
          <t>'123175</t>
        </is>
      </c>
      <c r="E753" s="0" t="inlineStr">
        <is>
          <t>IND GAST Y CN:123175C-YM</t>
        </is>
      </c>
      <c r="F753" s="0" t="inlineStr">
        <is>
          <t>'806123175027</t>
        </is>
      </c>
      <c r="G753" s="0" t="inlineStr">
        <is>
          <t>YOUTH</t>
        </is>
      </c>
      <c r="H753" s="0" t="inlineStr">
        <is>
          <t>YM</t>
        </is>
      </c>
      <c r="I753" s="0">
        <v>39.99</v>
      </c>
      <c r="J753" s="0">
        <v>10</v>
      </c>
    </row>
    <row r="754" spans="1:10" customHeight="0">
      <c r="A754" s="0">
        <f>HYPERLINK("https://dl.dropboxusercontent.com/scl/fi/l8rt3r4y39zu8pigw6oh3/123175-f.jpg?rlkey=c9wglzj65dx2zm54268xfdqir&amp;dl=0","Click to download Image")</f>
      </c>
      <c r="C754" s="0" t="inlineStr">
        <is>
          <t>Gast Youth Hoodie</t>
        </is>
      </c>
      <c r="D754" s="0" t="inlineStr">
        <is>
          <t>'123175</t>
        </is>
      </c>
      <c r="E754" s="0" t="inlineStr">
        <is>
          <t>IND GAST Y CN:123175D-YL</t>
        </is>
      </c>
      <c r="F754" s="0" t="inlineStr">
        <is>
          <t>'806123175034</t>
        </is>
      </c>
      <c r="G754" s="0" t="inlineStr">
        <is>
          <t>YOUTH</t>
        </is>
      </c>
      <c r="H754" s="0" t="inlineStr">
        <is>
          <t>YL</t>
        </is>
      </c>
      <c r="I754" s="0">
        <v>39.99</v>
      </c>
      <c r="J754" s="0">
        <v>10</v>
      </c>
    </row>
    <row r="755" spans="1:10" customHeight="0">
      <c r="A755" s="0">
        <f>HYPERLINK("https://dl.dropboxusercontent.com/scl/fi/l8rt3r4y39zu8pigw6oh3/123175-f.jpg?rlkey=c9wglzj65dx2zm54268xfdqir&amp;dl=0","Click to download Image")</f>
      </c>
      <c r="C755" s="0" t="inlineStr">
        <is>
          <t>Gast Youth Hoodie</t>
        </is>
      </c>
      <c r="D755" s="0" t="inlineStr">
        <is>
          <t>'123175</t>
        </is>
      </c>
      <c r="E755" s="0" t="inlineStr">
        <is>
          <t>IND GAST Y CN:123175E-YXL</t>
        </is>
      </c>
      <c r="F755" s="0" t="inlineStr">
        <is>
          <t>'806123175041</t>
        </is>
      </c>
      <c r="G755" s="0" t="inlineStr">
        <is>
          <t>YOUTH</t>
        </is>
      </c>
      <c r="H755" s="0" t="inlineStr">
        <is>
          <t>YXL</t>
        </is>
      </c>
      <c r="I755" s="0">
        <v>39.99</v>
      </c>
      <c r="J755" s="0">
        <v>12</v>
      </c>
    </row>
    <row r="756" spans="1:10" customHeight="0">
      <c r="A756" s="0">
        <f>HYPERLINK("https://dl.dropboxusercontent.com/scl/fi/l8rt3r4y39zu8pigw6oh3/123175-f.jpg?rlkey=c9wglzj65dx2zm54268xfdqir&amp;dl=0","Click to download Image")</f>
      </c>
      <c r="C756" s="0" t="inlineStr">
        <is>
          <t>Gast Youth Hoodie</t>
        </is>
      </c>
      <c r="D756" s="0" t="inlineStr">
        <is>
          <t>'123175</t>
        </is>
      </c>
      <c r="E756" s="0" t="inlineStr">
        <is>
          <t>IND GAST Y CN 12PK:123175Z-12PK</t>
        </is>
      </c>
      <c r="F756" s="0" t="inlineStr">
        <is>
          <t>'806123175997</t>
        </is>
      </c>
      <c r="G756" s="0" t="inlineStr">
        <is>
          <t>YOUTH</t>
        </is>
      </c>
      <c r="H756" s="0" t="inlineStr">
        <is>
          <t>12 PACK</t>
        </is>
      </c>
      <c r="I756" s="0">
        <v>384</v>
      </c>
      <c r="J756" s="0">
        <v>4</v>
      </c>
    </row>
    <row r="757" spans="1:10" customHeight="0">
      <c r="A757" s="0">
        <f>HYPERLINK("https://dl.dropboxusercontent.com/scl/fi/onbzcia0bue9o28ny9x9z/123788f.jpg?rlkey=ktiwwblhrgklsb5shubha2lco&amp;dl=0","Click to download Image")</f>
      </c>
      <c r="C757" s="0" t="inlineStr">
        <is>
          <t>Gast Youth Hoodie</t>
        </is>
      </c>
      <c r="D757" s="0" t="inlineStr">
        <is>
          <t>'123788</t>
        </is>
      </c>
      <c r="E757" s="0" t="inlineStr">
        <is>
          <t>NDSU GAST Y BK:123788B-YS</t>
        </is>
      </c>
      <c r="F757" s="0" t="inlineStr">
        <is>
          <t>'813123788010</t>
        </is>
      </c>
      <c r="G757" s="0" t="inlineStr">
        <is>
          <t>YOUTH</t>
        </is>
      </c>
      <c r="H757" s="0" t="inlineStr">
        <is>
          <t>YS</t>
        </is>
      </c>
      <c r="I757" s="0">
        <v>39.99</v>
      </c>
      <c r="J757" s="0">
        <v>2</v>
      </c>
    </row>
    <row r="758" spans="1:10" customHeight="0">
      <c r="A758" s="0">
        <f>HYPERLINK("https://dl.dropboxusercontent.com/scl/fi/onbzcia0bue9o28ny9x9z/123788f.jpg?rlkey=ktiwwblhrgklsb5shubha2lco&amp;dl=0","Click to download Image")</f>
      </c>
      <c r="C758" s="0" t="inlineStr">
        <is>
          <t>Gast Youth Hoodie</t>
        </is>
      </c>
      <c r="D758" s="0" t="inlineStr">
        <is>
          <t>'123788</t>
        </is>
      </c>
      <c r="E758" s="0" t="inlineStr">
        <is>
          <t>NDSU GAST Y BK:123788C-YM</t>
        </is>
      </c>
      <c r="F758" s="0" t="inlineStr">
        <is>
          <t>'813123788027</t>
        </is>
      </c>
      <c r="G758" s="0" t="inlineStr">
        <is>
          <t>YOUTH</t>
        </is>
      </c>
      <c r="H758" s="0" t="inlineStr">
        <is>
          <t>YM</t>
        </is>
      </c>
      <c r="I758" s="0">
        <v>39.99</v>
      </c>
      <c r="J758" s="0">
        <v>2</v>
      </c>
    </row>
    <row r="759" spans="1:10" customHeight="0">
      <c r="A759" s="0">
        <f>HYPERLINK("https://dl.dropboxusercontent.com/scl/fi/onbzcia0bue9o28ny9x9z/123788f.jpg?rlkey=ktiwwblhrgklsb5shubha2lco&amp;dl=0","Click to download Image")</f>
      </c>
      <c r="C759" s="0" t="inlineStr">
        <is>
          <t>Gast Youth Hoodie</t>
        </is>
      </c>
      <c r="D759" s="0" t="inlineStr">
        <is>
          <t>'123788</t>
        </is>
      </c>
      <c r="E759" s="0" t="inlineStr">
        <is>
          <t>NDSU GAST Y BK:123788D-YL</t>
        </is>
      </c>
      <c r="F759" s="0" t="inlineStr">
        <is>
          <t>'813123788034</t>
        </is>
      </c>
      <c r="G759" s="0" t="inlineStr">
        <is>
          <t>YOUTH</t>
        </is>
      </c>
      <c r="H759" s="0" t="inlineStr">
        <is>
          <t>YL</t>
        </is>
      </c>
      <c r="I759" s="0">
        <v>39.99</v>
      </c>
      <c r="J759" s="0">
        <v>2</v>
      </c>
    </row>
    <row r="760" spans="1:10" customHeight="0">
      <c r="A760" s="0">
        <f>HYPERLINK("https://dl.dropboxusercontent.com/scl/fi/onbzcia0bue9o28ny9x9z/123788f.jpg?rlkey=ktiwwblhrgklsb5shubha2lco&amp;dl=0","Click to download Image")</f>
      </c>
      <c r="C760" s="0" t="inlineStr">
        <is>
          <t>Gast Youth Hoodie</t>
        </is>
      </c>
      <c r="D760" s="0" t="inlineStr">
        <is>
          <t>'123788</t>
        </is>
      </c>
      <c r="E760" s="0" t="inlineStr">
        <is>
          <t>NDSU GAST Y BK:123788E-YXL</t>
        </is>
      </c>
      <c r="F760" s="0" t="inlineStr">
        <is>
          <t>'813123788041</t>
        </is>
      </c>
      <c r="G760" s="0" t="inlineStr">
        <is>
          <t>YOUTH</t>
        </is>
      </c>
      <c r="H760" s="0" t="inlineStr">
        <is>
          <t>YXL</t>
        </is>
      </c>
      <c r="I760" s="0">
        <v>39.99</v>
      </c>
      <c r="J760" s="0">
        <v>4</v>
      </c>
    </row>
    <row r="761" spans="1:10" customHeight="0">
      <c r="A761" s="0">
        <f>HYPERLINK("https://dl.dropboxusercontent.com/scl/fi/onbzcia0bue9o28ny9x9z/123788f.jpg?rlkey=ktiwwblhrgklsb5shubha2lco&amp;dl=0","Click to download Image")</f>
      </c>
      <c r="C761" s="0" t="inlineStr">
        <is>
          <t>Gast Youth Hoodie</t>
        </is>
      </c>
      <c r="D761" s="0" t="inlineStr">
        <is>
          <t>'123788</t>
        </is>
      </c>
      <c r="E761" s="0" t="inlineStr">
        <is>
          <t>NDSU GAST Y BK 12PK:123788Z-12PK</t>
        </is>
      </c>
      <c r="F761" s="0" t="inlineStr">
        <is>
          <t>'813123788997</t>
        </is>
      </c>
      <c r="G761" s="0" t="inlineStr">
        <is>
          <t>YOUTH</t>
        </is>
      </c>
      <c r="H761" s="0" t="inlineStr">
        <is>
          <t>12 PACK</t>
        </is>
      </c>
      <c r="I761" s="0">
        <v>384</v>
      </c>
      <c r="J761" s="0">
        <v>0</v>
      </c>
    </row>
    <row r="762" spans="1:10" customHeight="0">
      <c r="A762" s="0">
        <f>HYPERLINK("https://dl.dropboxusercontent.com/scl/fi/oyietcn30f1ugxug8jknt/124072-f.jpg?rlkey=tjehzewigvxltgnfdz7xtrfjr&amp;dl=0","Click to download Image")</f>
      </c>
      <c r="C762" s="0" t="inlineStr">
        <is>
          <t>Gast Youth Hoodie</t>
        </is>
      </c>
      <c r="D762" s="0" t="inlineStr">
        <is>
          <t>'124072</t>
        </is>
      </c>
      <c r="E762" s="0" t="inlineStr">
        <is>
          <t>USD GAST Y BK:124072B-YS</t>
        </is>
      </c>
      <c r="F762" s="0" t="inlineStr">
        <is>
          <t>'811124072015</t>
        </is>
      </c>
      <c r="G762" s="0" t="inlineStr">
        <is>
          <t>YOUTH</t>
        </is>
      </c>
      <c r="H762" s="0" t="inlineStr">
        <is>
          <t>YS</t>
        </is>
      </c>
      <c r="I762" s="0">
        <v>39.99</v>
      </c>
      <c r="J762" s="0">
        <v>10</v>
      </c>
    </row>
    <row r="763" spans="1:10" customHeight="0">
      <c r="A763" s="0">
        <f>HYPERLINK("https://dl.dropboxusercontent.com/scl/fi/oyietcn30f1ugxug8jknt/124072-f.jpg?rlkey=tjehzewigvxltgnfdz7xtrfjr&amp;dl=0","Click to download Image")</f>
      </c>
      <c r="C763" s="0" t="inlineStr">
        <is>
          <t>Gast Youth Hoodie</t>
        </is>
      </c>
      <c r="D763" s="0" t="inlineStr">
        <is>
          <t>'124072</t>
        </is>
      </c>
      <c r="E763" s="0" t="inlineStr">
        <is>
          <t>USD GAST Y BK:124072C-YM</t>
        </is>
      </c>
      <c r="F763" s="0" t="inlineStr">
        <is>
          <t>'811124072022</t>
        </is>
      </c>
      <c r="G763" s="0" t="inlineStr">
        <is>
          <t>YOUTH</t>
        </is>
      </c>
      <c r="H763" s="0" t="inlineStr">
        <is>
          <t>YM</t>
        </is>
      </c>
      <c r="I763" s="0">
        <v>39.99</v>
      </c>
      <c r="J763" s="0">
        <v>9</v>
      </c>
    </row>
    <row r="764" spans="1:10" customHeight="0">
      <c r="A764" s="0">
        <f>HYPERLINK("https://dl.dropboxusercontent.com/scl/fi/oyietcn30f1ugxug8jknt/124072-f.jpg?rlkey=tjehzewigvxltgnfdz7xtrfjr&amp;dl=0","Click to download Image")</f>
      </c>
      <c r="C764" s="0" t="inlineStr">
        <is>
          <t>Gast Youth Hoodie</t>
        </is>
      </c>
      <c r="D764" s="0" t="inlineStr">
        <is>
          <t>'124072</t>
        </is>
      </c>
      <c r="E764" s="0" t="inlineStr">
        <is>
          <t>USD GAST Y BK:124072D-YL</t>
        </is>
      </c>
      <c r="F764" s="0" t="inlineStr">
        <is>
          <t>'811124072039</t>
        </is>
      </c>
      <c r="G764" s="0" t="inlineStr">
        <is>
          <t>YOUTH</t>
        </is>
      </c>
      <c r="H764" s="0" t="inlineStr">
        <is>
          <t>YL</t>
        </is>
      </c>
      <c r="I764" s="0">
        <v>39.99</v>
      </c>
      <c r="J764" s="0">
        <v>9</v>
      </c>
    </row>
    <row r="765" spans="1:10" customHeight="0">
      <c r="A765" s="0">
        <f>HYPERLINK("https://dl.dropboxusercontent.com/scl/fi/oyietcn30f1ugxug8jknt/124072-f.jpg?rlkey=tjehzewigvxltgnfdz7xtrfjr&amp;dl=0","Click to download Image")</f>
      </c>
      <c r="C765" s="0" t="inlineStr">
        <is>
          <t>Gast Youth Hoodie</t>
        </is>
      </c>
      <c r="D765" s="0" t="inlineStr">
        <is>
          <t>'124072</t>
        </is>
      </c>
      <c r="E765" s="0" t="inlineStr">
        <is>
          <t>USD GAST Y BK:124072E-YXL</t>
        </is>
      </c>
      <c r="F765" s="0" t="inlineStr">
        <is>
          <t>'811124072046</t>
        </is>
      </c>
      <c r="G765" s="0" t="inlineStr">
        <is>
          <t>YOUTH</t>
        </is>
      </c>
      <c r="H765" s="0" t="inlineStr">
        <is>
          <t>YXL</t>
        </is>
      </c>
      <c r="I765" s="0">
        <v>39.99</v>
      </c>
      <c r="J765" s="0">
        <v>9</v>
      </c>
    </row>
    <row r="766" spans="1:10" customHeight="0">
      <c r="A766" s="0">
        <f>HYPERLINK("https://dl.dropboxusercontent.com/scl/fi/oyietcn30f1ugxug8jknt/124072-f.jpg?rlkey=tjehzewigvxltgnfdz7xtrfjr&amp;dl=0","Click to download Image")</f>
      </c>
      <c r="C766" s="0" t="inlineStr">
        <is>
          <t>Gast Youth Hoodie</t>
        </is>
      </c>
      <c r="D766" s="0" t="inlineStr">
        <is>
          <t>'124072</t>
        </is>
      </c>
      <c r="E766" s="0" t="inlineStr">
        <is>
          <t>USD GAST Y BK 12PK:124072Z-12PK</t>
        </is>
      </c>
      <c r="F766" s="0" t="inlineStr">
        <is>
          <t>'811124072992</t>
        </is>
      </c>
      <c r="G766" s="0" t="inlineStr">
        <is>
          <t>YOUTH</t>
        </is>
      </c>
      <c r="H766" s="0" t="inlineStr">
        <is>
          <t>12 PACK</t>
        </is>
      </c>
      <c r="I766" s="0">
        <v>384</v>
      </c>
      <c r="J766" s="0">
        <v>3</v>
      </c>
    </row>
    <row r="767" spans="1:10" customHeight="0">
      <c r="A767" s="0">
        <f>HYPERLINK("https://dl.dropboxusercontent.com/scl/fi/zrax4qr4vs1c6gv4pw1pi/126932t.jpg?rlkey=c9sg9vck2i2tjtfgcqwiata0g&amp;dl=0","Click to download Image")</f>
      </c>
      <c r="C767" s="0" t="inlineStr">
        <is>
          <t>Rand Toddler Tank Top</t>
        </is>
      </c>
      <c r="D767" s="0" t="inlineStr">
        <is>
          <t>'126932</t>
        </is>
      </c>
      <c r="E767" s="0" t="inlineStr">
        <is>
          <t>ISU RAND T CL:126932A-2T</t>
        </is>
      </c>
      <c r="F767" s="0" t="inlineStr">
        <is>
          <t>'801126932080</t>
        </is>
      </c>
      <c r="G767" s="0" t="inlineStr">
        <is>
          <t>TODDLER</t>
        </is>
      </c>
      <c r="H767" s="0" t="inlineStr">
        <is>
          <t>2T</t>
        </is>
      </c>
      <c r="I767" s="0">
        <v>24.99</v>
      </c>
      <c r="J767" s="0">
        <v>0</v>
      </c>
    </row>
    <row r="768" spans="1:10" customHeight="0">
      <c r="A768" s="0">
        <f>HYPERLINK("https://dl.dropboxusercontent.com/scl/fi/zrax4qr4vs1c6gv4pw1pi/126932t.jpg?rlkey=c9sg9vck2i2tjtfgcqwiata0g&amp;dl=0","Click to download Image")</f>
      </c>
      <c r="C768" s="0" t="inlineStr">
        <is>
          <t>Rand Toddler Tank Top</t>
        </is>
      </c>
      <c r="D768" s="0" t="inlineStr">
        <is>
          <t>'126932</t>
        </is>
      </c>
      <c r="E768" s="0" t="inlineStr">
        <is>
          <t>ISU RAND T CL:126932B-3T</t>
        </is>
      </c>
      <c r="F768" s="0" t="inlineStr">
        <is>
          <t>'801126932097</t>
        </is>
      </c>
      <c r="G768" s="0" t="inlineStr">
        <is>
          <t>TODDLER</t>
        </is>
      </c>
      <c r="H768" s="0" t="inlineStr">
        <is>
          <t>3T</t>
        </is>
      </c>
      <c r="I768" s="0">
        <v>24.99</v>
      </c>
      <c r="J768" s="0">
        <v>0</v>
      </c>
    </row>
    <row r="769" spans="1:10" customHeight="0">
      <c r="A769" s="0">
        <f>HYPERLINK("https://dl.dropboxusercontent.com/scl/fi/zrax4qr4vs1c6gv4pw1pi/126932t.jpg?rlkey=c9sg9vck2i2tjtfgcqwiata0g&amp;dl=0","Click to download Image")</f>
      </c>
      <c r="C769" s="0" t="inlineStr">
        <is>
          <t>Rand Toddler Tank Top</t>
        </is>
      </c>
      <c r="D769" s="0" t="inlineStr">
        <is>
          <t>'126932</t>
        </is>
      </c>
      <c r="E769" s="0" t="inlineStr">
        <is>
          <t>ISU RAND T CL:126932C-4T</t>
        </is>
      </c>
      <c r="F769" s="0" t="inlineStr">
        <is>
          <t>'801126932103</t>
        </is>
      </c>
      <c r="G769" s="0" t="inlineStr">
        <is>
          <t>TODDLER</t>
        </is>
      </c>
      <c r="H769" s="0" t="inlineStr">
        <is>
          <t>4T</t>
        </is>
      </c>
      <c r="I769" s="0">
        <v>24.99</v>
      </c>
      <c r="J769" s="0">
        <v>1</v>
      </c>
    </row>
    <row r="770" spans="1:10" customHeight="0">
      <c r="A770" s="0">
        <f>HYPERLINK("https://dl.dropboxusercontent.com/scl/fi/zrax4qr4vs1c6gv4pw1pi/126932t.jpg?rlkey=c9sg9vck2i2tjtfgcqwiata0g&amp;dl=0","Click to download Image")</f>
      </c>
      <c r="C770" s="0" t="inlineStr">
        <is>
          <t>Rand Toddler Tank Top</t>
        </is>
      </c>
      <c r="D770" s="0" t="inlineStr">
        <is>
          <t>'126932</t>
        </is>
      </c>
      <c r="E770" s="0" t="inlineStr">
        <is>
          <t>ISU RAND T CL:126932D-5T</t>
        </is>
      </c>
      <c r="F770" s="0" t="inlineStr">
        <is>
          <t>'801126932110</t>
        </is>
      </c>
      <c r="G770" s="0" t="inlineStr">
        <is>
          <t>TODDLER</t>
        </is>
      </c>
      <c r="H770" s="0" t="inlineStr">
        <is>
          <t>5T</t>
        </is>
      </c>
      <c r="I770" s="0">
        <v>24.99</v>
      </c>
      <c r="J770" s="0">
        <v>0</v>
      </c>
    </row>
    <row r="771" spans="1:10" customHeight="0">
      <c r="A771" s="0">
        <f>HYPERLINK("https://dl.dropboxusercontent.com/scl/fi/zrax4qr4vs1c6gv4pw1pi/126932t.jpg?rlkey=c9sg9vck2i2tjtfgcqwiata0g&amp;dl=0","Click to download Image")</f>
      </c>
      <c r="C771" s="0" t="inlineStr">
        <is>
          <t>Rand Toddler Tank Top</t>
        </is>
      </c>
      <c r="D771" s="0" t="inlineStr">
        <is>
          <t>'126932</t>
        </is>
      </c>
      <c r="E771" s="0" t="inlineStr">
        <is>
          <t>ISU RAND T CL 12PK:126932Z-12PK</t>
        </is>
      </c>
      <c r="F771" s="0" t="inlineStr">
        <is>
          <t>'801126932998</t>
        </is>
      </c>
      <c r="G771" s="0" t="inlineStr">
        <is>
          <t>TODDLER</t>
        </is>
      </c>
      <c r="H771" s="0" t="inlineStr">
        <is>
          <t>12 PACK</t>
        </is>
      </c>
      <c r="I771" s="0">
        <v>240</v>
      </c>
      <c r="J771" s="0">
        <v>0</v>
      </c>
    </row>
    <row r="772" spans="1:10" customHeight="0">
      <c r="A772" s="0">
        <f>HYPERLINK("https://dl.dropboxusercontent.com/scl/fi/ipj6udix7d2mvsskovnnb/dsc0171edit.jpg?rlkey=b0v1ubehsus39mxwvxij7uwrn&amp;dl=0","Click to download Image")</f>
      </c>
      <c r="C772" s="0" t="inlineStr">
        <is>
          <t>Gast Toddler Hoodie</t>
        </is>
      </c>
      <c r="D772" s="0" t="inlineStr">
        <is>
          <t>'122430</t>
        </is>
      </c>
      <c r="E772" s="0" t="inlineStr">
        <is>
          <t>UNI GAST T PE:122430A-2T</t>
        </is>
      </c>
      <c r="F772" s="0" t="inlineStr">
        <is>
          <t>'802122430082</t>
        </is>
      </c>
      <c r="G772" s="0" t="inlineStr">
        <is>
          <t>TODDLER</t>
        </is>
      </c>
      <c r="H772" s="0" t="inlineStr">
        <is>
          <t>2T</t>
        </is>
      </c>
      <c r="I772" s="0">
        <v>39.99</v>
      </c>
      <c r="J772" s="0">
        <v>19</v>
      </c>
    </row>
    <row r="773" spans="1:10" customHeight="0">
      <c r="A773" s="0">
        <f>HYPERLINK("https://dl.dropboxusercontent.com/scl/fi/ipj6udix7d2mvsskovnnb/dsc0171edit.jpg?rlkey=b0v1ubehsus39mxwvxij7uwrn&amp;dl=0","Click to download Image")</f>
      </c>
      <c r="C773" s="0" t="inlineStr">
        <is>
          <t>Gast Toddler Hoodie</t>
        </is>
      </c>
      <c r="D773" s="0" t="inlineStr">
        <is>
          <t>'122430</t>
        </is>
      </c>
      <c r="E773" s="0" t="inlineStr">
        <is>
          <t>UNI GAST T PE:122430B-3T</t>
        </is>
      </c>
      <c r="F773" s="0" t="inlineStr">
        <is>
          <t>'802122430099</t>
        </is>
      </c>
      <c r="G773" s="0" t="inlineStr">
        <is>
          <t>TODDLER</t>
        </is>
      </c>
      <c r="H773" s="0" t="inlineStr">
        <is>
          <t>3T</t>
        </is>
      </c>
      <c r="I773" s="0">
        <v>39.99</v>
      </c>
      <c r="J773" s="0">
        <v>20</v>
      </c>
    </row>
    <row r="774" spans="1:10" customHeight="0">
      <c r="A774" s="0">
        <f>HYPERLINK("https://dl.dropboxusercontent.com/scl/fi/ipj6udix7d2mvsskovnnb/dsc0171edit.jpg?rlkey=b0v1ubehsus39mxwvxij7uwrn&amp;dl=0","Click to download Image")</f>
      </c>
      <c r="C774" s="0" t="inlineStr">
        <is>
          <t>Gast Toddler Hoodie</t>
        </is>
      </c>
      <c r="D774" s="0" t="inlineStr">
        <is>
          <t>'122430</t>
        </is>
      </c>
      <c r="E774" s="0" t="inlineStr">
        <is>
          <t>UNI GAST T PE:122430C-4T</t>
        </is>
      </c>
      <c r="F774" s="0" t="inlineStr">
        <is>
          <t>'802122430105</t>
        </is>
      </c>
      <c r="G774" s="0" t="inlineStr">
        <is>
          <t>TODDLER</t>
        </is>
      </c>
      <c r="H774" s="0" t="inlineStr">
        <is>
          <t>4T</t>
        </is>
      </c>
      <c r="I774" s="0">
        <v>39.99</v>
      </c>
      <c r="J774" s="0">
        <v>19</v>
      </c>
    </row>
    <row r="775" spans="1:10" customHeight="0">
      <c r="A775" s="0">
        <f>HYPERLINK("https://dl.dropboxusercontent.com/scl/fi/ipj6udix7d2mvsskovnnb/dsc0171edit.jpg?rlkey=b0v1ubehsus39mxwvxij7uwrn&amp;dl=0","Click to download Image")</f>
      </c>
      <c r="C775" s="0" t="inlineStr">
        <is>
          <t>Gast Toddler Hoodie</t>
        </is>
      </c>
      <c r="D775" s="0" t="inlineStr">
        <is>
          <t>'122430</t>
        </is>
      </c>
      <c r="E775" s="0" t="inlineStr">
        <is>
          <t>UNI GAST T PE:122430D-5T</t>
        </is>
      </c>
      <c r="F775" s="0" t="inlineStr">
        <is>
          <t>'802122430112</t>
        </is>
      </c>
      <c r="G775" s="0" t="inlineStr">
        <is>
          <t>TODDLER</t>
        </is>
      </c>
      <c r="H775" s="0" t="inlineStr">
        <is>
          <t>5T</t>
        </is>
      </c>
      <c r="I775" s="0">
        <v>39.99</v>
      </c>
      <c r="J775" s="0">
        <v>24</v>
      </c>
    </row>
    <row r="776" spans="1:10" customHeight="0">
      <c r="A776" s="0">
        <f>HYPERLINK("https://dl.dropboxusercontent.com/scl/fi/ipj6udix7d2mvsskovnnb/dsc0171edit.jpg?rlkey=b0v1ubehsus39mxwvxij7uwrn&amp;dl=0","Click to download Image")</f>
      </c>
      <c r="C776" s="0" t="inlineStr">
        <is>
          <t>Gast Toddler Hoodie</t>
        </is>
      </c>
      <c r="D776" s="0" t="inlineStr">
        <is>
          <t>'122430</t>
        </is>
      </c>
      <c r="E776" s="0" t="inlineStr">
        <is>
          <t>UNI GAST T PE 12PK:122430Z-12PK</t>
        </is>
      </c>
      <c r="F776" s="0" t="inlineStr">
        <is>
          <t>'802122430990</t>
        </is>
      </c>
      <c r="G776" s="0" t="inlineStr">
        <is>
          <t>TODDLER</t>
        </is>
      </c>
      <c r="H776" s="0" t="inlineStr">
        <is>
          <t>12 PACK</t>
        </is>
      </c>
      <c r="I776" s="0">
        <v>384</v>
      </c>
      <c r="J776" s="0">
        <v>6</v>
      </c>
    </row>
    <row r="777" spans="1:10" customHeight="0">
      <c r="A777" s="0">
        <f>HYPERLINK("https://dl.dropboxusercontent.com/scl/fi/qeujsbqxphjae5q2wrqsu/121037-f.jpg?rlkey=ehfrofxlmgafb77k134mx1z61&amp;dl=0","Click to download Image")</f>
      </c>
      <c r="C777" s="0" t="inlineStr">
        <is>
          <t>Gast Toddler Hoodie</t>
        </is>
      </c>
      <c r="D777" s="0" t="inlineStr">
        <is>
          <t>'122429</t>
        </is>
      </c>
      <c r="E777" s="0" t="inlineStr">
        <is>
          <t>ISU GAST T CL:122429A-2T</t>
        </is>
      </c>
      <c r="F777" s="0" t="inlineStr">
        <is>
          <t>'801122429089</t>
        </is>
      </c>
      <c r="G777" s="0" t="inlineStr">
        <is>
          <t>TODDLER</t>
        </is>
      </c>
      <c r="H777" s="0" t="inlineStr">
        <is>
          <t>2T</t>
        </is>
      </c>
      <c r="I777" s="0">
        <v>39.99</v>
      </c>
      <c r="J777" s="0">
        <v>5</v>
      </c>
    </row>
    <row r="778" spans="1:10" customHeight="0">
      <c r="A778" s="0">
        <f>HYPERLINK("https://dl.dropboxusercontent.com/scl/fi/qeujsbqxphjae5q2wrqsu/121037-f.jpg?rlkey=ehfrofxlmgafb77k134mx1z61&amp;dl=0","Click to download Image")</f>
      </c>
      <c r="C778" s="0" t="inlineStr">
        <is>
          <t>Gast Toddler Hoodie</t>
        </is>
      </c>
      <c r="D778" s="0" t="inlineStr">
        <is>
          <t>'122429</t>
        </is>
      </c>
      <c r="E778" s="0" t="inlineStr">
        <is>
          <t>ISU GAST T CL:122429B-3T</t>
        </is>
      </c>
      <c r="F778" s="0" t="inlineStr">
        <is>
          <t>'801122429096</t>
        </is>
      </c>
      <c r="G778" s="0" t="inlineStr">
        <is>
          <t>TODDLER</t>
        </is>
      </c>
      <c r="H778" s="0" t="inlineStr">
        <is>
          <t>3T</t>
        </is>
      </c>
      <c r="I778" s="0">
        <v>39.99</v>
      </c>
      <c r="J778" s="0">
        <v>4</v>
      </c>
    </row>
    <row r="779" spans="1:10" customHeight="0">
      <c r="A779" s="0">
        <f>HYPERLINK("https://dl.dropboxusercontent.com/scl/fi/qeujsbqxphjae5q2wrqsu/121037-f.jpg?rlkey=ehfrofxlmgafb77k134mx1z61&amp;dl=0","Click to download Image")</f>
      </c>
      <c r="C779" s="0" t="inlineStr">
        <is>
          <t>Gast Toddler Hoodie</t>
        </is>
      </c>
      <c r="D779" s="0" t="inlineStr">
        <is>
          <t>'122429</t>
        </is>
      </c>
      <c r="E779" s="0" t="inlineStr">
        <is>
          <t>ISU GAST T CL:122429C-4T</t>
        </is>
      </c>
      <c r="F779" s="0" t="inlineStr">
        <is>
          <t>'801122429102</t>
        </is>
      </c>
      <c r="G779" s="0" t="inlineStr">
        <is>
          <t>TODDLER</t>
        </is>
      </c>
      <c r="H779" s="0" t="inlineStr">
        <is>
          <t>4T</t>
        </is>
      </c>
      <c r="I779" s="0">
        <v>39.99</v>
      </c>
      <c r="J779" s="0">
        <v>2</v>
      </c>
    </row>
    <row r="780" spans="1:10" customHeight="0">
      <c r="A780" s="0">
        <f>HYPERLINK("https://dl.dropboxusercontent.com/scl/fi/qeujsbqxphjae5q2wrqsu/121037-f.jpg?rlkey=ehfrofxlmgafb77k134mx1z61&amp;dl=0","Click to download Image")</f>
      </c>
      <c r="C780" s="0" t="inlineStr">
        <is>
          <t>Gast Toddler Hoodie</t>
        </is>
      </c>
      <c r="D780" s="0" t="inlineStr">
        <is>
          <t>'122429</t>
        </is>
      </c>
      <c r="E780" s="0" t="inlineStr">
        <is>
          <t>ISU GAST T CL:122429D-5T</t>
        </is>
      </c>
      <c r="F780" s="0" t="inlineStr">
        <is>
          <t>'801122429119</t>
        </is>
      </c>
      <c r="G780" s="0" t="inlineStr">
        <is>
          <t>TODDLER</t>
        </is>
      </c>
      <c r="H780" s="0" t="inlineStr">
        <is>
          <t>5T</t>
        </is>
      </c>
      <c r="I780" s="0">
        <v>39.99</v>
      </c>
      <c r="J780" s="0">
        <v>8</v>
      </c>
    </row>
    <row r="781" spans="1:10" customHeight="0">
      <c r="A781" s="0">
        <f>HYPERLINK("https://dl.dropboxusercontent.com/scl/fi/qeujsbqxphjae5q2wrqsu/121037-f.jpg?rlkey=ehfrofxlmgafb77k134mx1z61&amp;dl=0","Click to download Image")</f>
      </c>
      <c r="C781" s="0" t="inlineStr">
        <is>
          <t>Gast Toddler Hoodie</t>
        </is>
      </c>
      <c r="D781" s="0" t="inlineStr">
        <is>
          <t>'122429</t>
        </is>
      </c>
      <c r="E781" s="0" t="inlineStr">
        <is>
          <t>ISU GAST T CL 12PK:122429Z-12PK</t>
        </is>
      </c>
      <c r="F781" s="0" t="inlineStr">
        <is>
          <t>'801122429997</t>
        </is>
      </c>
      <c r="G781" s="0" t="inlineStr">
        <is>
          <t>TODDLER</t>
        </is>
      </c>
      <c r="H781" s="0" t="inlineStr">
        <is>
          <t>12 PACK</t>
        </is>
      </c>
      <c r="I781" s="0">
        <v>384</v>
      </c>
      <c r="J781" s="0">
        <v>0</v>
      </c>
    </row>
    <row r="782" spans="1:10" customHeight="0">
      <c r="A782" s="0">
        <f>HYPERLINK("https://dl.dropboxusercontent.com/scl/fi/ow6fsu2qg0ukzd3hj2ww3/123174-f.jpg?rlkey=5n7utoimpjk3liqg3a55ijdat&amp;dl=0","Click to download Image")</f>
      </c>
      <c r="C782" s="0" t="inlineStr">
        <is>
          <t>Gast Toddler Hoodie</t>
        </is>
      </c>
      <c r="D782" s="0" t="inlineStr">
        <is>
          <t>'123188</t>
        </is>
      </c>
      <c r="E782" s="0" t="inlineStr">
        <is>
          <t>PUR GAST T BK:123188A-2T</t>
        </is>
      </c>
      <c r="F782" s="0" t="inlineStr">
        <is>
          <t>'804123188085</t>
        </is>
      </c>
      <c r="G782" s="0" t="inlineStr">
        <is>
          <t>TODDLER</t>
        </is>
      </c>
      <c r="H782" s="0" t="inlineStr">
        <is>
          <t>2T</t>
        </is>
      </c>
      <c r="I782" s="0">
        <v>39.99</v>
      </c>
      <c r="J782" s="0">
        <v>6</v>
      </c>
    </row>
    <row r="783" spans="1:10" customHeight="0">
      <c r="A783" s="0">
        <f>HYPERLINK("https://dl.dropboxusercontent.com/scl/fi/ow6fsu2qg0ukzd3hj2ww3/123174-f.jpg?rlkey=5n7utoimpjk3liqg3a55ijdat&amp;dl=0","Click to download Image")</f>
      </c>
      <c r="C783" s="0" t="inlineStr">
        <is>
          <t>Gast Toddler Hoodie</t>
        </is>
      </c>
      <c r="D783" s="0" t="inlineStr">
        <is>
          <t>'123188</t>
        </is>
      </c>
      <c r="E783" s="0" t="inlineStr">
        <is>
          <t>PUR GAST T BK:123188B-3T</t>
        </is>
      </c>
      <c r="F783" s="0" t="inlineStr">
        <is>
          <t>'804123188092</t>
        </is>
      </c>
      <c r="G783" s="0" t="inlineStr">
        <is>
          <t>TODDLER</t>
        </is>
      </c>
      <c r="H783" s="0" t="inlineStr">
        <is>
          <t>3T</t>
        </is>
      </c>
      <c r="I783" s="0">
        <v>39.99</v>
      </c>
      <c r="J783" s="0">
        <v>6</v>
      </c>
    </row>
    <row r="784" spans="1:10" customHeight="0">
      <c r="A784" s="0">
        <f>HYPERLINK("https://dl.dropboxusercontent.com/scl/fi/ow6fsu2qg0ukzd3hj2ww3/123174-f.jpg?rlkey=5n7utoimpjk3liqg3a55ijdat&amp;dl=0","Click to download Image")</f>
      </c>
      <c r="C784" s="0" t="inlineStr">
        <is>
          <t>Gast Toddler Hoodie</t>
        </is>
      </c>
      <c r="D784" s="0" t="inlineStr">
        <is>
          <t>'123188</t>
        </is>
      </c>
      <c r="E784" s="0" t="inlineStr">
        <is>
          <t>PUR GAST T BK:123188C-4T</t>
        </is>
      </c>
      <c r="F784" s="0" t="inlineStr">
        <is>
          <t>'804123188108</t>
        </is>
      </c>
      <c r="G784" s="0" t="inlineStr">
        <is>
          <t>TODDLER</t>
        </is>
      </c>
      <c r="H784" s="0" t="inlineStr">
        <is>
          <t>4T</t>
        </is>
      </c>
      <c r="I784" s="0">
        <v>39.99</v>
      </c>
      <c r="J784" s="0">
        <v>6</v>
      </c>
    </row>
    <row r="785" spans="1:10" customHeight="0">
      <c r="A785" s="0">
        <f>HYPERLINK("https://dl.dropboxusercontent.com/scl/fi/ow6fsu2qg0ukzd3hj2ww3/123174-f.jpg?rlkey=5n7utoimpjk3liqg3a55ijdat&amp;dl=0","Click to download Image")</f>
      </c>
      <c r="C785" s="0" t="inlineStr">
        <is>
          <t>Gast Toddler Hoodie</t>
        </is>
      </c>
      <c r="D785" s="0" t="inlineStr">
        <is>
          <t>'123188</t>
        </is>
      </c>
      <c r="E785" s="0" t="inlineStr">
        <is>
          <t>PUR GAST T BK:123188D-5T</t>
        </is>
      </c>
      <c r="F785" s="0" t="inlineStr">
        <is>
          <t>'804123188115</t>
        </is>
      </c>
      <c r="G785" s="0" t="inlineStr">
        <is>
          <t>TODDLER</t>
        </is>
      </c>
      <c r="H785" s="0" t="inlineStr">
        <is>
          <t>5T</t>
        </is>
      </c>
      <c r="I785" s="0">
        <v>39.99</v>
      </c>
      <c r="J785" s="0">
        <v>6</v>
      </c>
    </row>
    <row r="786" spans="1:10" customHeight="0">
      <c r="A786" s="0">
        <f>HYPERLINK("https://dl.dropboxusercontent.com/scl/fi/ow6fsu2qg0ukzd3hj2ww3/123174-f.jpg?rlkey=5n7utoimpjk3liqg3a55ijdat&amp;dl=0","Click to download Image")</f>
      </c>
      <c r="C786" s="0" t="inlineStr">
        <is>
          <t>Gast Toddler Hoodie</t>
        </is>
      </c>
      <c r="D786" s="0" t="inlineStr">
        <is>
          <t>'123188</t>
        </is>
      </c>
      <c r="E786" s="0" t="inlineStr">
        <is>
          <t>PUR GAST T BK 12PK:123188Z-12PK</t>
        </is>
      </c>
      <c r="F786" s="0" t="inlineStr">
        <is>
          <t>'804123188993</t>
        </is>
      </c>
      <c r="G786" s="0" t="inlineStr">
        <is>
          <t>TODDLER</t>
        </is>
      </c>
      <c r="H786" s="0" t="inlineStr">
        <is>
          <t>12 PACK</t>
        </is>
      </c>
      <c r="I786" s="0">
        <v>384</v>
      </c>
      <c r="J786" s="0">
        <v>3</v>
      </c>
    </row>
    <row r="787" spans="1:10" customHeight="0">
      <c r="A787" s="0">
        <f>HYPERLINK("https://dl.dropboxusercontent.com/scl/fi/lji4nnl9jzi0052n740pj/123788f.jpg?rlkey=v5dvsungqgrunm15jvnel3tz9&amp;dl=0","Click to download Image")</f>
      </c>
      <c r="C787" s="0" t="inlineStr">
        <is>
          <t>Gast Toddler Hoodie</t>
        </is>
      </c>
      <c r="D787" s="0" t="inlineStr">
        <is>
          <t>'123787</t>
        </is>
      </c>
      <c r="E787" s="0" t="inlineStr">
        <is>
          <t>NDSU GAST T BK:123787A-2T</t>
        </is>
      </c>
      <c r="F787" s="0" t="inlineStr">
        <is>
          <t>'813123787082</t>
        </is>
      </c>
      <c r="G787" s="0" t="inlineStr">
        <is>
          <t>TODDLER</t>
        </is>
      </c>
      <c r="H787" s="0" t="inlineStr">
        <is>
          <t>2T</t>
        </is>
      </c>
      <c r="I787" s="0">
        <v>39.99</v>
      </c>
      <c r="J787" s="0">
        <v>2</v>
      </c>
    </row>
    <row r="788" spans="1:10" customHeight="0">
      <c r="A788" s="0">
        <f>HYPERLINK("https://dl.dropboxusercontent.com/scl/fi/lji4nnl9jzi0052n740pj/123788f.jpg?rlkey=v5dvsungqgrunm15jvnel3tz9&amp;dl=0","Click to download Image")</f>
      </c>
      <c r="C788" s="0" t="inlineStr">
        <is>
          <t>Gast Toddler Hoodie</t>
        </is>
      </c>
      <c r="D788" s="0" t="inlineStr">
        <is>
          <t>'123787</t>
        </is>
      </c>
      <c r="E788" s="0" t="inlineStr">
        <is>
          <t>NDSU GAST T BK:123787B-3T</t>
        </is>
      </c>
      <c r="F788" s="0" t="inlineStr">
        <is>
          <t>'813123787099</t>
        </is>
      </c>
      <c r="G788" s="0" t="inlineStr">
        <is>
          <t>TODDLER</t>
        </is>
      </c>
      <c r="H788" s="0" t="inlineStr">
        <is>
          <t>3T</t>
        </is>
      </c>
      <c r="I788" s="0">
        <v>39.99</v>
      </c>
      <c r="J788" s="0">
        <v>2</v>
      </c>
    </row>
    <row r="789" spans="1:10" customHeight="0">
      <c r="A789" s="0">
        <f>HYPERLINK("https://dl.dropboxusercontent.com/scl/fi/lji4nnl9jzi0052n740pj/123788f.jpg?rlkey=v5dvsungqgrunm15jvnel3tz9&amp;dl=0","Click to download Image")</f>
      </c>
      <c r="C789" s="0" t="inlineStr">
        <is>
          <t>Gast Toddler Hoodie</t>
        </is>
      </c>
      <c r="D789" s="0" t="inlineStr">
        <is>
          <t>'123787</t>
        </is>
      </c>
      <c r="E789" s="0" t="inlineStr">
        <is>
          <t>NDSU GAST T BK:123787C-4T</t>
        </is>
      </c>
      <c r="F789" s="0" t="inlineStr">
        <is>
          <t>'813123787105</t>
        </is>
      </c>
      <c r="G789" s="0" t="inlineStr">
        <is>
          <t>TODDLER</t>
        </is>
      </c>
      <c r="H789" s="0" t="inlineStr">
        <is>
          <t>4T</t>
        </is>
      </c>
      <c r="I789" s="0">
        <v>39.99</v>
      </c>
      <c r="J789" s="0">
        <v>1</v>
      </c>
    </row>
    <row r="790" spans="1:10" customHeight="0">
      <c r="A790" s="0">
        <f>HYPERLINK("https://dl.dropboxusercontent.com/scl/fi/lji4nnl9jzi0052n740pj/123788f.jpg?rlkey=v5dvsungqgrunm15jvnel3tz9&amp;dl=0","Click to download Image")</f>
      </c>
      <c r="C790" s="0" t="inlineStr">
        <is>
          <t>Gast Toddler Hoodie</t>
        </is>
      </c>
      <c r="D790" s="0" t="inlineStr">
        <is>
          <t>'123787</t>
        </is>
      </c>
      <c r="E790" s="0" t="inlineStr">
        <is>
          <t>NDSU GAST T BK:123787D-5T</t>
        </is>
      </c>
      <c r="F790" s="0" t="inlineStr">
        <is>
          <t>'813123787112</t>
        </is>
      </c>
      <c r="G790" s="0" t="inlineStr">
        <is>
          <t>TODDLER</t>
        </is>
      </c>
      <c r="H790" s="0" t="inlineStr">
        <is>
          <t>5T</t>
        </is>
      </c>
      <c r="I790" s="0">
        <v>39.99</v>
      </c>
      <c r="J790" s="0">
        <v>6</v>
      </c>
    </row>
    <row r="791" spans="1:10" customHeight="0">
      <c r="A791" s="0">
        <f>HYPERLINK("https://dl.dropboxusercontent.com/scl/fi/lji4nnl9jzi0052n740pj/123788f.jpg?rlkey=v5dvsungqgrunm15jvnel3tz9&amp;dl=0","Click to download Image")</f>
      </c>
      <c r="C791" s="0" t="inlineStr">
        <is>
          <t>Gast Toddler Hoodie</t>
        </is>
      </c>
      <c r="D791" s="0" t="inlineStr">
        <is>
          <t>'123787</t>
        </is>
      </c>
      <c r="E791" s="0" t="inlineStr">
        <is>
          <t>NDSU GAST T BK 12PK:123787Z-12PK</t>
        </is>
      </c>
      <c r="F791" s="0" t="inlineStr">
        <is>
          <t>'813123787990</t>
        </is>
      </c>
      <c r="G791" s="0" t="inlineStr">
        <is>
          <t>TODDLER</t>
        </is>
      </c>
      <c r="H791" s="0" t="inlineStr">
        <is>
          <t>12 PACK</t>
        </is>
      </c>
      <c r="I791" s="0">
        <v>384</v>
      </c>
      <c r="J791" s="0">
        <v>0</v>
      </c>
    </row>
    <row r="792" spans="1:10" customHeight="0">
      <c r="A792" s="0">
        <f>HYPERLINK("https://dl.dropboxusercontent.com/scl/fi/yxm3dx1s0c5wi8qepdv9p/127644t.jpg?rlkey=frqnz29m1iveucrtp6fieyder&amp;dl=0","Click to download Image")</f>
      </c>
      <c r="C792" s="0" t="inlineStr">
        <is>
          <t>Iker Infant Long Sleeve Bodysuit</t>
        </is>
      </c>
      <c r="D792" s="0" t="inlineStr">
        <is>
          <t>'127644</t>
        </is>
      </c>
      <c r="E792" s="0" t="inlineStr">
        <is>
          <t>IND IKER I CL:127644A-0-3M</t>
        </is>
      </c>
      <c r="F792" s="0" t="inlineStr">
        <is>
          <t>'806127644000</t>
        </is>
      </c>
      <c r="G792" s="0" t="inlineStr">
        <is>
          <t>INFANT</t>
        </is>
      </c>
      <c r="H792" s="0" t="inlineStr">
        <is>
          <t>0-3M</t>
        </is>
      </c>
      <c r="I792" s="0">
        <v>29.99</v>
      </c>
      <c r="J792" s="0">
        <v>0</v>
      </c>
    </row>
    <row r="793" spans="1:10" customHeight="0">
      <c r="A793" s="0">
        <f>HYPERLINK("https://dl.dropboxusercontent.com/scl/fi/yxm3dx1s0c5wi8qepdv9p/127644t.jpg?rlkey=frqnz29m1iveucrtp6fieyder&amp;dl=0","Click to download Image")</f>
      </c>
      <c r="C793" s="0" t="inlineStr">
        <is>
          <t>Iker Infant Long Sleeve Bodysuit</t>
        </is>
      </c>
      <c r="D793" s="0" t="inlineStr">
        <is>
          <t>'127644</t>
        </is>
      </c>
      <c r="E793" s="0" t="inlineStr">
        <is>
          <t>IND IKER I CL:127644B-3-6M</t>
        </is>
      </c>
      <c r="F793" s="0" t="inlineStr">
        <is>
          <t>'806127644017</t>
        </is>
      </c>
      <c r="G793" s="0" t="inlineStr">
        <is>
          <t>INFANT</t>
        </is>
      </c>
      <c r="H793" s="0" t="inlineStr">
        <is>
          <t>3-6M</t>
        </is>
      </c>
      <c r="I793" s="0">
        <v>29.99</v>
      </c>
      <c r="J793" s="0">
        <v>0</v>
      </c>
    </row>
    <row r="794" spans="1:10" customHeight="0">
      <c r="A794" s="0">
        <f>HYPERLINK("https://dl.dropboxusercontent.com/scl/fi/yxm3dx1s0c5wi8qepdv9p/127644t.jpg?rlkey=frqnz29m1iveucrtp6fieyder&amp;dl=0","Click to download Image")</f>
      </c>
      <c r="C794" s="0" t="inlineStr">
        <is>
          <t>Iker Infant Long Sleeve Bodysuit</t>
        </is>
      </c>
      <c r="D794" s="0" t="inlineStr">
        <is>
          <t>'127644</t>
        </is>
      </c>
      <c r="E794" s="0" t="inlineStr">
        <is>
          <t>IND IKER I CL:127644C-6-9M</t>
        </is>
      </c>
      <c r="F794" s="0" t="inlineStr">
        <is>
          <t>'806127644024</t>
        </is>
      </c>
      <c r="G794" s="0" t="inlineStr">
        <is>
          <t>INFANT</t>
        </is>
      </c>
      <c r="H794" s="0" t="inlineStr">
        <is>
          <t>6-9M</t>
        </is>
      </c>
      <c r="I794" s="0">
        <v>29.99</v>
      </c>
      <c r="J794" s="0">
        <v>1</v>
      </c>
    </row>
    <row r="795" spans="1:10" customHeight="0">
      <c r="A795" s="0">
        <f>HYPERLINK("https://dl.dropboxusercontent.com/scl/fi/yxm3dx1s0c5wi8qepdv9p/127644t.jpg?rlkey=frqnz29m1iveucrtp6fieyder&amp;dl=0","Click to download Image")</f>
      </c>
      <c r="C795" s="0" t="inlineStr">
        <is>
          <t>Iker Infant Long Sleeve Bodysuit</t>
        </is>
      </c>
      <c r="D795" s="0" t="inlineStr">
        <is>
          <t>'127644</t>
        </is>
      </c>
      <c r="E795" s="0" t="inlineStr">
        <is>
          <t>IND IKER I CL:127644F-12M</t>
        </is>
      </c>
      <c r="F795" s="0" t="inlineStr">
        <is>
          <t>'806127644031</t>
        </is>
      </c>
      <c r="G795" s="0" t="inlineStr">
        <is>
          <t>INFANT</t>
        </is>
      </c>
      <c r="H795" s="0" t="inlineStr">
        <is>
          <t>12M</t>
        </is>
      </c>
      <c r="I795" s="0">
        <v>29.99</v>
      </c>
      <c r="J795" s="0">
        <v>0</v>
      </c>
    </row>
    <row r="796" spans="1:10" customHeight="0">
      <c r="A796" s="0">
        <f>HYPERLINK("https://dl.dropboxusercontent.com/scl/fi/yxm3dx1s0c5wi8qepdv9p/127644t.jpg?rlkey=frqnz29m1iveucrtp6fieyder&amp;dl=0","Click to download Image")</f>
      </c>
      <c r="C796" s="0" t="inlineStr">
        <is>
          <t>Iker Infant Long Sleeve Bodysuit</t>
        </is>
      </c>
      <c r="D796" s="0" t="inlineStr">
        <is>
          <t>'127644</t>
        </is>
      </c>
      <c r="E796" s="0" t="inlineStr">
        <is>
          <t>IND IKER I CL 12PK:127644Z-12PK</t>
        </is>
      </c>
      <c r="F796" s="0" t="inlineStr">
        <is>
          <t>'806127644994</t>
        </is>
      </c>
      <c r="G796" s="0" t="inlineStr">
        <is>
          <t>INFANT</t>
        </is>
      </c>
      <c r="H796" s="0" t="inlineStr">
        <is>
          <t>12 PACK</t>
        </is>
      </c>
      <c r="I796" s="0">
        <v>288</v>
      </c>
      <c r="J796" s="0">
        <v>0</v>
      </c>
    </row>
    <row r="797" spans="1:10" customHeight="0">
      <c r="A797" s="0">
        <f>HYPERLINK("https://dl.dropboxusercontent.com/scl/fi/lmnyfezo7dtnlcda8q3h4/129637t.jpg?rlkey=h8o9aowyu0trzrm8vsejuzvtt&amp;dl=0","Click to download Image")</f>
      </c>
      <c r="C797" s="0" t="inlineStr">
        <is>
          <t>Iker Infant Long Sleeve Bodysuit</t>
        </is>
      </c>
      <c r="D797" s="0" t="inlineStr">
        <is>
          <t>'129637</t>
        </is>
      </c>
      <c r="E797" s="0" t="inlineStr">
        <is>
          <t>MU IKER I BK:129637A-0-3M</t>
        </is>
      </c>
      <c r="F797" s="0" t="inlineStr">
        <is>
          <t>'803129637009</t>
        </is>
      </c>
      <c r="G797" s="0" t="inlineStr">
        <is>
          <t>INFANT</t>
        </is>
      </c>
      <c r="H797" s="0" t="inlineStr">
        <is>
          <t>0-3M</t>
        </is>
      </c>
      <c r="I797" s="0">
        <v>29.99</v>
      </c>
      <c r="J797" s="0">
        <v>0</v>
      </c>
    </row>
    <row r="798" spans="1:10" customHeight="0">
      <c r="A798" s="0">
        <f>HYPERLINK("https://dl.dropboxusercontent.com/scl/fi/lmnyfezo7dtnlcda8q3h4/129637t.jpg?rlkey=h8o9aowyu0trzrm8vsejuzvtt&amp;dl=0","Click to download Image")</f>
      </c>
      <c r="C798" s="0" t="inlineStr">
        <is>
          <t>Iker Infant Long Sleeve Bodysuit</t>
        </is>
      </c>
      <c r="D798" s="0" t="inlineStr">
        <is>
          <t>'129637</t>
        </is>
      </c>
      <c r="E798" s="0" t="inlineStr">
        <is>
          <t>MU IKER I BK:129637B-3-6M</t>
        </is>
      </c>
      <c r="F798" s="0" t="inlineStr">
        <is>
          <t>'803129637016</t>
        </is>
      </c>
      <c r="G798" s="0" t="inlineStr">
        <is>
          <t>INFANT</t>
        </is>
      </c>
      <c r="H798" s="0" t="inlineStr">
        <is>
          <t>3-6M</t>
        </is>
      </c>
      <c r="I798" s="0">
        <v>29.99</v>
      </c>
      <c r="J798" s="0">
        <v>0</v>
      </c>
    </row>
    <row r="799" spans="1:10" customHeight="0">
      <c r="A799" s="0">
        <f>HYPERLINK("https://dl.dropboxusercontent.com/scl/fi/lmnyfezo7dtnlcda8q3h4/129637t.jpg?rlkey=h8o9aowyu0trzrm8vsejuzvtt&amp;dl=0","Click to download Image")</f>
      </c>
      <c r="C799" s="0" t="inlineStr">
        <is>
          <t>Iker Infant Long Sleeve Bodysuit</t>
        </is>
      </c>
      <c r="D799" s="0" t="inlineStr">
        <is>
          <t>'129637</t>
        </is>
      </c>
      <c r="E799" s="0" t="inlineStr">
        <is>
          <t>MU IKER I BK:129637C-6-9M</t>
        </is>
      </c>
      <c r="F799" s="0" t="inlineStr">
        <is>
          <t>'803129637023</t>
        </is>
      </c>
      <c r="G799" s="0" t="inlineStr">
        <is>
          <t>INFANT</t>
        </is>
      </c>
      <c r="H799" s="0" t="inlineStr">
        <is>
          <t>6-9M</t>
        </is>
      </c>
      <c r="I799" s="0">
        <v>29.99</v>
      </c>
      <c r="J799" s="0">
        <v>1</v>
      </c>
    </row>
    <row r="800" spans="1:10" customHeight="0">
      <c r="A800" s="0">
        <f>HYPERLINK("https://dl.dropboxusercontent.com/scl/fi/lmnyfezo7dtnlcda8q3h4/129637t.jpg?rlkey=h8o9aowyu0trzrm8vsejuzvtt&amp;dl=0","Click to download Image")</f>
      </c>
      <c r="C800" s="0" t="inlineStr">
        <is>
          <t>Iker Infant Long Sleeve Bodysuit</t>
        </is>
      </c>
      <c r="D800" s="0" t="inlineStr">
        <is>
          <t>'129637</t>
        </is>
      </c>
      <c r="E800" s="0" t="inlineStr">
        <is>
          <t>MU IKER I BK:129637F-12M</t>
        </is>
      </c>
      <c r="F800" s="0" t="inlineStr">
        <is>
          <t>'803129637030</t>
        </is>
      </c>
      <c r="G800" s="0" t="inlineStr">
        <is>
          <t>INFANT</t>
        </is>
      </c>
      <c r="H800" s="0" t="inlineStr">
        <is>
          <t>12M</t>
        </is>
      </c>
      <c r="I800" s="0">
        <v>29.99</v>
      </c>
      <c r="J800" s="0">
        <v>0</v>
      </c>
    </row>
    <row r="801" spans="1:10" customHeight="0">
      <c r="A801" s="0">
        <f>HYPERLINK("https://dl.dropboxusercontent.com/scl/fi/lmnyfezo7dtnlcda8q3h4/129637t.jpg?rlkey=h8o9aowyu0trzrm8vsejuzvtt&amp;dl=0","Click to download Image")</f>
      </c>
      <c r="C801" s="0" t="inlineStr">
        <is>
          <t>Iker Infant Long Sleeve Bodysuit</t>
        </is>
      </c>
      <c r="D801" s="0" t="inlineStr">
        <is>
          <t>'129637</t>
        </is>
      </c>
      <c r="E801" s="0" t="inlineStr">
        <is>
          <t>MU IKER I BK 12PK:129637Z-12PK</t>
        </is>
      </c>
      <c r="F801" s="0" t="inlineStr">
        <is>
          <t>'803129637993</t>
        </is>
      </c>
      <c r="G801" s="0" t="inlineStr">
        <is>
          <t>INFANT</t>
        </is>
      </c>
      <c r="H801" s="0" t="inlineStr">
        <is>
          <t>12 PACK</t>
        </is>
      </c>
      <c r="I801" s="0">
        <v>288</v>
      </c>
      <c r="J801" s="0">
        <v>0</v>
      </c>
    </row>
    <row r="802" spans="1:10" customHeight="0">
      <c r="A802" s="0">
        <f>HYPERLINK("https://dl.dropboxusercontent.com/scl/fi/kbnorouxlg4bxh5i6cvzd/124670t.jpg?rlkey=eqp9t8jq3swony2mx1y9phu9t&amp;dl=0","Click to download Image")</f>
      </c>
      <c r="C802" s="0" t="inlineStr">
        <is>
          <t>Ivah Infant Long Sleeve</t>
        </is>
      </c>
      <c r="D802" s="0" t="inlineStr">
        <is>
          <t>'124670</t>
        </is>
      </c>
      <c r="E802" s="0" t="inlineStr">
        <is>
          <t>IOWA IVAH I GY:124670A-0-3M</t>
        </is>
      </c>
      <c r="F802" s="0" t="inlineStr">
        <is>
          <t>'800124670000</t>
        </is>
      </c>
      <c r="G802" s="0" t="inlineStr">
        <is>
          <t>INFANT</t>
        </is>
      </c>
      <c r="H802" s="0" t="inlineStr">
        <is>
          <t>0-3M</t>
        </is>
      </c>
      <c r="I802" s="0">
        <v>29.99</v>
      </c>
      <c r="J802" s="0">
        <v>1</v>
      </c>
    </row>
    <row r="803" spans="1:10" customHeight="0">
      <c r="A803" s="0">
        <f>HYPERLINK("https://dl.dropboxusercontent.com/scl/fi/kbnorouxlg4bxh5i6cvzd/124670t.jpg?rlkey=eqp9t8jq3swony2mx1y9phu9t&amp;dl=0","Click to download Image")</f>
      </c>
      <c r="C803" s="0" t="inlineStr">
        <is>
          <t>Ivah Infant Long Sleeve</t>
        </is>
      </c>
      <c r="D803" s="0" t="inlineStr">
        <is>
          <t>'124670</t>
        </is>
      </c>
      <c r="E803" s="0" t="inlineStr">
        <is>
          <t>IOWA IVAH I GY:124670B-3-6M</t>
        </is>
      </c>
      <c r="F803" s="0" t="inlineStr">
        <is>
          <t>'800124670017</t>
        </is>
      </c>
      <c r="G803" s="0" t="inlineStr">
        <is>
          <t>INFANT</t>
        </is>
      </c>
      <c r="H803" s="0" t="inlineStr">
        <is>
          <t>3-6M</t>
        </is>
      </c>
      <c r="I803" s="0">
        <v>29.99</v>
      </c>
      <c r="J803" s="0">
        <v>0</v>
      </c>
    </row>
    <row r="804" spans="1:10" customHeight="0">
      <c r="A804" s="0">
        <f>HYPERLINK("https://dl.dropboxusercontent.com/scl/fi/kbnorouxlg4bxh5i6cvzd/124670t.jpg?rlkey=eqp9t8jq3swony2mx1y9phu9t&amp;dl=0","Click to download Image")</f>
      </c>
      <c r="C804" s="0" t="inlineStr">
        <is>
          <t>Ivah Infant Long Sleeve</t>
        </is>
      </c>
      <c r="D804" s="0" t="inlineStr">
        <is>
          <t>'124670</t>
        </is>
      </c>
      <c r="E804" s="0" t="inlineStr">
        <is>
          <t>IOWA IVAH I GY:124670C-6-9M</t>
        </is>
      </c>
      <c r="F804" s="0" t="inlineStr">
        <is>
          <t>'800124670024</t>
        </is>
      </c>
      <c r="G804" s="0" t="inlineStr">
        <is>
          <t>INFANT</t>
        </is>
      </c>
      <c r="H804" s="0" t="inlineStr">
        <is>
          <t>6-9M</t>
        </is>
      </c>
      <c r="I804" s="0">
        <v>29.99</v>
      </c>
      <c r="J804" s="0">
        <v>1</v>
      </c>
    </row>
    <row r="805" spans="1:10" customHeight="0">
      <c r="A805" s="0">
        <f>HYPERLINK("https://dl.dropboxusercontent.com/scl/fi/kbnorouxlg4bxh5i6cvzd/124670t.jpg?rlkey=eqp9t8jq3swony2mx1y9phu9t&amp;dl=0","Click to download Image")</f>
      </c>
      <c r="C805" s="0" t="inlineStr">
        <is>
          <t>Ivah Infant Long Sleeve</t>
        </is>
      </c>
      <c r="D805" s="0" t="inlineStr">
        <is>
          <t>'124670</t>
        </is>
      </c>
      <c r="E805" s="0" t="inlineStr">
        <is>
          <t>IOWA IVAH I GY:124670F-12M</t>
        </is>
      </c>
      <c r="F805" s="0" t="inlineStr">
        <is>
          <t>'800124670031</t>
        </is>
      </c>
      <c r="G805" s="0" t="inlineStr">
        <is>
          <t>INFANT</t>
        </is>
      </c>
      <c r="H805" s="0" t="inlineStr">
        <is>
          <t>12M</t>
        </is>
      </c>
      <c r="I805" s="0">
        <v>29.99</v>
      </c>
      <c r="J805" s="0">
        <v>0</v>
      </c>
    </row>
    <row r="806" spans="1:10" customHeight="0">
      <c r="A806" s="0">
        <f>HYPERLINK("https://dl.dropboxusercontent.com/scl/fi/kbnorouxlg4bxh5i6cvzd/124670t.jpg?rlkey=eqp9t8jq3swony2mx1y9phu9t&amp;dl=0","Click to download Image")</f>
      </c>
      <c r="C806" s="0" t="inlineStr">
        <is>
          <t>Ivah Infant Long Sleeve</t>
        </is>
      </c>
      <c r="D806" s="0" t="inlineStr">
        <is>
          <t>'124670</t>
        </is>
      </c>
      <c r="E806" s="0" t="inlineStr">
        <is>
          <t>IOWA IVAH I GY 12PK:124670Z-12PK</t>
        </is>
      </c>
      <c r="F806" s="0" t="inlineStr">
        <is>
          <t>'800124670994</t>
        </is>
      </c>
      <c r="G806" s="0" t="inlineStr">
        <is>
          <t>INFANT</t>
        </is>
      </c>
      <c r="H806" s="0" t="inlineStr">
        <is>
          <t>12 PACK</t>
        </is>
      </c>
      <c r="I806" s="0">
        <v>288</v>
      </c>
      <c r="J806" s="0">
        <v>0</v>
      </c>
    </row>
    <row r="807" spans="1:10" customHeight="0">
      <c r="A807" s="0">
        <f>HYPERLINK("https://dl.dropboxusercontent.com/scl/fi/md7qw8jjmibup74o511nz/slate-152090-tn.jpg?rlkey=y3mydyqx73bp7h8lh1k1a8n2o&amp;dl=0","Click to download Image")</f>
      </c>
      <c r="B807" s="0">
        <f>HYPERLINK("https://dl.dropboxusercontent.com/scl/fi/cihiz1m412xgq03l3g85x/tdlr-yth-t-shirt-size-chartsslate-ss.jpg?rlkey=hogoie507rouynpx3n85nwyzm&amp;dl=0","Click to download SizeChart")</f>
      </c>
      <c r="C807" s="0" t="inlineStr">
        <is>
          <t>Slate Toddler Short Sleeve Shirt</t>
        </is>
      </c>
      <c r="D807" s="0" t="inlineStr">
        <is>
          <t>'152090</t>
        </is>
      </c>
      <c r="E807" s="0" t="inlineStr">
        <is>
          <t>KSU SLATE T HG:152090A-2T</t>
        </is>
      </c>
      <c r="F807" s="0" t="inlineStr">
        <is>
          <t>'805152090080</t>
        </is>
      </c>
      <c r="G807" s="0" t="inlineStr">
        <is>
          <t>TODDLER</t>
        </is>
      </c>
      <c r="H807" s="0" t="inlineStr">
        <is>
          <t>2T</t>
        </is>
      </c>
      <c r="I807" s="0">
        <v>29.99</v>
      </c>
      <c r="J807" s="0">
        <v>1</v>
      </c>
    </row>
    <row r="808" spans="1:10" customHeight="0">
      <c r="A808" s="0">
        <f>HYPERLINK("https://dl.dropboxusercontent.com/scl/fi/md7qw8jjmibup74o511nz/slate-152090-tn.jpg?rlkey=y3mydyqx73bp7h8lh1k1a8n2o&amp;dl=0","Click to download Image")</f>
      </c>
      <c r="B808" s="0">
        <f>HYPERLINK("https://dl.dropboxusercontent.com/scl/fi/cihiz1m412xgq03l3g85x/tdlr-yth-t-shirt-size-chartsslate-ss.jpg?rlkey=hogoie507rouynpx3n85nwyzm&amp;dl=0","Click to download SizeChart")</f>
      </c>
      <c r="C808" s="0" t="inlineStr">
        <is>
          <t>Slate Toddler Short Sleeve Shirt</t>
        </is>
      </c>
      <c r="D808" s="0" t="inlineStr">
        <is>
          <t>'152090</t>
        </is>
      </c>
      <c r="E808" s="0" t="inlineStr">
        <is>
          <t>KSU SLATE T HG:152090B-3T</t>
        </is>
      </c>
      <c r="F808" s="0" t="inlineStr">
        <is>
          <t>'805152090097</t>
        </is>
      </c>
      <c r="G808" s="0" t="inlineStr">
        <is>
          <t>TODDLER</t>
        </is>
      </c>
      <c r="H808" s="0" t="inlineStr">
        <is>
          <t>3T</t>
        </is>
      </c>
      <c r="I808" s="0">
        <v>29.99</v>
      </c>
      <c r="J808" s="0">
        <v>0</v>
      </c>
    </row>
    <row r="809" spans="1:10" customHeight="0">
      <c r="A809" s="0">
        <f>HYPERLINK("https://dl.dropboxusercontent.com/scl/fi/md7qw8jjmibup74o511nz/slate-152090-tn.jpg?rlkey=y3mydyqx73bp7h8lh1k1a8n2o&amp;dl=0","Click to download Image")</f>
      </c>
      <c r="B809" s="0">
        <f>HYPERLINK("https://dl.dropboxusercontent.com/scl/fi/cihiz1m412xgq03l3g85x/tdlr-yth-t-shirt-size-chartsslate-ss.jpg?rlkey=hogoie507rouynpx3n85nwyzm&amp;dl=0","Click to download SizeChart")</f>
      </c>
      <c r="C809" s="0" t="inlineStr">
        <is>
          <t>Slate Toddler Short Sleeve Shirt</t>
        </is>
      </c>
      <c r="D809" s="0" t="inlineStr">
        <is>
          <t>'152090</t>
        </is>
      </c>
      <c r="E809" s="0" t="inlineStr">
        <is>
          <t>KSU SLATE T HG:152090C-4T</t>
        </is>
      </c>
      <c r="F809" s="0" t="inlineStr">
        <is>
          <t>'805152090103</t>
        </is>
      </c>
      <c r="G809" s="0" t="inlineStr">
        <is>
          <t>TODDLER</t>
        </is>
      </c>
      <c r="H809" s="0" t="inlineStr">
        <is>
          <t>4T</t>
        </is>
      </c>
      <c r="I809" s="0">
        <v>29.99</v>
      </c>
      <c r="J809" s="0">
        <v>2</v>
      </c>
    </row>
    <row r="810" spans="1:10" customHeight="0">
      <c r="A810" s="0">
        <f>HYPERLINK("https://dl.dropboxusercontent.com/scl/fi/md7qw8jjmibup74o511nz/slate-152090-tn.jpg?rlkey=y3mydyqx73bp7h8lh1k1a8n2o&amp;dl=0","Click to download Image")</f>
      </c>
      <c r="B810" s="0">
        <f>HYPERLINK("https://dl.dropboxusercontent.com/scl/fi/cihiz1m412xgq03l3g85x/tdlr-yth-t-shirt-size-chartsslate-ss.jpg?rlkey=hogoie507rouynpx3n85nwyzm&amp;dl=0","Click to download SizeChart")</f>
      </c>
      <c r="C810" s="0" t="inlineStr">
        <is>
          <t>Slate Toddler Short Sleeve Shirt</t>
        </is>
      </c>
      <c r="D810" s="0" t="inlineStr">
        <is>
          <t>'152090</t>
        </is>
      </c>
      <c r="E810" s="0" t="inlineStr">
        <is>
          <t>KSU SLATE T HG:152090D-5T</t>
        </is>
      </c>
      <c r="F810" s="0" t="inlineStr">
        <is>
          <t>'805152090110</t>
        </is>
      </c>
      <c r="G810" s="0" t="inlineStr">
        <is>
          <t>TODDLER</t>
        </is>
      </c>
      <c r="H810" s="0" t="inlineStr">
        <is>
          <t>5T</t>
        </is>
      </c>
      <c r="I810" s="0">
        <v>29.99</v>
      </c>
      <c r="J810" s="0">
        <v>3</v>
      </c>
    </row>
    <row r="811" spans="1:10" customHeight="0">
      <c r="A811" s="0">
        <f>HYPERLINK("https://dl.dropboxusercontent.com/scl/fi/md7qw8jjmibup74o511nz/slate-152090-tn.jpg?rlkey=y3mydyqx73bp7h8lh1k1a8n2o&amp;dl=0","Click to download Image")</f>
      </c>
      <c r="B811" s="0">
        <f>HYPERLINK("https://dl.dropboxusercontent.com/scl/fi/cihiz1m412xgq03l3g85x/tdlr-yth-t-shirt-size-chartsslate-ss.jpg?rlkey=hogoie507rouynpx3n85nwyzm&amp;dl=0","Click to download SizeChart")</f>
      </c>
      <c r="C811" s="0" t="inlineStr">
        <is>
          <t>Slate Toddler Short Sleeve Shirt</t>
        </is>
      </c>
      <c r="D811" s="0" t="inlineStr">
        <is>
          <t>'152090</t>
        </is>
      </c>
      <c r="E811" s="0" t="inlineStr">
        <is>
          <t>KSU SLATE T HG:152090Z-12PK</t>
        </is>
      </c>
      <c r="F811" s="0" t="inlineStr">
        <is>
          <t>'805152090981</t>
        </is>
      </c>
      <c r="G811" s="0" t="inlineStr">
        <is>
          <t>TODDLER</t>
        </is>
      </c>
      <c r="H811" s="0" t="inlineStr">
        <is>
          <t>12 PACK</t>
        </is>
      </c>
      <c r="I811" s="0">
        <v>288</v>
      </c>
      <c r="J811" s="0">
        <v>0</v>
      </c>
    </row>
    <row r="812" spans="1:10" customHeight="0">
      <c r="A812" s="0">
        <f>HYPERLINK("https://dl.dropboxusercontent.com/scl/fi/dikzlhgkqjz2x64sc42a1/vrtl-cu-sharp-bc-010524-v1f.jpg?rlkey=t9j7fr7vv57twkh4ngeowkwzg&amp;dl=0","Click to download Image")</f>
      </c>
      <c r="C812" s="0" t="inlineStr">
        <is>
          <t>Sharp Youth Black Camo T-Shirt</t>
        </is>
      </c>
      <c r="D812" s="0" t="inlineStr">
        <is>
          <t>'151427</t>
        </is>
      </c>
      <c r="E812" s="0" t="inlineStr">
        <is>
          <t>CU SHARP BLK CAMO Y:151427B-YS</t>
        </is>
      </c>
      <c r="F812" s="0" t="inlineStr">
        <is>
          <t>'810151427010</t>
        </is>
      </c>
      <c r="G812" s="0" t="inlineStr">
        <is>
          <t>YOUTH</t>
        </is>
      </c>
      <c r="H812" s="0" t="inlineStr">
        <is>
          <t>YS</t>
        </is>
      </c>
      <c r="I812" s="0">
        <v>29.99</v>
      </c>
      <c r="J812" s="0">
        <v>0</v>
      </c>
    </row>
    <row r="813" spans="1:10" customHeight="0">
      <c r="A813" s="0">
        <f>HYPERLINK("https://dl.dropboxusercontent.com/scl/fi/dikzlhgkqjz2x64sc42a1/vrtl-cu-sharp-bc-010524-v1f.jpg?rlkey=t9j7fr7vv57twkh4ngeowkwzg&amp;dl=0","Click to download Image")</f>
      </c>
      <c r="C813" s="0" t="inlineStr">
        <is>
          <t>Sharp Youth Black Camo T-Shirt</t>
        </is>
      </c>
      <c r="D813" s="0" t="inlineStr">
        <is>
          <t>'151427</t>
        </is>
      </c>
      <c r="E813" s="0" t="inlineStr">
        <is>
          <t>CU SHARP BLK CAMO Y:151427C-YM</t>
        </is>
      </c>
      <c r="F813" s="0" t="inlineStr">
        <is>
          <t>'810151427027</t>
        </is>
      </c>
      <c r="G813" s="0" t="inlineStr">
        <is>
          <t>YOUTH</t>
        </is>
      </c>
      <c r="H813" s="0" t="inlineStr">
        <is>
          <t>YM</t>
        </is>
      </c>
      <c r="I813" s="0">
        <v>29.99</v>
      </c>
      <c r="J813" s="0">
        <v>0</v>
      </c>
    </row>
    <row r="814" spans="1:10" customHeight="0">
      <c r="A814" s="0">
        <f>HYPERLINK("https://dl.dropboxusercontent.com/scl/fi/dikzlhgkqjz2x64sc42a1/vrtl-cu-sharp-bc-010524-v1f.jpg?rlkey=t9j7fr7vv57twkh4ngeowkwzg&amp;dl=0","Click to download Image")</f>
      </c>
      <c r="C814" s="0" t="inlineStr">
        <is>
          <t>Sharp Youth Black Camo T-Shirt</t>
        </is>
      </c>
      <c r="D814" s="0" t="inlineStr">
        <is>
          <t>'151427</t>
        </is>
      </c>
      <c r="E814" s="0" t="inlineStr">
        <is>
          <t>CU SHARP BLK CAMO Y:151427D-YL</t>
        </is>
      </c>
      <c r="F814" s="0" t="inlineStr">
        <is>
          <t>'810151427034</t>
        </is>
      </c>
      <c r="G814" s="0" t="inlineStr">
        <is>
          <t>YOUTH</t>
        </is>
      </c>
      <c r="H814" s="0" t="inlineStr">
        <is>
          <t>YL</t>
        </is>
      </c>
      <c r="I814" s="0">
        <v>29.99</v>
      </c>
      <c r="J814" s="0">
        <v>0</v>
      </c>
    </row>
    <row r="815" spans="1:10" customHeight="0">
      <c r="A815" s="0">
        <f>HYPERLINK("https://dl.dropboxusercontent.com/scl/fi/dikzlhgkqjz2x64sc42a1/vrtl-cu-sharp-bc-010524-v1f.jpg?rlkey=t9j7fr7vv57twkh4ngeowkwzg&amp;dl=0","Click to download Image")</f>
      </c>
      <c r="C815" s="0" t="inlineStr">
        <is>
          <t>Sharp Youth Black Camo T-Shirt</t>
        </is>
      </c>
      <c r="D815" s="0" t="inlineStr">
        <is>
          <t>'151427</t>
        </is>
      </c>
      <c r="E815" s="0" t="inlineStr">
        <is>
          <t>CU SHARP BLK CAMO Y:151427E-YXL</t>
        </is>
      </c>
      <c r="F815" s="0" t="inlineStr">
        <is>
          <t>'810151427041</t>
        </is>
      </c>
      <c r="G815" s="0" t="inlineStr">
        <is>
          <t>YOUTH</t>
        </is>
      </c>
      <c r="H815" s="0" t="inlineStr">
        <is>
          <t>YXL</t>
        </is>
      </c>
      <c r="I815" s="0">
        <v>29.99</v>
      </c>
      <c r="J815" s="0">
        <v>5</v>
      </c>
    </row>
    <row r="816" spans="1:10" customHeight="0">
      <c r="A816" s="0">
        <f>HYPERLINK("https://dl.dropboxusercontent.com/scl/fi/cdn34g7mvrvwauc2q9edg/court-134215-tn.jpg?rlkey=khih3ch66yr5b4ynppec6tndo&amp;dl=0","Click to download Image")</f>
      </c>
      <c r="B816" s="0">
        <f>HYPERLINK("https://dl.dropboxusercontent.com/scl/fi/55hv8pu954yr5yw91v18j/graphic-update2022-youth.jpg?rlkey=nlnj28etw0hpqqn0snbq2lw9v&amp;dl=0","Click to download SizeChart")</f>
      </c>
      <c r="C816" s="0" t="inlineStr">
        <is>
          <t>Court Youth Pullover</t>
        </is>
      </c>
      <c r="D816" s="0" t="inlineStr">
        <is>
          <t>'Y13421</t>
        </is>
      </c>
      <c r="E816" s="0" t="inlineStr">
        <is>
          <t>ISU COURT Y CL:Y13421B-YS</t>
        </is>
      </c>
      <c r="F816" s="0" t="inlineStr">
        <is>
          <t>'801134215014</t>
        </is>
      </c>
      <c r="G816" s="0" t="inlineStr">
        <is>
          <t>YOUTH</t>
        </is>
      </c>
      <c r="H816" s="0" t="inlineStr">
        <is>
          <t>YS</t>
        </is>
      </c>
      <c r="I816" s="0">
        <v>42.99</v>
      </c>
      <c r="J816" s="0">
        <v>0</v>
      </c>
    </row>
    <row r="817" spans="1:10" customHeight="0">
      <c r="A817" s="0">
        <f>HYPERLINK("https://dl.dropboxusercontent.com/scl/fi/cdn34g7mvrvwauc2q9edg/court-134215-tn.jpg?rlkey=khih3ch66yr5b4ynppec6tndo&amp;dl=0","Click to download Image")</f>
      </c>
      <c r="B817" s="0">
        <f>HYPERLINK("https://dl.dropboxusercontent.com/scl/fi/55hv8pu954yr5yw91v18j/graphic-update2022-youth.jpg?rlkey=nlnj28etw0hpqqn0snbq2lw9v&amp;dl=0","Click to download SizeChart")</f>
      </c>
      <c r="C817" s="0" t="inlineStr">
        <is>
          <t>Court Youth Pullover</t>
        </is>
      </c>
      <c r="D817" s="0" t="inlineStr">
        <is>
          <t>'Y13421</t>
        </is>
      </c>
      <c r="E817" s="0" t="inlineStr">
        <is>
          <t>ISU COURT Y CL:Y13421C-YM</t>
        </is>
      </c>
      <c r="F817" s="0" t="inlineStr">
        <is>
          <t>'801134215021</t>
        </is>
      </c>
      <c r="G817" s="0" t="inlineStr">
        <is>
          <t>YOUTH</t>
        </is>
      </c>
      <c r="H817" s="0" t="inlineStr">
        <is>
          <t>YM</t>
        </is>
      </c>
      <c r="I817" s="0">
        <v>42.99</v>
      </c>
      <c r="J817" s="0">
        <v>0</v>
      </c>
    </row>
    <row r="818" spans="1:10" customHeight="0">
      <c r="A818" s="0">
        <f>HYPERLINK("https://dl.dropboxusercontent.com/scl/fi/cdn34g7mvrvwauc2q9edg/court-134215-tn.jpg?rlkey=khih3ch66yr5b4ynppec6tndo&amp;dl=0","Click to download Image")</f>
      </c>
      <c r="B818" s="0">
        <f>HYPERLINK("https://dl.dropboxusercontent.com/scl/fi/55hv8pu954yr5yw91v18j/graphic-update2022-youth.jpg?rlkey=nlnj28etw0hpqqn0snbq2lw9v&amp;dl=0","Click to download SizeChart")</f>
      </c>
      <c r="C818" s="0" t="inlineStr">
        <is>
          <t>Court Youth Pullover</t>
        </is>
      </c>
      <c r="D818" s="0" t="inlineStr">
        <is>
          <t>'Y13421</t>
        </is>
      </c>
      <c r="E818" s="0" t="inlineStr">
        <is>
          <t>ISU COURT Y CL:Y13421D-YL</t>
        </is>
      </c>
      <c r="F818" s="0" t="inlineStr">
        <is>
          <t>'801134215038</t>
        </is>
      </c>
      <c r="G818" s="0" t="inlineStr">
        <is>
          <t>YOUTH</t>
        </is>
      </c>
      <c r="H818" s="0" t="inlineStr">
        <is>
          <t>YL</t>
        </is>
      </c>
      <c r="I818" s="0">
        <v>42.99</v>
      </c>
      <c r="J818" s="0">
        <v>0</v>
      </c>
    </row>
    <row r="819" spans="1:10" customHeight="0">
      <c r="A819" s="0">
        <f>HYPERLINK("https://dl.dropboxusercontent.com/scl/fi/cdn34g7mvrvwauc2q9edg/court-134215-tn.jpg?rlkey=khih3ch66yr5b4ynppec6tndo&amp;dl=0","Click to download Image")</f>
      </c>
      <c r="B819" s="0">
        <f>HYPERLINK("https://dl.dropboxusercontent.com/scl/fi/55hv8pu954yr5yw91v18j/graphic-update2022-youth.jpg?rlkey=nlnj28etw0hpqqn0snbq2lw9v&amp;dl=0","Click to download SizeChart")</f>
      </c>
      <c r="C819" s="0" t="inlineStr">
        <is>
          <t>Court Youth Pullover</t>
        </is>
      </c>
      <c r="D819" s="0" t="inlineStr">
        <is>
          <t>'Y13421</t>
        </is>
      </c>
      <c r="E819" s="0" t="inlineStr">
        <is>
          <t>ISU COURT Y CL:Y13421E-YXL</t>
        </is>
      </c>
      <c r="F819" s="0" t="inlineStr">
        <is>
          <t>'801134215045</t>
        </is>
      </c>
      <c r="G819" s="0" t="inlineStr">
        <is>
          <t>YOUTH</t>
        </is>
      </c>
      <c r="H819" s="0" t="inlineStr">
        <is>
          <t>YXL</t>
        </is>
      </c>
      <c r="I819" s="0">
        <v>42.99</v>
      </c>
      <c r="J819" s="0">
        <v>1</v>
      </c>
    </row>
    <row r="820" spans="1:10" customHeight="0">
      <c r="A820" s="0">
        <f>HYPERLINK("https://dl.dropboxusercontent.com/scl/fi/cdn34g7mvrvwauc2q9edg/court-134215-tn.jpg?rlkey=khih3ch66yr5b4ynppec6tndo&amp;dl=0","Click to download Image")</f>
      </c>
      <c r="B820" s="0">
        <f>HYPERLINK("https://dl.dropboxusercontent.com/scl/fi/55hv8pu954yr5yw91v18j/graphic-update2022-youth.jpg?rlkey=nlnj28etw0hpqqn0snbq2lw9v&amp;dl=0","Click to download SizeChart")</f>
      </c>
      <c r="C820" s="0" t="inlineStr">
        <is>
          <t>Court Youth Pullover</t>
        </is>
      </c>
      <c r="D820" s="0" t="inlineStr">
        <is>
          <t>'Y13421</t>
        </is>
      </c>
      <c r="E820" s="0" t="inlineStr">
        <is>
          <t>ISU COURT Y CL 12PK:Y13421Z-12PK</t>
        </is>
      </c>
      <c r="F820" s="0" t="inlineStr">
        <is>
          <t>'801134215991</t>
        </is>
      </c>
      <c r="G820" s="0" t="inlineStr">
        <is>
          <t>YOUTH</t>
        </is>
      </c>
      <c r="H820" s="0" t="inlineStr">
        <is>
          <t>12 PACK</t>
        </is>
      </c>
      <c r="I820" s="0">
        <v>412.7</v>
      </c>
      <c r="J820" s="0">
        <v>0</v>
      </c>
    </row>
    <row r="821" spans="1:10" customHeight="0">
      <c r="A821" s="0">
        <f>HYPERLINK("https://dl.dropboxusercontent.com/scl/fi/zhqymdqne9ethlr8eyq1d/thea-134633-f.jpg?rlkey=o1er34fxqnhkkxo8nwem54fs9&amp;dl=0","Click to download Image")</f>
      </c>
      <c r="B821" s="0">
        <f>HYPERLINK("https://dl.dropboxusercontent.com/scl/fi/mdphp9pw1ilixr5z30j9j/womens-hoodie-and-sweatshirt-size-chartsthea-hz.jpg?rlkey=ybcudgqt6qo0rib5dif6gm2ez&amp;dl=0","Click to download SizeChart")</f>
      </c>
      <c r="C821" s="0" t="inlineStr">
        <is>
          <t>Thea Women's Lightweight Hoodie</t>
        </is>
      </c>
      <c r="D821" s="0" t="inlineStr">
        <is>
          <t>'134633</t>
        </is>
      </c>
      <c r="E821" s="0" t="inlineStr">
        <is>
          <t>DRK THEA W RL:134633A-S</t>
        </is>
      </c>
      <c r="F821" s="0" t="inlineStr">
        <is>
          <t>'817134633048</t>
        </is>
      </c>
      <c r="G821" s="0" t="inlineStr">
        <is>
          <t>WOMENS</t>
        </is>
      </c>
      <c r="H821" s="0" t="inlineStr">
        <is>
          <t>S</t>
        </is>
      </c>
      <c r="I821" s="0">
        <v>52.99</v>
      </c>
      <c r="J821" s="0">
        <v>2</v>
      </c>
    </row>
    <row r="822" spans="1:10" customHeight="0">
      <c r="A822" s="0">
        <f>HYPERLINK("https://dl.dropboxusercontent.com/scl/fi/zhqymdqne9ethlr8eyq1d/thea-134633-f.jpg?rlkey=o1er34fxqnhkkxo8nwem54fs9&amp;dl=0","Click to download Image")</f>
      </c>
      <c r="B822" s="0">
        <f>HYPERLINK("https://dl.dropboxusercontent.com/scl/fi/mdphp9pw1ilixr5z30j9j/womens-hoodie-and-sweatshirt-size-chartsthea-hz.jpg?rlkey=ybcudgqt6qo0rib5dif6gm2ez&amp;dl=0","Click to download SizeChart")</f>
      </c>
      <c r="C822" s="0" t="inlineStr">
        <is>
          <t>Thea Women's Lightweight Hoodie</t>
        </is>
      </c>
      <c r="D822" s="0" t="inlineStr">
        <is>
          <t>'134633</t>
        </is>
      </c>
      <c r="E822" s="0" t="inlineStr">
        <is>
          <t>DRK THEA W RL:134633B-M</t>
        </is>
      </c>
      <c r="F822" s="0" t="inlineStr">
        <is>
          <t>'817134633055</t>
        </is>
      </c>
      <c r="G822" s="0" t="inlineStr">
        <is>
          <t>WOMENS</t>
        </is>
      </c>
      <c r="H822" s="0" t="inlineStr">
        <is>
          <t>M</t>
        </is>
      </c>
      <c r="I822" s="0">
        <v>52.99</v>
      </c>
      <c r="J822" s="0">
        <v>2</v>
      </c>
    </row>
    <row r="823" spans="1:10" customHeight="0">
      <c r="A823" s="0">
        <f>HYPERLINK("https://dl.dropboxusercontent.com/scl/fi/zhqymdqne9ethlr8eyq1d/thea-134633-f.jpg?rlkey=o1er34fxqnhkkxo8nwem54fs9&amp;dl=0","Click to download Image")</f>
      </c>
      <c r="B823" s="0">
        <f>HYPERLINK("https://dl.dropboxusercontent.com/scl/fi/mdphp9pw1ilixr5z30j9j/womens-hoodie-and-sweatshirt-size-chartsthea-hz.jpg?rlkey=ybcudgqt6qo0rib5dif6gm2ez&amp;dl=0","Click to download SizeChart")</f>
      </c>
      <c r="C823" s="0" t="inlineStr">
        <is>
          <t>Thea Women's Lightweight Hoodie</t>
        </is>
      </c>
      <c r="D823" s="0" t="inlineStr">
        <is>
          <t>'134633</t>
        </is>
      </c>
      <c r="E823" s="0" t="inlineStr">
        <is>
          <t>DRK THEA W RL:134633C-L</t>
        </is>
      </c>
      <c r="F823" s="0" t="inlineStr">
        <is>
          <t>'817134633062</t>
        </is>
      </c>
      <c r="G823" s="0" t="inlineStr">
        <is>
          <t>WOMENS</t>
        </is>
      </c>
      <c r="H823" s="0" t="inlineStr">
        <is>
          <t>L</t>
        </is>
      </c>
      <c r="I823" s="0">
        <v>52.99</v>
      </c>
      <c r="J823" s="0">
        <v>4</v>
      </c>
    </row>
    <row r="824" spans="1:10" customHeight="0">
      <c r="A824" s="0">
        <f>HYPERLINK("https://dl.dropboxusercontent.com/scl/fi/zhqymdqne9ethlr8eyq1d/thea-134633-f.jpg?rlkey=o1er34fxqnhkkxo8nwem54fs9&amp;dl=0","Click to download Image")</f>
      </c>
      <c r="B824" s="0">
        <f>HYPERLINK("https://dl.dropboxusercontent.com/scl/fi/mdphp9pw1ilixr5z30j9j/womens-hoodie-and-sweatshirt-size-chartsthea-hz.jpg?rlkey=ybcudgqt6qo0rib5dif6gm2ez&amp;dl=0","Click to download SizeChart")</f>
      </c>
      <c r="C824" s="0" t="inlineStr">
        <is>
          <t>Thea Women's Lightweight Hoodie</t>
        </is>
      </c>
      <c r="D824" s="0" t="inlineStr">
        <is>
          <t>'134633</t>
        </is>
      </c>
      <c r="E824" s="0" t="inlineStr">
        <is>
          <t>DRK THEA W RL:134633D-XL</t>
        </is>
      </c>
      <c r="F824" s="0" t="inlineStr">
        <is>
          <t>'817134633079</t>
        </is>
      </c>
      <c r="G824" s="0" t="inlineStr">
        <is>
          <t>WOMENS</t>
        </is>
      </c>
      <c r="H824" s="0" t="inlineStr">
        <is>
          <t>XL</t>
        </is>
      </c>
      <c r="I824" s="0">
        <v>52.99</v>
      </c>
      <c r="J824" s="0">
        <v>0</v>
      </c>
    </row>
    <row r="825" spans="1:10" customHeight="0">
      <c r="A825" s="0">
        <f>HYPERLINK("https://dl.dropboxusercontent.com/scl/fi/zhqymdqne9ethlr8eyq1d/thea-134633-f.jpg?rlkey=o1er34fxqnhkkxo8nwem54fs9&amp;dl=0","Click to download Image")</f>
      </c>
      <c r="B825" s="0">
        <f>HYPERLINK("https://dl.dropboxusercontent.com/scl/fi/mdphp9pw1ilixr5z30j9j/womens-hoodie-and-sweatshirt-size-chartsthea-hz.jpg?rlkey=ybcudgqt6qo0rib5dif6gm2ez&amp;dl=0","Click to download SizeChart")</f>
      </c>
      <c r="C825" s="0" t="inlineStr">
        <is>
          <t>Thea Women's Lightweight Hoodie</t>
        </is>
      </c>
      <c r="D825" s="0" t="inlineStr">
        <is>
          <t>'134633</t>
        </is>
      </c>
      <c r="E825" s="0" t="inlineStr">
        <is>
          <t>DRK THEA W RL:134633E-2XL</t>
        </is>
      </c>
      <c r="F825" s="0" t="inlineStr">
        <is>
          <t>'817134633086</t>
        </is>
      </c>
      <c r="G825" s="0" t="inlineStr">
        <is>
          <t>WOMENS</t>
        </is>
      </c>
      <c r="H825" s="0" t="inlineStr">
        <is>
          <t>2XL</t>
        </is>
      </c>
      <c r="I825" s="0">
        <v>52.99</v>
      </c>
      <c r="J825" s="0">
        <v>1</v>
      </c>
    </row>
    <row r="826" spans="1:10" customHeight="0">
      <c r="A826" s="0">
        <f>HYPERLINK("https://dl.dropboxusercontent.com/scl/fi/zhqymdqne9ethlr8eyq1d/thea-134633-f.jpg?rlkey=o1er34fxqnhkkxo8nwem54fs9&amp;dl=0","Click to download Image")</f>
      </c>
      <c r="B826" s="0">
        <f>HYPERLINK("https://dl.dropboxusercontent.com/scl/fi/mdphp9pw1ilixr5z30j9j/womens-hoodie-and-sweatshirt-size-chartsthea-hz.jpg?rlkey=ybcudgqt6qo0rib5dif6gm2ez&amp;dl=0","Click to download SizeChart")</f>
      </c>
      <c r="C826" s="0" t="inlineStr">
        <is>
          <t>Thea Women's Lightweight Hoodie</t>
        </is>
      </c>
      <c r="D826" s="0" t="inlineStr">
        <is>
          <t>'134633</t>
        </is>
      </c>
      <c r="E826" s="0" t="inlineStr">
        <is>
          <t>DRK THEA W RL:134633F-3XL</t>
        </is>
      </c>
      <c r="F826" s="0" t="inlineStr">
        <is>
          <t>'817134633093</t>
        </is>
      </c>
      <c r="G826" s="0" t="inlineStr">
        <is>
          <t>WOMENS</t>
        </is>
      </c>
      <c r="H826" s="0" t="inlineStr">
        <is>
          <t>3XL</t>
        </is>
      </c>
      <c r="I826" s="0">
        <v>52.99</v>
      </c>
      <c r="J826" s="0">
        <v>1</v>
      </c>
    </row>
    <row r="827" spans="1:10" customHeight="0">
      <c r="A827" s="0">
        <f>HYPERLINK("https://dl.dropboxusercontent.com/scl/fi/zhqymdqne9ethlr8eyq1d/thea-134633-f.jpg?rlkey=o1er34fxqnhkkxo8nwem54fs9&amp;dl=0","Click to download Image")</f>
      </c>
      <c r="B827" s="0">
        <f>HYPERLINK("https://dl.dropboxusercontent.com/scl/fi/mdphp9pw1ilixr5z30j9j/womens-hoodie-and-sweatshirt-size-chartsthea-hz.jpg?rlkey=ybcudgqt6qo0rib5dif6gm2ez&amp;dl=0","Click to download SizeChart")</f>
      </c>
      <c r="C827" s="0" t="inlineStr">
        <is>
          <t>Thea Women's Lightweight Hoodie</t>
        </is>
      </c>
      <c r="D827" s="0" t="inlineStr">
        <is>
          <t>'134633</t>
        </is>
      </c>
      <c r="E827" s="0" t="inlineStr">
        <is>
          <t>DRK THEA W RL 12PK:134633Z-12PK</t>
        </is>
      </c>
      <c r="F827" s="0" t="inlineStr">
        <is>
          <t>'817134633994</t>
        </is>
      </c>
      <c r="G827" s="0" t="inlineStr">
        <is>
          <t>WOMENS</t>
        </is>
      </c>
      <c r="H827" s="0" t="inlineStr">
        <is>
          <t>12 PACK</t>
        </is>
      </c>
      <c r="I827" s="0">
        <v>508.7</v>
      </c>
      <c r="J827" s="0">
        <v>0</v>
      </c>
    </row>
    <row r="828" spans="1:10" customHeight="0">
      <c r="A828" s="0">
        <f>HYPERLINK("https://dl.dropboxusercontent.com/scl/fi/lv0t09smqlm0k2ecva53e/theapur96695.jpg?rlkey=iiqijlybzuh3vsh2snb28ggdq&amp;dl=0","Click to download Image")</f>
      </c>
      <c r="B828" s="0">
        <f>HYPERLINK("https://dl.dropboxusercontent.com/scl/fi/mdphp9pw1ilixr5z30j9j/womens-hoodie-and-sweatshirt-size-chartsthea-hz.jpg?rlkey=ybcudgqt6qo0rib5dif6gm2ez&amp;dl=0","Click to download SizeChart")</f>
      </c>
      <c r="C828" s="0" t="inlineStr">
        <is>
          <t>Thea Women's Lightweight Hoodie</t>
        </is>
      </c>
      <c r="D828" s="0" t="inlineStr">
        <is>
          <t>'134635</t>
        </is>
      </c>
      <c r="E828" s="0" t="inlineStr">
        <is>
          <t>PUR THEA W BK:134635A-S</t>
        </is>
      </c>
      <c r="F828" s="0" t="inlineStr">
        <is>
          <t>'804134635042</t>
        </is>
      </c>
      <c r="G828" s="0" t="inlineStr">
        <is>
          <t>WOMENS</t>
        </is>
      </c>
      <c r="H828" s="0" t="inlineStr">
        <is>
          <t>S</t>
        </is>
      </c>
      <c r="I828" s="0">
        <v>52.99</v>
      </c>
      <c r="J828" s="0">
        <v>0</v>
      </c>
    </row>
    <row r="829" spans="1:10" customHeight="0">
      <c r="A829" s="0">
        <f>HYPERLINK("https://dl.dropboxusercontent.com/scl/fi/lv0t09smqlm0k2ecva53e/theapur96695.jpg?rlkey=iiqijlybzuh3vsh2snb28ggdq&amp;dl=0","Click to download Image")</f>
      </c>
      <c r="B829" s="0">
        <f>HYPERLINK("https://dl.dropboxusercontent.com/scl/fi/mdphp9pw1ilixr5z30j9j/womens-hoodie-and-sweatshirt-size-chartsthea-hz.jpg?rlkey=ybcudgqt6qo0rib5dif6gm2ez&amp;dl=0","Click to download SizeChart")</f>
      </c>
      <c r="C829" s="0" t="inlineStr">
        <is>
          <t>Thea Women's Lightweight Hoodie</t>
        </is>
      </c>
      <c r="D829" s="0" t="inlineStr">
        <is>
          <t>'134635</t>
        </is>
      </c>
      <c r="E829" s="0" t="inlineStr">
        <is>
          <t>PUR THEA W BK:134635B-M</t>
        </is>
      </c>
      <c r="F829" s="0" t="inlineStr">
        <is>
          <t>'804134635059</t>
        </is>
      </c>
      <c r="G829" s="0" t="inlineStr">
        <is>
          <t>WOMENS</t>
        </is>
      </c>
      <c r="H829" s="0" t="inlineStr">
        <is>
          <t>M</t>
        </is>
      </c>
      <c r="I829" s="0">
        <v>52.99</v>
      </c>
      <c r="J829" s="0">
        <v>0</v>
      </c>
    </row>
    <row r="830" spans="1:10" customHeight="0">
      <c r="A830" s="0">
        <f>HYPERLINK("https://dl.dropboxusercontent.com/scl/fi/lv0t09smqlm0k2ecva53e/theapur96695.jpg?rlkey=iiqijlybzuh3vsh2snb28ggdq&amp;dl=0","Click to download Image")</f>
      </c>
      <c r="B830" s="0">
        <f>HYPERLINK("https://dl.dropboxusercontent.com/scl/fi/mdphp9pw1ilixr5z30j9j/womens-hoodie-and-sweatshirt-size-chartsthea-hz.jpg?rlkey=ybcudgqt6qo0rib5dif6gm2ez&amp;dl=0","Click to download SizeChart")</f>
      </c>
      <c r="C830" s="0" t="inlineStr">
        <is>
          <t>Thea Women's Lightweight Hoodie</t>
        </is>
      </c>
      <c r="D830" s="0" t="inlineStr">
        <is>
          <t>'134635</t>
        </is>
      </c>
      <c r="E830" s="0" t="inlineStr">
        <is>
          <t>PUR THEA W BK:134635C-L</t>
        </is>
      </c>
      <c r="F830" s="0" t="inlineStr">
        <is>
          <t>'804134635066</t>
        </is>
      </c>
      <c r="G830" s="0" t="inlineStr">
        <is>
          <t>WOMENS</t>
        </is>
      </c>
      <c r="H830" s="0" t="inlineStr">
        <is>
          <t>L</t>
        </is>
      </c>
      <c r="I830" s="0">
        <v>52.99</v>
      </c>
      <c r="J830" s="0">
        <v>0</v>
      </c>
    </row>
    <row r="831" spans="1:10" customHeight="0">
      <c r="A831" s="0">
        <f>HYPERLINK("https://dl.dropboxusercontent.com/scl/fi/lv0t09smqlm0k2ecva53e/theapur96695.jpg?rlkey=iiqijlybzuh3vsh2snb28ggdq&amp;dl=0","Click to download Image")</f>
      </c>
      <c r="B831" s="0">
        <f>HYPERLINK("https://dl.dropboxusercontent.com/scl/fi/mdphp9pw1ilixr5z30j9j/womens-hoodie-and-sweatshirt-size-chartsthea-hz.jpg?rlkey=ybcudgqt6qo0rib5dif6gm2ez&amp;dl=0","Click to download SizeChart")</f>
      </c>
      <c r="C831" s="0" t="inlineStr">
        <is>
          <t>Thea Women's Lightweight Hoodie</t>
        </is>
      </c>
      <c r="D831" s="0" t="inlineStr">
        <is>
          <t>'134635</t>
        </is>
      </c>
      <c r="E831" s="0" t="inlineStr">
        <is>
          <t>PUR THEA W BK:134635D-XL</t>
        </is>
      </c>
      <c r="F831" s="0" t="inlineStr">
        <is>
          <t>'804134635073</t>
        </is>
      </c>
      <c r="G831" s="0" t="inlineStr">
        <is>
          <t>WOMENS</t>
        </is>
      </c>
      <c r="H831" s="0" t="inlineStr">
        <is>
          <t>XL</t>
        </is>
      </c>
      <c r="I831" s="0">
        <v>52.99</v>
      </c>
      <c r="J831" s="0">
        <v>2</v>
      </c>
    </row>
    <row r="832" spans="1:10" customHeight="0">
      <c r="A832" s="0">
        <f>HYPERLINK("https://dl.dropboxusercontent.com/scl/fi/lv0t09smqlm0k2ecva53e/theapur96695.jpg?rlkey=iiqijlybzuh3vsh2snb28ggdq&amp;dl=0","Click to download Image")</f>
      </c>
      <c r="B832" s="0">
        <f>HYPERLINK("https://dl.dropboxusercontent.com/scl/fi/mdphp9pw1ilixr5z30j9j/womens-hoodie-and-sweatshirt-size-chartsthea-hz.jpg?rlkey=ybcudgqt6qo0rib5dif6gm2ez&amp;dl=0","Click to download SizeChart")</f>
      </c>
      <c r="C832" s="0" t="inlineStr">
        <is>
          <t>Thea Women's Lightweight Hoodie</t>
        </is>
      </c>
      <c r="D832" s="0" t="inlineStr">
        <is>
          <t>'134635</t>
        </is>
      </c>
      <c r="E832" s="0" t="inlineStr">
        <is>
          <t>PUR THEA W BK:134635E-2XL</t>
        </is>
      </c>
      <c r="F832" s="0" t="inlineStr">
        <is>
          <t>'804134635080</t>
        </is>
      </c>
      <c r="G832" s="0" t="inlineStr">
        <is>
          <t>WOMENS</t>
        </is>
      </c>
      <c r="H832" s="0" t="inlineStr">
        <is>
          <t>2XL</t>
        </is>
      </c>
      <c r="I832" s="0">
        <v>52.99</v>
      </c>
      <c r="J832" s="0">
        <v>2</v>
      </c>
    </row>
    <row r="833" spans="1:10" customHeight="0">
      <c r="A833" s="0">
        <f>HYPERLINK("https://dl.dropboxusercontent.com/scl/fi/lv0t09smqlm0k2ecva53e/theapur96695.jpg?rlkey=iiqijlybzuh3vsh2snb28ggdq&amp;dl=0","Click to download Image")</f>
      </c>
      <c r="B833" s="0">
        <f>HYPERLINK("https://dl.dropboxusercontent.com/scl/fi/mdphp9pw1ilixr5z30j9j/womens-hoodie-and-sweatshirt-size-chartsthea-hz.jpg?rlkey=ybcudgqt6qo0rib5dif6gm2ez&amp;dl=0","Click to download SizeChart")</f>
      </c>
      <c r="C833" s="0" t="inlineStr">
        <is>
          <t>Thea Women's Lightweight Hoodie</t>
        </is>
      </c>
      <c r="D833" s="0" t="inlineStr">
        <is>
          <t>'134635</t>
        </is>
      </c>
      <c r="E833" s="0" t="inlineStr">
        <is>
          <t>PUR THEA W BK:134635F-3XL</t>
        </is>
      </c>
      <c r="F833" s="0" t="inlineStr">
        <is>
          <t>'804134635097</t>
        </is>
      </c>
      <c r="G833" s="0" t="inlineStr">
        <is>
          <t>WOMENS</t>
        </is>
      </c>
      <c r="H833" s="0" t="inlineStr">
        <is>
          <t>3XL</t>
        </is>
      </c>
      <c r="I833" s="0">
        <v>52.99</v>
      </c>
      <c r="J833" s="0">
        <v>0</v>
      </c>
    </row>
    <row r="834" spans="1:10" customHeight="0">
      <c r="A834" s="0">
        <f>HYPERLINK("https://dl.dropboxusercontent.com/scl/fi/lv0t09smqlm0k2ecva53e/theapur96695.jpg?rlkey=iiqijlybzuh3vsh2snb28ggdq&amp;dl=0","Click to download Image")</f>
      </c>
      <c r="B834" s="0">
        <f>HYPERLINK("https://dl.dropboxusercontent.com/scl/fi/mdphp9pw1ilixr5z30j9j/womens-hoodie-and-sweatshirt-size-chartsthea-hz.jpg?rlkey=ybcudgqt6qo0rib5dif6gm2ez&amp;dl=0","Click to download SizeChart")</f>
      </c>
      <c r="C834" s="0" t="inlineStr">
        <is>
          <t>Thea Women's Lightweight Hoodie</t>
        </is>
      </c>
      <c r="D834" s="0" t="inlineStr">
        <is>
          <t>'134635</t>
        </is>
      </c>
      <c r="E834" s="0" t="inlineStr">
        <is>
          <t>PUR THEA W BK 12PK:134635Z-12PK</t>
        </is>
      </c>
      <c r="F834" s="0" t="inlineStr">
        <is>
          <t>'804134635998</t>
        </is>
      </c>
      <c r="G834" s="0" t="inlineStr">
        <is>
          <t>WOMENS</t>
        </is>
      </c>
      <c r="H834" s="0" t="inlineStr">
        <is>
          <t>12 PACK</t>
        </is>
      </c>
      <c r="I834" s="0">
        <v>508.7</v>
      </c>
      <c r="J834" s="0">
        <v>0</v>
      </c>
    </row>
    <row r="835" spans="1:10" customHeight="0">
      <c r="A835" s="0">
        <f>HYPERLINK("https://dl.dropboxusercontent.com/scl/fi/m3r3rlazl6hei33fonf3l/editdsc7588.jpg?rlkey=af6aczvvaipprna5boc005b5w&amp;dl=0","Click to download Image")</f>
      </c>
      <c r="B835" s="0">
        <f>HYPERLINK("https://dl.dropboxusercontent.com/scl/fi/ney23ohxxshp235zy2b3d/womens-pullover-size-chartsvickie.jpg?rlkey=4jue0sd56xyn2yrtr5xr0z80m&amp;dl=0","Click to download SizeChart")</f>
      </c>
      <c r="C835" s="0" t="inlineStr">
        <is>
          <t>Vickie Women's Pullover</t>
        </is>
      </c>
      <c r="D835" s="0" t="inlineStr">
        <is>
          <t>'134782</t>
        </is>
      </c>
      <c r="E835" s="0" t="inlineStr">
        <is>
          <t>ISU VICKIE W DG:134782A-S</t>
        </is>
      </c>
      <c r="F835" s="0" t="inlineStr">
        <is>
          <t>'801134782042</t>
        </is>
      </c>
      <c r="G835" s="0" t="inlineStr">
        <is>
          <t>WOMENS</t>
        </is>
      </c>
      <c r="H835" s="0" t="inlineStr">
        <is>
          <t>S</t>
        </is>
      </c>
      <c r="I835" s="0">
        <v>59.99</v>
      </c>
      <c r="J835" s="0">
        <v>0</v>
      </c>
    </row>
    <row r="836" spans="1:10" customHeight="0">
      <c r="A836" s="0">
        <f>HYPERLINK("https://dl.dropboxusercontent.com/scl/fi/m3r3rlazl6hei33fonf3l/editdsc7588.jpg?rlkey=af6aczvvaipprna5boc005b5w&amp;dl=0","Click to download Image")</f>
      </c>
      <c r="B836" s="0">
        <f>HYPERLINK("https://dl.dropboxusercontent.com/scl/fi/ney23ohxxshp235zy2b3d/womens-pullover-size-chartsvickie.jpg?rlkey=4jue0sd56xyn2yrtr5xr0z80m&amp;dl=0","Click to download SizeChart")</f>
      </c>
      <c r="C836" s="0" t="inlineStr">
        <is>
          <t>Vickie Women's Pullover</t>
        </is>
      </c>
      <c r="D836" s="0" t="inlineStr">
        <is>
          <t>'134782</t>
        </is>
      </c>
      <c r="E836" s="0" t="inlineStr">
        <is>
          <t>ISU VICKIE W DG:134782B-M</t>
        </is>
      </c>
      <c r="F836" s="0" t="inlineStr">
        <is>
          <t>'801134782059</t>
        </is>
      </c>
      <c r="G836" s="0" t="inlineStr">
        <is>
          <t>WOMENS</t>
        </is>
      </c>
      <c r="H836" s="0" t="inlineStr">
        <is>
          <t>M</t>
        </is>
      </c>
      <c r="I836" s="0">
        <v>59.99</v>
      </c>
      <c r="J836" s="0">
        <v>0</v>
      </c>
    </row>
    <row r="837" spans="1:10" customHeight="0">
      <c r="A837" s="0">
        <f>HYPERLINK("https://dl.dropboxusercontent.com/scl/fi/m3r3rlazl6hei33fonf3l/editdsc7588.jpg?rlkey=af6aczvvaipprna5boc005b5w&amp;dl=0","Click to download Image")</f>
      </c>
      <c r="B837" s="0">
        <f>HYPERLINK("https://dl.dropboxusercontent.com/scl/fi/ney23ohxxshp235zy2b3d/womens-pullover-size-chartsvickie.jpg?rlkey=4jue0sd56xyn2yrtr5xr0z80m&amp;dl=0","Click to download SizeChart")</f>
      </c>
      <c r="C837" s="0" t="inlineStr">
        <is>
          <t>Vickie Women's Pullover</t>
        </is>
      </c>
      <c r="D837" s="0" t="inlineStr">
        <is>
          <t>'134782</t>
        </is>
      </c>
      <c r="E837" s="0" t="inlineStr">
        <is>
          <t>ISU VICKIE W DG:134782C-L</t>
        </is>
      </c>
      <c r="F837" s="0" t="inlineStr">
        <is>
          <t>'801134782066</t>
        </is>
      </c>
      <c r="G837" s="0" t="inlineStr">
        <is>
          <t>WOMENS</t>
        </is>
      </c>
      <c r="H837" s="0" t="inlineStr">
        <is>
          <t>L</t>
        </is>
      </c>
      <c r="I837" s="0">
        <v>59.99</v>
      </c>
      <c r="J837" s="0">
        <v>0</v>
      </c>
    </row>
    <row r="838" spans="1:10" customHeight="0">
      <c r="A838" s="0">
        <f>HYPERLINK("https://dl.dropboxusercontent.com/scl/fi/m3r3rlazl6hei33fonf3l/editdsc7588.jpg?rlkey=af6aczvvaipprna5boc005b5w&amp;dl=0","Click to download Image")</f>
      </c>
      <c r="B838" s="0">
        <f>HYPERLINK("https://dl.dropboxusercontent.com/scl/fi/ney23ohxxshp235zy2b3d/womens-pullover-size-chartsvickie.jpg?rlkey=4jue0sd56xyn2yrtr5xr0z80m&amp;dl=0","Click to download SizeChart")</f>
      </c>
      <c r="C838" s="0" t="inlineStr">
        <is>
          <t>Vickie Women's Pullover</t>
        </is>
      </c>
      <c r="D838" s="0" t="inlineStr">
        <is>
          <t>'134782</t>
        </is>
      </c>
      <c r="E838" s="0" t="inlineStr">
        <is>
          <t>ISU VICKIE W DG:134782D-XL</t>
        </is>
      </c>
      <c r="F838" s="0" t="inlineStr">
        <is>
          <t>'801134782073</t>
        </is>
      </c>
      <c r="G838" s="0" t="inlineStr">
        <is>
          <t>WOMENS</t>
        </is>
      </c>
      <c r="H838" s="0" t="inlineStr">
        <is>
          <t>XL</t>
        </is>
      </c>
      <c r="I838" s="0">
        <v>59.99</v>
      </c>
      <c r="J838" s="0">
        <v>0</v>
      </c>
    </row>
    <row r="839" spans="1:10" customHeight="0">
      <c r="A839" s="0">
        <f>HYPERLINK("https://dl.dropboxusercontent.com/scl/fi/m3r3rlazl6hei33fonf3l/editdsc7588.jpg?rlkey=af6aczvvaipprna5boc005b5w&amp;dl=0","Click to download Image")</f>
      </c>
      <c r="B839" s="0">
        <f>HYPERLINK("https://dl.dropboxusercontent.com/scl/fi/ney23ohxxshp235zy2b3d/womens-pullover-size-chartsvickie.jpg?rlkey=4jue0sd56xyn2yrtr5xr0z80m&amp;dl=0","Click to download SizeChart")</f>
      </c>
      <c r="C839" s="0" t="inlineStr">
        <is>
          <t>Vickie Women's Pullover</t>
        </is>
      </c>
      <c r="D839" s="0" t="inlineStr">
        <is>
          <t>'134782</t>
        </is>
      </c>
      <c r="E839" s="0" t="inlineStr">
        <is>
          <t>ISU VICKIE W DG:134782E-2XL</t>
        </is>
      </c>
      <c r="F839" s="0" t="inlineStr">
        <is>
          <t>'801134782080</t>
        </is>
      </c>
      <c r="G839" s="0" t="inlineStr">
        <is>
          <t>WOMENS</t>
        </is>
      </c>
      <c r="H839" s="0" t="inlineStr">
        <is>
          <t>2XL</t>
        </is>
      </c>
      <c r="I839" s="0">
        <v>59.99</v>
      </c>
      <c r="J839" s="0">
        <v>0</v>
      </c>
    </row>
    <row r="840" spans="1:10" customHeight="0">
      <c r="A840" s="0">
        <f>HYPERLINK("https://dl.dropboxusercontent.com/scl/fi/m3r3rlazl6hei33fonf3l/editdsc7588.jpg?rlkey=af6aczvvaipprna5boc005b5w&amp;dl=0","Click to download Image")</f>
      </c>
      <c r="B840" s="0">
        <f>HYPERLINK("https://dl.dropboxusercontent.com/scl/fi/ney23ohxxshp235zy2b3d/womens-pullover-size-chartsvickie.jpg?rlkey=4jue0sd56xyn2yrtr5xr0z80m&amp;dl=0","Click to download SizeChart")</f>
      </c>
      <c r="C840" s="0" t="inlineStr">
        <is>
          <t>Vickie Women's Pullover</t>
        </is>
      </c>
      <c r="D840" s="0" t="inlineStr">
        <is>
          <t>'134782</t>
        </is>
      </c>
      <c r="E840" s="0" t="inlineStr">
        <is>
          <t>ISU VICKIE W DG:134782F-3XL</t>
        </is>
      </c>
      <c r="F840" s="0" t="inlineStr">
        <is>
          <t>'801134782097</t>
        </is>
      </c>
      <c r="G840" s="0" t="inlineStr">
        <is>
          <t>WOMENS</t>
        </is>
      </c>
      <c r="H840" s="0" t="inlineStr">
        <is>
          <t>3XL</t>
        </is>
      </c>
      <c r="I840" s="0">
        <v>59.99</v>
      </c>
      <c r="J840" s="0">
        <v>4</v>
      </c>
    </row>
    <row r="841" spans="1:10" customHeight="0">
      <c r="A841" s="0">
        <f>HYPERLINK("https://dl.dropboxusercontent.com/scl/fi/m3r3rlazl6hei33fonf3l/editdsc7588.jpg?rlkey=af6aczvvaipprna5boc005b5w&amp;dl=0","Click to download Image")</f>
      </c>
      <c r="B841" s="0">
        <f>HYPERLINK("https://dl.dropboxusercontent.com/scl/fi/ney23ohxxshp235zy2b3d/womens-pullover-size-chartsvickie.jpg?rlkey=4jue0sd56xyn2yrtr5xr0z80m&amp;dl=0","Click to download SizeChart")</f>
      </c>
      <c r="C841" s="0" t="inlineStr">
        <is>
          <t>Vickie Women's Pullover</t>
        </is>
      </c>
      <c r="D841" s="0" t="inlineStr">
        <is>
          <t>'134782</t>
        </is>
      </c>
      <c r="E841" s="0" t="inlineStr">
        <is>
          <t>ISU VICKIE W DG 12PK:134782Z-12PK</t>
        </is>
      </c>
      <c r="F841" s="0" t="inlineStr">
        <is>
          <t>'801134782998</t>
        </is>
      </c>
      <c r="G841" s="0" t="inlineStr">
        <is>
          <t>WOMENS</t>
        </is>
      </c>
      <c r="H841" s="0" t="inlineStr">
        <is>
          <t>12 PACK</t>
        </is>
      </c>
      <c r="I841" s="0">
        <v>576</v>
      </c>
      <c r="J841" s="0">
        <v>0</v>
      </c>
    </row>
    <row r="842" spans="1:10" customHeight="0">
      <c r="A842" s="0">
        <f>HYPERLINK("https://dl.dropboxusercontent.com/scl/fi/e1h2n7vvd4n0v7jc3xj5j/zada-135747-tn.jpg?rlkey=ndh18dtb8fpm4ku9exmf8ufqj&amp;dl=0","Click to download Image")</f>
      </c>
      <c r="B842" s="0">
        <f>HYPERLINK("https://dl.dropboxusercontent.com/scl/fi/l906u8mxazgr9gq4ce4pl/womens-t-shirt-size-chartszada.jpg?rlkey=elpucuondytw165dayavtunta&amp;dl=0","Click to download SizeChart")</f>
      </c>
      <c r="C842" s="0" t="inlineStr">
        <is>
          <t>Zada Women's Long Sleeve Shirt</t>
        </is>
      </c>
      <c r="D842" s="0" t="inlineStr">
        <is>
          <t>'135747</t>
        </is>
      </c>
      <c r="E842" s="0" t="inlineStr">
        <is>
          <t>UNI ZADA W BK:135747A-S</t>
        </is>
      </c>
      <c r="F842" s="0" t="inlineStr">
        <is>
          <t>'802135747047</t>
        </is>
      </c>
      <c r="G842" s="0" t="inlineStr">
        <is>
          <t>WOMENS</t>
        </is>
      </c>
      <c r="H842" s="0" t="inlineStr">
        <is>
          <t>S</t>
        </is>
      </c>
      <c r="I842" s="0">
        <v>39.99</v>
      </c>
      <c r="J842" s="0">
        <v>1</v>
      </c>
    </row>
    <row r="843" spans="1:10" customHeight="0">
      <c r="A843" s="0">
        <f>HYPERLINK("https://dl.dropboxusercontent.com/scl/fi/e1h2n7vvd4n0v7jc3xj5j/zada-135747-tn.jpg?rlkey=ndh18dtb8fpm4ku9exmf8ufqj&amp;dl=0","Click to download Image")</f>
      </c>
      <c r="B843" s="0">
        <f>HYPERLINK("https://dl.dropboxusercontent.com/scl/fi/l906u8mxazgr9gq4ce4pl/womens-t-shirt-size-chartszada.jpg?rlkey=elpucuondytw165dayavtunta&amp;dl=0","Click to download SizeChart")</f>
      </c>
      <c r="C843" s="0" t="inlineStr">
        <is>
          <t>Zada Women's Long Sleeve Shirt</t>
        </is>
      </c>
      <c r="D843" s="0" t="inlineStr">
        <is>
          <t>'135747</t>
        </is>
      </c>
      <c r="E843" s="0" t="inlineStr">
        <is>
          <t>UNI ZADA W BK:135747B-M</t>
        </is>
      </c>
      <c r="F843" s="0" t="inlineStr">
        <is>
          <t>'802135747054</t>
        </is>
      </c>
      <c r="G843" s="0" t="inlineStr">
        <is>
          <t>WOMENS</t>
        </is>
      </c>
      <c r="H843" s="0" t="inlineStr">
        <is>
          <t>M</t>
        </is>
      </c>
      <c r="I843" s="0">
        <v>39.99</v>
      </c>
      <c r="J843" s="0">
        <v>0</v>
      </c>
    </row>
    <row r="844" spans="1:10" customHeight="0">
      <c r="A844" s="0">
        <f>HYPERLINK("https://dl.dropboxusercontent.com/scl/fi/e1h2n7vvd4n0v7jc3xj5j/zada-135747-tn.jpg?rlkey=ndh18dtb8fpm4ku9exmf8ufqj&amp;dl=0","Click to download Image")</f>
      </c>
      <c r="B844" s="0">
        <f>HYPERLINK("https://dl.dropboxusercontent.com/scl/fi/l906u8mxazgr9gq4ce4pl/womens-t-shirt-size-chartszada.jpg?rlkey=elpucuondytw165dayavtunta&amp;dl=0","Click to download SizeChart")</f>
      </c>
      <c r="C844" s="0" t="inlineStr">
        <is>
          <t>Zada Women's Long Sleeve Shirt</t>
        </is>
      </c>
      <c r="D844" s="0" t="inlineStr">
        <is>
          <t>'135747</t>
        </is>
      </c>
      <c r="E844" s="0" t="inlineStr">
        <is>
          <t>UNI ZADA W BK:135747C-L</t>
        </is>
      </c>
      <c r="F844" s="0" t="inlineStr">
        <is>
          <t>'802135747061</t>
        </is>
      </c>
      <c r="G844" s="0" t="inlineStr">
        <is>
          <t>WOMENS</t>
        </is>
      </c>
      <c r="H844" s="0" t="inlineStr">
        <is>
          <t>L</t>
        </is>
      </c>
      <c r="I844" s="0">
        <v>39.99</v>
      </c>
      <c r="J844" s="0">
        <v>0</v>
      </c>
    </row>
    <row r="845" spans="1:10" customHeight="0">
      <c r="A845" s="0">
        <f>HYPERLINK("https://dl.dropboxusercontent.com/scl/fi/e1h2n7vvd4n0v7jc3xj5j/zada-135747-tn.jpg?rlkey=ndh18dtb8fpm4ku9exmf8ufqj&amp;dl=0","Click to download Image")</f>
      </c>
      <c r="B845" s="0">
        <f>HYPERLINK("https://dl.dropboxusercontent.com/scl/fi/l906u8mxazgr9gq4ce4pl/womens-t-shirt-size-chartszada.jpg?rlkey=elpucuondytw165dayavtunta&amp;dl=0","Click to download SizeChart")</f>
      </c>
      <c r="C845" s="0" t="inlineStr">
        <is>
          <t>Zada Women's Long Sleeve Shirt</t>
        </is>
      </c>
      <c r="D845" s="0" t="inlineStr">
        <is>
          <t>'135747</t>
        </is>
      </c>
      <c r="E845" s="0" t="inlineStr">
        <is>
          <t>UNI ZADA W BK:135747D-XL</t>
        </is>
      </c>
      <c r="F845" s="0" t="inlineStr">
        <is>
          <t>'802135747078</t>
        </is>
      </c>
      <c r="G845" s="0" t="inlineStr">
        <is>
          <t>WOMENS</t>
        </is>
      </c>
      <c r="H845" s="0" t="inlineStr">
        <is>
          <t>XL</t>
        </is>
      </c>
      <c r="I845" s="0">
        <v>39.99</v>
      </c>
      <c r="J845" s="0">
        <v>0</v>
      </c>
    </row>
    <row r="846" spans="1:10" customHeight="0">
      <c r="A846" s="0">
        <f>HYPERLINK("https://dl.dropboxusercontent.com/scl/fi/e1h2n7vvd4n0v7jc3xj5j/zada-135747-tn.jpg?rlkey=ndh18dtb8fpm4ku9exmf8ufqj&amp;dl=0","Click to download Image")</f>
      </c>
      <c r="B846" s="0">
        <f>HYPERLINK("https://dl.dropboxusercontent.com/scl/fi/l906u8mxazgr9gq4ce4pl/womens-t-shirt-size-chartszada.jpg?rlkey=elpucuondytw165dayavtunta&amp;dl=0","Click to download SizeChart")</f>
      </c>
      <c r="C846" s="0" t="inlineStr">
        <is>
          <t>Zada Women's Long Sleeve Shirt</t>
        </is>
      </c>
      <c r="D846" s="0" t="inlineStr">
        <is>
          <t>'135747</t>
        </is>
      </c>
      <c r="E846" s="0" t="inlineStr">
        <is>
          <t>UNI ZADA W BK:135747E-2XL</t>
        </is>
      </c>
      <c r="F846" s="0" t="inlineStr">
        <is>
          <t>'802135747085</t>
        </is>
      </c>
      <c r="G846" s="0" t="inlineStr">
        <is>
          <t>WOMENS</t>
        </is>
      </c>
      <c r="H846" s="0" t="inlineStr">
        <is>
          <t>2XL</t>
        </is>
      </c>
      <c r="I846" s="0">
        <v>39.99</v>
      </c>
      <c r="J846" s="0">
        <v>0</v>
      </c>
    </row>
    <row r="847" spans="1:10" customHeight="0">
      <c r="A847" s="0">
        <f>HYPERLINK("https://dl.dropboxusercontent.com/scl/fi/e1h2n7vvd4n0v7jc3xj5j/zada-135747-tn.jpg?rlkey=ndh18dtb8fpm4ku9exmf8ufqj&amp;dl=0","Click to download Image")</f>
      </c>
      <c r="B847" s="0">
        <f>HYPERLINK("https://dl.dropboxusercontent.com/scl/fi/l906u8mxazgr9gq4ce4pl/womens-t-shirt-size-chartszada.jpg?rlkey=elpucuondytw165dayavtunta&amp;dl=0","Click to download SizeChart")</f>
      </c>
      <c r="C847" s="0" t="inlineStr">
        <is>
          <t>Zada Women's Long Sleeve Shirt</t>
        </is>
      </c>
      <c r="D847" s="0" t="inlineStr">
        <is>
          <t>'135747</t>
        </is>
      </c>
      <c r="E847" s="0" t="inlineStr">
        <is>
          <t>UNI ZADA W BK:135747F-3XL</t>
        </is>
      </c>
      <c r="F847" s="0" t="inlineStr">
        <is>
          <t>'802135747092</t>
        </is>
      </c>
      <c r="G847" s="0" t="inlineStr">
        <is>
          <t>WOMENS</t>
        </is>
      </c>
      <c r="H847" s="0" t="inlineStr">
        <is>
          <t>3XL</t>
        </is>
      </c>
      <c r="I847" s="0">
        <v>39.99</v>
      </c>
      <c r="J847" s="0">
        <v>0</v>
      </c>
    </row>
    <row r="848" spans="1:10" customHeight="0">
      <c r="A848" s="0">
        <f>HYPERLINK("https://dl.dropboxusercontent.com/scl/fi/e1h2n7vvd4n0v7jc3xj5j/zada-135747-tn.jpg?rlkey=ndh18dtb8fpm4ku9exmf8ufqj&amp;dl=0","Click to download Image")</f>
      </c>
      <c r="B848" s="0">
        <f>HYPERLINK("https://dl.dropboxusercontent.com/scl/fi/l906u8mxazgr9gq4ce4pl/womens-t-shirt-size-chartszada.jpg?rlkey=elpucuondytw165dayavtunta&amp;dl=0","Click to download SizeChart")</f>
      </c>
      <c r="C848" s="0" t="inlineStr">
        <is>
          <t>Zada Women's Long Sleeve Shirt</t>
        </is>
      </c>
      <c r="D848" s="0" t="inlineStr">
        <is>
          <t>'135747</t>
        </is>
      </c>
      <c r="E848" s="0" t="inlineStr">
        <is>
          <t>UNI ZADA W BK 12PK:13574712PK</t>
        </is>
      </c>
      <c r="F848" s="0" t="inlineStr">
        <is>
          <t>'802135747993</t>
        </is>
      </c>
      <c r="G848" s="0" t="inlineStr">
        <is>
          <t>WOMENS</t>
        </is>
      </c>
      <c r="H848" s="0" t="inlineStr">
        <is>
          <t>12 PACK</t>
        </is>
      </c>
      <c r="I848" s="0">
        <v>384</v>
      </c>
      <c r="J848" s="0">
        <v>0</v>
      </c>
    </row>
    <row r="849" spans="1:10" customHeight="0">
      <c r="A849" s="0">
        <f>HYPERLINK("https://dl.dropboxusercontent.com/scl/fi/u4gqwf4mnttp3bhdgs17f/balance-134869-t.jpg?rlkey=hwp9w1l4mnofebs6ghnk8h5n0&amp;dl=0","Click to download Image")</f>
      </c>
      <c r="B849" s="0">
        <f>HYPERLINK("https://dl.dropboxusercontent.com/scl/fi/kiefmtn3u9vjx0vtqnw0o/graphic-update2022-mens.jpg?rlkey=jesw7m9pc7st63zue0yjznla4&amp;dl=0","Click to download SizeChart")</f>
      </c>
      <c r="C849" s="0" t="inlineStr">
        <is>
          <t>Balance Men's Hoodie</t>
        </is>
      </c>
      <c r="D849" s="0" t="inlineStr">
        <is>
          <t>'134869</t>
        </is>
      </c>
      <c r="E849" s="0" t="inlineStr">
        <is>
          <t>NDSU BALANC M KY:134869A-S</t>
        </is>
      </c>
      <c r="F849" s="0" t="inlineStr">
        <is>
          <t>'813134869043</t>
        </is>
      </c>
      <c r="G849" s="0" t="inlineStr">
        <is>
          <t>MENS</t>
        </is>
      </c>
      <c r="H849" s="0" t="inlineStr">
        <is>
          <t>S</t>
        </is>
      </c>
      <c r="I849" s="0">
        <v>59.99</v>
      </c>
      <c r="J849" s="0">
        <v>1</v>
      </c>
    </row>
    <row r="850" spans="1:10" customHeight="0">
      <c r="A850" s="0">
        <f>HYPERLINK("https://dl.dropboxusercontent.com/scl/fi/u4gqwf4mnttp3bhdgs17f/balance-134869-t.jpg?rlkey=hwp9w1l4mnofebs6ghnk8h5n0&amp;dl=0","Click to download Image")</f>
      </c>
      <c r="B850" s="0">
        <f>HYPERLINK("https://dl.dropboxusercontent.com/scl/fi/kiefmtn3u9vjx0vtqnw0o/graphic-update2022-mens.jpg?rlkey=jesw7m9pc7st63zue0yjznla4&amp;dl=0","Click to download SizeChart")</f>
      </c>
      <c r="C850" s="0" t="inlineStr">
        <is>
          <t>Balance Men's Hoodie</t>
        </is>
      </c>
      <c r="D850" s="0" t="inlineStr">
        <is>
          <t>'134869</t>
        </is>
      </c>
      <c r="E850" s="0" t="inlineStr">
        <is>
          <t>NDSU BALANC M KY:134869B-M</t>
        </is>
      </c>
      <c r="F850" s="0" t="inlineStr">
        <is>
          <t>'813134869050</t>
        </is>
      </c>
      <c r="G850" s="0" t="inlineStr">
        <is>
          <t>MENS</t>
        </is>
      </c>
      <c r="H850" s="0" t="inlineStr">
        <is>
          <t>M</t>
        </is>
      </c>
      <c r="I850" s="0">
        <v>59.99</v>
      </c>
      <c r="J850" s="0">
        <v>2</v>
      </c>
    </row>
    <row r="851" spans="1:10" customHeight="0">
      <c r="A851" s="0">
        <f>HYPERLINK("https://dl.dropboxusercontent.com/scl/fi/u4gqwf4mnttp3bhdgs17f/balance-134869-t.jpg?rlkey=hwp9w1l4mnofebs6ghnk8h5n0&amp;dl=0","Click to download Image")</f>
      </c>
      <c r="B851" s="0">
        <f>HYPERLINK("https://dl.dropboxusercontent.com/scl/fi/kiefmtn3u9vjx0vtqnw0o/graphic-update2022-mens.jpg?rlkey=jesw7m9pc7st63zue0yjznla4&amp;dl=0","Click to download SizeChart")</f>
      </c>
      <c r="C851" s="0" t="inlineStr">
        <is>
          <t>Balance Men's Hoodie</t>
        </is>
      </c>
      <c r="D851" s="0" t="inlineStr">
        <is>
          <t>'134869</t>
        </is>
      </c>
      <c r="E851" s="0" t="inlineStr">
        <is>
          <t>NDSU BALANC M KY:134869C-L</t>
        </is>
      </c>
      <c r="F851" s="0" t="inlineStr">
        <is>
          <t>'813134869067</t>
        </is>
      </c>
      <c r="G851" s="0" t="inlineStr">
        <is>
          <t>MENS</t>
        </is>
      </c>
      <c r="H851" s="0" t="inlineStr">
        <is>
          <t>L</t>
        </is>
      </c>
      <c r="I851" s="0">
        <v>59.99</v>
      </c>
      <c r="J851" s="0">
        <v>1</v>
      </c>
    </row>
    <row r="852" spans="1:10" customHeight="0">
      <c r="A852" s="0">
        <f>HYPERLINK("https://dl.dropboxusercontent.com/scl/fi/u4gqwf4mnttp3bhdgs17f/balance-134869-t.jpg?rlkey=hwp9w1l4mnofebs6ghnk8h5n0&amp;dl=0","Click to download Image")</f>
      </c>
      <c r="B852" s="0">
        <f>HYPERLINK("https://dl.dropboxusercontent.com/scl/fi/kiefmtn3u9vjx0vtqnw0o/graphic-update2022-mens.jpg?rlkey=jesw7m9pc7st63zue0yjznla4&amp;dl=0","Click to download SizeChart")</f>
      </c>
      <c r="C852" s="0" t="inlineStr">
        <is>
          <t>Balance Men's Hoodie</t>
        </is>
      </c>
      <c r="D852" s="0" t="inlineStr">
        <is>
          <t>'134869</t>
        </is>
      </c>
      <c r="E852" s="0" t="inlineStr">
        <is>
          <t>NDSU BALANC M KY:134869D-XL</t>
        </is>
      </c>
      <c r="F852" s="0" t="inlineStr">
        <is>
          <t>'813134869074</t>
        </is>
      </c>
      <c r="G852" s="0" t="inlineStr">
        <is>
          <t>MENS</t>
        </is>
      </c>
      <c r="H852" s="0" t="inlineStr">
        <is>
          <t>XL</t>
        </is>
      </c>
      <c r="I852" s="0">
        <v>59.99</v>
      </c>
      <c r="J852" s="0">
        <v>0</v>
      </c>
    </row>
    <row r="853" spans="1:10" customHeight="0">
      <c r="A853" s="0">
        <f>HYPERLINK("https://dl.dropboxusercontent.com/scl/fi/u4gqwf4mnttp3bhdgs17f/balance-134869-t.jpg?rlkey=hwp9w1l4mnofebs6ghnk8h5n0&amp;dl=0","Click to download Image")</f>
      </c>
      <c r="B853" s="0">
        <f>HYPERLINK("https://dl.dropboxusercontent.com/scl/fi/kiefmtn3u9vjx0vtqnw0o/graphic-update2022-mens.jpg?rlkey=jesw7m9pc7st63zue0yjznla4&amp;dl=0","Click to download SizeChart")</f>
      </c>
      <c r="C853" s="0" t="inlineStr">
        <is>
          <t>Balance Men's Hoodie</t>
        </is>
      </c>
      <c r="D853" s="0" t="inlineStr">
        <is>
          <t>'134869</t>
        </is>
      </c>
      <c r="E853" s="0" t="inlineStr">
        <is>
          <t>NDSU BALANC M KY:134869E-2XL</t>
        </is>
      </c>
      <c r="F853" s="0" t="inlineStr">
        <is>
          <t>'813134869081</t>
        </is>
      </c>
      <c r="G853" s="0" t="inlineStr">
        <is>
          <t>MENS</t>
        </is>
      </c>
      <c r="H853" s="0" t="inlineStr">
        <is>
          <t>2XL</t>
        </is>
      </c>
      <c r="I853" s="0">
        <v>59.99</v>
      </c>
      <c r="J853" s="0">
        <v>2</v>
      </c>
    </row>
    <row r="854" spans="1:10" customHeight="0">
      <c r="A854" s="0">
        <f>HYPERLINK("https://dl.dropboxusercontent.com/scl/fi/u4gqwf4mnttp3bhdgs17f/balance-134869-t.jpg?rlkey=hwp9w1l4mnofebs6ghnk8h5n0&amp;dl=0","Click to download Image")</f>
      </c>
      <c r="B854" s="0">
        <f>HYPERLINK("https://dl.dropboxusercontent.com/scl/fi/kiefmtn3u9vjx0vtqnw0o/graphic-update2022-mens.jpg?rlkey=jesw7m9pc7st63zue0yjznla4&amp;dl=0","Click to download SizeChart")</f>
      </c>
      <c r="C854" s="0" t="inlineStr">
        <is>
          <t>Balance Men's Hoodie</t>
        </is>
      </c>
      <c r="D854" s="0" t="inlineStr">
        <is>
          <t>'134869</t>
        </is>
      </c>
      <c r="E854" s="0" t="inlineStr">
        <is>
          <t>NDSU BALANC M KY:134869F-3XL</t>
        </is>
      </c>
      <c r="F854" s="0" t="inlineStr">
        <is>
          <t>'813134869098</t>
        </is>
      </c>
      <c r="G854" s="0" t="inlineStr">
        <is>
          <t>MENS</t>
        </is>
      </c>
      <c r="H854" s="0" t="inlineStr">
        <is>
          <t>3XL</t>
        </is>
      </c>
      <c r="I854" s="0">
        <v>59.99</v>
      </c>
      <c r="J854" s="0">
        <v>1</v>
      </c>
    </row>
    <row r="855" spans="1:10" customHeight="0">
      <c r="A855" s="0">
        <f>HYPERLINK("https://dl.dropboxusercontent.com/scl/fi/u4gqwf4mnttp3bhdgs17f/balance-134869-t.jpg?rlkey=hwp9w1l4mnofebs6ghnk8h5n0&amp;dl=0","Click to download Image")</f>
      </c>
      <c r="B855" s="0">
        <f>HYPERLINK("https://dl.dropboxusercontent.com/scl/fi/kiefmtn3u9vjx0vtqnw0o/graphic-update2022-mens.jpg?rlkey=jesw7m9pc7st63zue0yjznla4&amp;dl=0","Click to download SizeChart")</f>
      </c>
      <c r="C855" s="0" t="inlineStr">
        <is>
          <t>Balance Men's Hoodie</t>
        </is>
      </c>
      <c r="D855" s="0" t="inlineStr">
        <is>
          <t>'134869</t>
        </is>
      </c>
      <c r="E855" s="0" t="inlineStr">
        <is>
          <t>NDSU BALANC M KY 12PK:134869Z-12PK</t>
        </is>
      </c>
      <c r="F855" s="0" t="inlineStr">
        <is>
          <t>'813134869999</t>
        </is>
      </c>
      <c r="G855" s="0" t="inlineStr">
        <is>
          <t>MENS</t>
        </is>
      </c>
      <c r="H855" s="0" t="inlineStr">
        <is>
          <t>12 PACK</t>
        </is>
      </c>
      <c r="I855" s="0">
        <v>582</v>
      </c>
      <c r="J855" s="0">
        <v>0</v>
      </c>
    </row>
    <row r="856" spans="1:10" customHeight="0">
      <c r="A856" s="0">
        <f>HYPERLINK("https://dl.dropboxusercontent.com/scl/fi/rzbwbmw0g7426pnlv6ckq/balance-134865-t.jpg?rlkey=kixoquxa8i2cwy0irycjgbdfp&amp;dl=0","Click to download Image")</f>
      </c>
      <c r="B856" s="0">
        <f>HYPERLINK("https://dl.dropboxusercontent.com/scl/fi/kiefmtn3u9vjx0vtqnw0o/graphic-update2022-mens.jpg?rlkey=jesw7m9pc7st63zue0yjznla4&amp;dl=0","Click to download SizeChart")</f>
      </c>
      <c r="C856" s="0" t="inlineStr">
        <is>
          <t>Balance Men's Hoodie</t>
        </is>
      </c>
      <c r="D856" s="0" t="inlineStr">
        <is>
          <t>'134865</t>
        </is>
      </c>
      <c r="E856" s="0" t="inlineStr">
        <is>
          <t>UNI BALANC M PE:134865A-S</t>
        </is>
      </c>
      <c r="F856" s="0" t="inlineStr">
        <is>
          <t>'802134865049</t>
        </is>
      </c>
      <c r="G856" s="0" t="inlineStr">
        <is>
          <t>MENS</t>
        </is>
      </c>
      <c r="H856" s="0" t="inlineStr">
        <is>
          <t>S</t>
        </is>
      </c>
      <c r="I856" s="0">
        <v>59.99</v>
      </c>
      <c r="J856" s="0">
        <v>1</v>
      </c>
    </row>
    <row r="857" spans="1:10" customHeight="0">
      <c r="A857" s="0">
        <f>HYPERLINK("https://dl.dropboxusercontent.com/scl/fi/rzbwbmw0g7426pnlv6ckq/balance-134865-t.jpg?rlkey=kixoquxa8i2cwy0irycjgbdfp&amp;dl=0","Click to download Image")</f>
      </c>
      <c r="B857" s="0">
        <f>HYPERLINK("https://dl.dropboxusercontent.com/scl/fi/kiefmtn3u9vjx0vtqnw0o/graphic-update2022-mens.jpg?rlkey=jesw7m9pc7st63zue0yjznla4&amp;dl=0","Click to download SizeChart")</f>
      </c>
      <c r="C857" s="0" t="inlineStr">
        <is>
          <t>Balance Men's Hoodie</t>
        </is>
      </c>
      <c r="D857" s="0" t="inlineStr">
        <is>
          <t>'134865</t>
        </is>
      </c>
      <c r="E857" s="0" t="inlineStr">
        <is>
          <t>UNI BALANC M PE:134865B-M</t>
        </is>
      </c>
      <c r="F857" s="0" t="inlineStr">
        <is>
          <t>'802134865056</t>
        </is>
      </c>
      <c r="G857" s="0" t="inlineStr">
        <is>
          <t>MENS</t>
        </is>
      </c>
      <c r="H857" s="0" t="inlineStr">
        <is>
          <t>M</t>
        </is>
      </c>
      <c r="I857" s="0">
        <v>59.99</v>
      </c>
      <c r="J857" s="0">
        <v>2</v>
      </c>
    </row>
    <row r="858" spans="1:10" customHeight="0">
      <c r="A858" s="0">
        <f>HYPERLINK("https://dl.dropboxusercontent.com/scl/fi/rzbwbmw0g7426pnlv6ckq/balance-134865-t.jpg?rlkey=kixoquxa8i2cwy0irycjgbdfp&amp;dl=0","Click to download Image")</f>
      </c>
      <c r="B858" s="0">
        <f>HYPERLINK("https://dl.dropboxusercontent.com/scl/fi/kiefmtn3u9vjx0vtqnw0o/graphic-update2022-mens.jpg?rlkey=jesw7m9pc7st63zue0yjznla4&amp;dl=0","Click to download SizeChart")</f>
      </c>
      <c r="C858" s="0" t="inlineStr">
        <is>
          <t>Balance Men's Hoodie</t>
        </is>
      </c>
      <c r="D858" s="0" t="inlineStr">
        <is>
          <t>'134865</t>
        </is>
      </c>
      <c r="E858" s="0" t="inlineStr">
        <is>
          <t>UNI BALANC M PE:134865C-L</t>
        </is>
      </c>
      <c r="F858" s="0" t="inlineStr">
        <is>
          <t>'802134865063</t>
        </is>
      </c>
      <c r="G858" s="0" t="inlineStr">
        <is>
          <t>MENS</t>
        </is>
      </c>
      <c r="H858" s="0" t="inlineStr">
        <is>
          <t>L</t>
        </is>
      </c>
      <c r="I858" s="0">
        <v>59.99</v>
      </c>
      <c r="J858" s="0">
        <v>0</v>
      </c>
    </row>
    <row r="859" spans="1:10" customHeight="0">
      <c r="A859" s="0">
        <f>HYPERLINK("https://dl.dropboxusercontent.com/scl/fi/rzbwbmw0g7426pnlv6ckq/balance-134865-t.jpg?rlkey=kixoquxa8i2cwy0irycjgbdfp&amp;dl=0","Click to download Image")</f>
      </c>
      <c r="B859" s="0">
        <f>HYPERLINK("https://dl.dropboxusercontent.com/scl/fi/kiefmtn3u9vjx0vtqnw0o/graphic-update2022-mens.jpg?rlkey=jesw7m9pc7st63zue0yjznla4&amp;dl=0","Click to download SizeChart")</f>
      </c>
      <c r="C859" s="0" t="inlineStr">
        <is>
          <t>Balance Men's Hoodie</t>
        </is>
      </c>
      <c r="D859" s="0" t="inlineStr">
        <is>
          <t>'134865</t>
        </is>
      </c>
      <c r="E859" s="0" t="inlineStr">
        <is>
          <t>UNI BALANC M PE:134865D-XL</t>
        </is>
      </c>
      <c r="F859" s="0" t="inlineStr">
        <is>
          <t>'802134865070</t>
        </is>
      </c>
      <c r="G859" s="0" t="inlineStr">
        <is>
          <t>MENS</t>
        </is>
      </c>
      <c r="H859" s="0" t="inlineStr">
        <is>
          <t>XL</t>
        </is>
      </c>
      <c r="I859" s="0">
        <v>59.99</v>
      </c>
      <c r="J859" s="0">
        <v>0</v>
      </c>
    </row>
    <row r="860" spans="1:10" customHeight="0">
      <c r="A860" s="0">
        <f>HYPERLINK("https://dl.dropboxusercontent.com/scl/fi/rzbwbmw0g7426pnlv6ckq/balance-134865-t.jpg?rlkey=kixoquxa8i2cwy0irycjgbdfp&amp;dl=0","Click to download Image")</f>
      </c>
      <c r="B860" s="0">
        <f>HYPERLINK("https://dl.dropboxusercontent.com/scl/fi/kiefmtn3u9vjx0vtqnw0o/graphic-update2022-mens.jpg?rlkey=jesw7m9pc7st63zue0yjznla4&amp;dl=0","Click to download SizeChart")</f>
      </c>
      <c r="C860" s="0" t="inlineStr">
        <is>
          <t>Balance Men's Hoodie</t>
        </is>
      </c>
      <c r="D860" s="0" t="inlineStr">
        <is>
          <t>'134865</t>
        </is>
      </c>
      <c r="E860" s="0" t="inlineStr">
        <is>
          <t>UNI BALANC M PE:134865E-2XL</t>
        </is>
      </c>
      <c r="F860" s="0" t="inlineStr">
        <is>
          <t>'802134865087</t>
        </is>
      </c>
      <c r="G860" s="0" t="inlineStr">
        <is>
          <t>MENS</t>
        </is>
      </c>
      <c r="H860" s="0" t="inlineStr">
        <is>
          <t>2XL</t>
        </is>
      </c>
      <c r="I860" s="0">
        <v>59.99</v>
      </c>
      <c r="J860" s="0">
        <v>0</v>
      </c>
    </row>
    <row r="861" spans="1:10" customHeight="0">
      <c r="A861" s="0">
        <f>HYPERLINK("https://dl.dropboxusercontent.com/scl/fi/rzbwbmw0g7426pnlv6ckq/balance-134865-t.jpg?rlkey=kixoquxa8i2cwy0irycjgbdfp&amp;dl=0","Click to download Image")</f>
      </c>
      <c r="B861" s="0">
        <f>HYPERLINK("https://dl.dropboxusercontent.com/scl/fi/kiefmtn3u9vjx0vtqnw0o/graphic-update2022-mens.jpg?rlkey=jesw7m9pc7st63zue0yjznla4&amp;dl=0","Click to download SizeChart")</f>
      </c>
      <c r="C861" s="0" t="inlineStr">
        <is>
          <t>Balance Men's Hoodie</t>
        </is>
      </c>
      <c r="D861" s="0" t="inlineStr">
        <is>
          <t>'134865</t>
        </is>
      </c>
      <c r="E861" s="0" t="inlineStr">
        <is>
          <t>UNI BALANC M PE:134865F-3XL</t>
        </is>
      </c>
      <c r="F861" s="0" t="inlineStr">
        <is>
          <t>'802134865094</t>
        </is>
      </c>
      <c r="G861" s="0" t="inlineStr">
        <is>
          <t>MENS</t>
        </is>
      </c>
      <c r="H861" s="0" t="inlineStr">
        <is>
          <t>3XL</t>
        </is>
      </c>
      <c r="I861" s="0">
        <v>59.99</v>
      </c>
      <c r="J861" s="0">
        <v>0</v>
      </c>
    </row>
    <row r="862" spans="1:10" customHeight="0">
      <c r="A862" s="0">
        <f>HYPERLINK("https://dl.dropboxusercontent.com/scl/fi/rzbwbmw0g7426pnlv6ckq/balance-134865-t.jpg?rlkey=kixoquxa8i2cwy0irycjgbdfp&amp;dl=0","Click to download Image")</f>
      </c>
      <c r="B862" s="0">
        <f>HYPERLINK("https://dl.dropboxusercontent.com/scl/fi/kiefmtn3u9vjx0vtqnw0o/graphic-update2022-mens.jpg?rlkey=jesw7m9pc7st63zue0yjznla4&amp;dl=0","Click to download SizeChart")</f>
      </c>
      <c r="C862" s="0" t="inlineStr">
        <is>
          <t>Balance Men's Hoodie</t>
        </is>
      </c>
      <c r="D862" s="0" t="inlineStr">
        <is>
          <t>'134865</t>
        </is>
      </c>
      <c r="E862" s="0" t="inlineStr">
        <is>
          <t>UNI BALANC M PE 12PK:134865Z-12PK</t>
        </is>
      </c>
      <c r="F862" s="0" t="inlineStr">
        <is>
          <t>'802134865995</t>
        </is>
      </c>
      <c r="G862" s="0" t="inlineStr">
        <is>
          <t>MENS</t>
        </is>
      </c>
      <c r="H862" s="0" t="inlineStr">
        <is>
          <t>12 PACK</t>
        </is>
      </c>
      <c r="I862" s="0">
        <v>582</v>
      </c>
      <c r="J862" s="0">
        <v>0</v>
      </c>
    </row>
    <row r="863" spans="1:10" customHeight="0">
      <c r="A863" s="0">
        <f>HYPERLINK("https://dl.dropboxusercontent.com/scl/fi/9l3paq9qv7azdmex8bw6p/mountain-135159-tn.jpg?rlkey=04h7d16hmr1rk276r0hrnu3i4&amp;dl=0","Click to download Image")</f>
      </c>
      <c r="B863" s="0">
        <f>HYPERLINK("https://dl.dropboxusercontent.com/scl/fi/p9nc0wmpop3m1m1zwh517/mens-pullover-size-chartsblaise.jpg?rlkey=gnonmnnpokj07kpgwlfobtnw6&amp;dl=0","Click to download SizeChart")</f>
      </c>
      <c r="C863" s="0" t="inlineStr">
        <is>
          <t>Mountain Men's Pullover</t>
        </is>
      </c>
      <c r="D863" s="0" t="inlineStr">
        <is>
          <t>'135159</t>
        </is>
      </c>
      <c r="E863" s="0" t="inlineStr">
        <is>
          <t>PUR MOUNTA M LG:135159A-S</t>
        </is>
      </c>
      <c r="F863" s="0" t="inlineStr">
        <is>
          <t>'804135159042</t>
        </is>
      </c>
      <c r="G863" s="0" t="inlineStr">
        <is>
          <t>MENS</t>
        </is>
      </c>
      <c r="H863" s="0" t="inlineStr">
        <is>
          <t>S</t>
        </is>
      </c>
      <c r="I863" s="0">
        <v>54.99</v>
      </c>
      <c r="J863" s="0">
        <v>0</v>
      </c>
    </row>
    <row r="864" spans="1:10" customHeight="0">
      <c r="A864" s="0">
        <f>HYPERLINK("https://dl.dropboxusercontent.com/scl/fi/9l3paq9qv7azdmex8bw6p/mountain-135159-tn.jpg?rlkey=04h7d16hmr1rk276r0hrnu3i4&amp;dl=0","Click to download Image")</f>
      </c>
      <c r="B864" s="0">
        <f>HYPERLINK("https://dl.dropboxusercontent.com/scl/fi/p9nc0wmpop3m1m1zwh517/mens-pullover-size-chartsblaise.jpg?rlkey=gnonmnnpokj07kpgwlfobtnw6&amp;dl=0","Click to download SizeChart")</f>
      </c>
      <c r="C864" s="0" t="inlineStr">
        <is>
          <t>Mountain Men's Pullover</t>
        </is>
      </c>
      <c r="D864" s="0" t="inlineStr">
        <is>
          <t>'135159</t>
        </is>
      </c>
      <c r="E864" s="0" t="inlineStr">
        <is>
          <t>PUR MOUNTA M LG:135159B-M</t>
        </is>
      </c>
      <c r="F864" s="0" t="inlineStr">
        <is>
          <t>'804135159059</t>
        </is>
      </c>
      <c r="G864" s="0" t="inlineStr">
        <is>
          <t>MENS</t>
        </is>
      </c>
      <c r="H864" s="0" t="inlineStr">
        <is>
          <t>M</t>
        </is>
      </c>
      <c r="I864" s="0">
        <v>54.99</v>
      </c>
      <c r="J864" s="0">
        <v>0</v>
      </c>
    </row>
    <row r="865" spans="1:10" customHeight="0">
      <c r="A865" s="0">
        <f>HYPERLINK("https://dl.dropboxusercontent.com/scl/fi/9l3paq9qv7azdmex8bw6p/mountain-135159-tn.jpg?rlkey=04h7d16hmr1rk276r0hrnu3i4&amp;dl=0","Click to download Image")</f>
      </c>
      <c r="B865" s="0">
        <f>HYPERLINK("https://dl.dropboxusercontent.com/scl/fi/p9nc0wmpop3m1m1zwh517/mens-pullover-size-chartsblaise.jpg?rlkey=gnonmnnpokj07kpgwlfobtnw6&amp;dl=0","Click to download SizeChart")</f>
      </c>
      <c r="C865" s="0" t="inlineStr">
        <is>
          <t>Mountain Men's Pullover</t>
        </is>
      </c>
      <c r="D865" s="0" t="inlineStr">
        <is>
          <t>'135159</t>
        </is>
      </c>
      <c r="E865" s="0" t="inlineStr">
        <is>
          <t>PUR MOUNTA M LG:135159C-L</t>
        </is>
      </c>
      <c r="F865" s="0" t="inlineStr">
        <is>
          <t>'804135159066</t>
        </is>
      </c>
      <c r="G865" s="0" t="inlineStr">
        <is>
          <t>MENS</t>
        </is>
      </c>
      <c r="H865" s="0" t="inlineStr">
        <is>
          <t>L</t>
        </is>
      </c>
      <c r="I865" s="0">
        <v>54.99</v>
      </c>
      <c r="J865" s="0">
        <v>1</v>
      </c>
    </row>
    <row r="866" spans="1:10" customHeight="0">
      <c r="A866" s="0">
        <f>HYPERLINK("https://dl.dropboxusercontent.com/scl/fi/9l3paq9qv7azdmex8bw6p/mountain-135159-tn.jpg?rlkey=04h7d16hmr1rk276r0hrnu3i4&amp;dl=0","Click to download Image")</f>
      </c>
      <c r="B866" s="0">
        <f>HYPERLINK("https://dl.dropboxusercontent.com/scl/fi/p9nc0wmpop3m1m1zwh517/mens-pullover-size-chartsblaise.jpg?rlkey=gnonmnnpokj07kpgwlfobtnw6&amp;dl=0","Click to download SizeChart")</f>
      </c>
      <c r="C866" s="0" t="inlineStr">
        <is>
          <t>Mountain Men's Pullover</t>
        </is>
      </c>
      <c r="D866" s="0" t="inlineStr">
        <is>
          <t>'135159</t>
        </is>
      </c>
      <c r="E866" s="0" t="inlineStr">
        <is>
          <t>PUR MOUNTA M LG:135159D-XL</t>
        </is>
      </c>
      <c r="F866" s="0" t="inlineStr">
        <is>
          <t>'804135159073</t>
        </is>
      </c>
      <c r="G866" s="0" t="inlineStr">
        <is>
          <t>MENS</t>
        </is>
      </c>
      <c r="H866" s="0" t="inlineStr">
        <is>
          <t>XL</t>
        </is>
      </c>
      <c r="I866" s="0">
        <v>54.99</v>
      </c>
      <c r="J866" s="0">
        <v>1</v>
      </c>
    </row>
    <row r="867" spans="1:10" customHeight="0">
      <c r="A867" s="0">
        <f>HYPERLINK("https://dl.dropboxusercontent.com/scl/fi/9l3paq9qv7azdmex8bw6p/mountain-135159-tn.jpg?rlkey=04h7d16hmr1rk276r0hrnu3i4&amp;dl=0","Click to download Image")</f>
      </c>
      <c r="B867" s="0">
        <f>HYPERLINK("https://dl.dropboxusercontent.com/scl/fi/p9nc0wmpop3m1m1zwh517/mens-pullover-size-chartsblaise.jpg?rlkey=gnonmnnpokj07kpgwlfobtnw6&amp;dl=0","Click to download SizeChart")</f>
      </c>
      <c r="C867" s="0" t="inlineStr">
        <is>
          <t>Mountain Men's Pullover</t>
        </is>
      </c>
      <c r="D867" s="0" t="inlineStr">
        <is>
          <t>'135159</t>
        </is>
      </c>
      <c r="E867" s="0" t="inlineStr">
        <is>
          <t>PUR MOUNTA M LG:135159E-2XL</t>
        </is>
      </c>
      <c r="F867" s="0" t="inlineStr">
        <is>
          <t>'804135159080</t>
        </is>
      </c>
      <c r="G867" s="0" t="inlineStr">
        <is>
          <t>MENS</t>
        </is>
      </c>
      <c r="H867" s="0" t="inlineStr">
        <is>
          <t>2XL</t>
        </is>
      </c>
      <c r="I867" s="0">
        <v>54.99</v>
      </c>
      <c r="J867" s="0">
        <v>1</v>
      </c>
    </row>
    <row r="868" spans="1:10" customHeight="0">
      <c r="A868" s="0">
        <f>HYPERLINK("https://dl.dropboxusercontent.com/scl/fi/9l3paq9qv7azdmex8bw6p/mountain-135159-tn.jpg?rlkey=04h7d16hmr1rk276r0hrnu3i4&amp;dl=0","Click to download Image")</f>
      </c>
      <c r="B868" s="0">
        <f>HYPERLINK("https://dl.dropboxusercontent.com/scl/fi/p9nc0wmpop3m1m1zwh517/mens-pullover-size-chartsblaise.jpg?rlkey=gnonmnnpokj07kpgwlfobtnw6&amp;dl=0","Click to download SizeChart")</f>
      </c>
      <c r="C868" s="0" t="inlineStr">
        <is>
          <t>Mountain Men's Pullover</t>
        </is>
      </c>
      <c r="D868" s="0" t="inlineStr">
        <is>
          <t>'135159</t>
        </is>
      </c>
      <c r="E868" s="0" t="inlineStr">
        <is>
          <t>PUR MOUNTA M LG:135159F-3XL</t>
        </is>
      </c>
      <c r="F868" s="0" t="inlineStr">
        <is>
          <t>'804135159097</t>
        </is>
      </c>
      <c r="G868" s="0" t="inlineStr">
        <is>
          <t>MENS</t>
        </is>
      </c>
      <c r="H868" s="0" t="inlineStr">
        <is>
          <t>3XL</t>
        </is>
      </c>
      <c r="I868" s="0">
        <v>54.99</v>
      </c>
      <c r="J868" s="0">
        <v>0</v>
      </c>
    </row>
    <row r="869" spans="1:10" customHeight="0">
      <c r="A869" s="0">
        <f>HYPERLINK("https://dl.dropboxusercontent.com/scl/fi/9l3paq9qv7azdmex8bw6p/mountain-135159-tn.jpg?rlkey=04h7d16hmr1rk276r0hrnu3i4&amp;dl=0","Click to download Image")</f>
      </c>
      <c r="B869" s="0">
        <f>HYPERLINK("https://dl.dropboxusercontent.com/scl/fi/p9nc0wmpop3m1m1zwh517/mens-pullover-size-chartsblaise.jpg?rlkey=gnonmnnpokj07kpgwlfobtnw6&amp;dl=0","Click to download SizeChart")</f>
      </c>
      <c r="C869" s="0" t="inlineStr">
        <is>
          <t>Mountain Men's Pullover</t>
        </is>
      </c>
      <c r="D869" s="0" t="inlineStr">
        <is>
          <t>'135159</t>
        </is>
      </c>
      <c r="E869" s="0" t="inlineStr">
        <is>
          <t>PUR MOUNTA M LG 12PK:13515912PK</t>
        </is>
      </c>
      <c r="F869" s="0" t="inlineStr">
        <is>
          <t>'804135159998</t>
        </is>
      </c>
      <c r="G869" s="0" t="inlineStr">
        <is>
          <t>MENS</t>
        </is>
      </c>
      <c r="H869" s="0" t="inlineStr">
        <is>
          <t>12 PACK</t>
        </is>
      </c>
      <c r="I869" s="0">
        <v>534</v>
      </c>
      <c r="J869" s="0">
        <v>0</v>
      </c>
    </row>
    <row r="870" spans="1:10" customHeight="0">
      <c r="A870" s="0">
        <f>HYPERLINK("https://dl.dropboxusercontent.com/scl/fi/9pafsyx6nnmjnrhtwbb6g/mountain-135158-tn.jpg?rlkey=dpyg50nymmb1ouiim3f5w53sz&amp;dl=0","Click to download Image")</f>
      </c>
      <c r="B870" s="0">
        <f>HYPERLINK("https://dl.dropboxusercontent.com/scl/fi/p9nc0wmpop3m1m1zwh517/mens-pullover-size-chartsblaise.jpg?rlkey=gnonmnnpokj07kpgwlfobtnw6&amp;dl=0","Click to download SizeChart")</f>
      </c>
      <c r="C870" s="0" t="inlineStr">
        <is>
          <t>Mountain Men's Pullover</t>
        </is>
      </c>
      <c r="D870" s="0" t="inlineStr">
        <is>
          <t>'135158</t>
        </is>
      </c>
      <c r="E870" s="0" t="inlineStr">
        <is>
          <t>IND MOUNTA M LG:135158A-S</t>
        </is>
      </c>
      <c r="F870" s="0" t="inlineStr">
        <is>
          <t>'806135158049</t>
        </is>
      </c>
      <c r="G870" s="0" t="inlineStr">
        <is>
          <t>MENS</t>
        </is>
      </c>
      <c r="H870" s="0" t="inlineStr">
        <is>
          <t>S</t>
        </is>
      </c>
      <c r="I870" s="0">
        <v>54.99</v>
      </c>
      <c r="J870" s="0">
        <v>0</v>
      </c>
    </row>
    <row r="871" spans="1:10" customHeight="0">
      <c r="A871" s="0">
        <f>HYPERLINK("https://dl.dropboxusercontent.com/scl/fi/9pafsyx6nnmjnrhtwbb6g/mountain-135158-tn.jpg?rlkey=dpyg50nymmb1ouiim3f5w53sz&amp;dl=0","Click to download Image")</f>
      </c>
      <c r="B871" s="0">
        <f>HYPERLINK("https://dl.dropboxusercontent.com/scl/fi/p9nc0wmpop3m1m1zwh517/mens-pullover-size-chartsblaise.jpg?rlkey=gnonmnnpokj07kpgwlfobtnw6&amp;dl=0","Click to download SizeChart")</f>
      </c>
      <c r="C871" s="0" t="inlineStr">
        <is>
          <t>Mountain Men's Pullover</t>
        </is>
      </c>
      <c r="D871" s="0" t="inlineStr">
        <is>
          <t>'135158</t>
        </is>
      </c>
      <c r="E871" s="0" t="inlineStr">
        <is>
          <t>IND MOUNTA M LG:135158B-M</t>
        </is>
      </c>
      <c r="F871" s="0" t="inlineStr">
        <is>
          <t>'806135158056</t>
        </is>
      </c>
      <c r="G871" s="0" t="inlineStr">
        <is>
          <t>MENS</t>
        </is>
      </c>
      <c r="H871" s="0" t="inlineStr">
        <is>
          <t>M</t>
        </is>
      </c>
      <c r="I871" s="0">
        <v>54.99</v>
      </c>
      <c r="J871" s="0">
        <v>0</v>
      </c>
    </row>
    <row r="872" spans="1:10" customHeight="0">
      <c r="A872" s="0">
        <f>HYPERLINK("https://dl.dropboxusercontent.com/scl/fi/9pafsyx6nnmjnrhtwbb6g/mountain-135158-tn.jpg?rlkey=dpyg50nymmb1ouiim3f5w53sz&amp;dl=0","Click to download Image")</f>
      </c>
      <c r="B872" s="0">
        <f>HYPERLINK("https://dl.dropboxusercontent.com/scl/fi/p9nc0wmpop3m1m1zwh517/mens-pullover-size-chartsblaise.jpg?rlkey=gnonmnnpokj07kpgwlfobtnw6&amp;dl=0","Click to download SizeChart")</f>
      </c>
      <c r="C872" s="0" t="inlineStr">
        <is>
          <t>Mountain Men's Pullover</t>
        </is>
      </c>
      <c r="D872" s="0" t="inlineStr">
        <is>
          <t>'135158</t>
        </is>
      </c>
      <c r="E872" s="0" t="inlineStr">
        <is>
          <t>IND MOUNTA M LG:135158C-L</t>
        </is>
      </c>
      <c r="F872" s="0" t="inlineStr">
        <is>
          <t>'806135158063</t>
        </is>
      </c>
      <c r="G872" s="0" t="inlineStr">
        <is>
          <t>MENS</t>
        </is>
      </c>
      <c r="H872" s="0" t="inlineStr">
        <is>
          <t>L</t>
        </is>
      </c>
      <c r="I872" s="0">
        <v>54.99</v>
      </c>
      <c r="J872" s="0">
        <v>0</v>
      </c>
    </row>
    <row r="873" spans="1:10" customHeight="0">
      <c r="A873" s="0">
        <f>HYPERLINK("https://dl.dropboxusercontent.com/scl/fi/9pafsyx6nnmjnrhtwbb6g/mountain-135158-tn.jpg?rlkey=dpyg50nymmb1ouiim3f5w53sz&amp;dl=0","Click to download Image")</f>
      </c>
      <c r="B873" s="0">
        <f>HYPERLINK("https://dl.dropboxusercontent.com/scl/fi/p9nc0wmpop3m1m1zwh517/mens-pullover-size-chartsblaise.jpg?rlkey=gnonmnnpokj07kpgwlfobtnw6&amp;dl=0","Click to download SizeChart")</f>
      </c>
      <c r="C873" s="0" t="inlineStr">
        <is>
          <t>Mountain Men's Pullover</t>
        </is>
      </c>
      <c r="D873" s="0" t="inlineStr">
        <is>
          <t>'135158</t>
        </is>
      </c>
      <c r="E873" s="0" t="inlineStr">
        <is>
          <t>IND MOUNTA M LG:135158D-XL</t>
        </is>
      </c>
      <c r="F873" s="0" t="inlineStr">
        <is>
          <t>'806135158070</t>
        </is>
      </c>
      <c r="G873" s="0" t="inlineStr">
        <is>
          <t>MENS</t>
        </is>
      </c>
      <c r="H873" s="0" t="inlineStr">
        <is>
          <t>XL</t>
        </is>
      </c>
      <c r="I873" s="0">
        <v>54.99</v>
      </c>
      <c r="J873" s="0">
        <v>1</v>
      </c>
    </row>
    <row r="874" spans="1:10" customHeight="0">
      <c r="A874" s="0">
        <f>HYPERLINK("https://dl.dropboxusercontent.com/scl/fi/9pafsyx6nnmjnrhtwbb6g/mountain-135158-tn.jpg?rlkey=dpyg50nymmb1ouiim3f5w53sz&amp;dl=0","Click to download Image")</f>
      </c>
      <c r="B874" s="0">
        <f>HYPERLINK("https://dl.dropboxusercontent.com/scl/fi/p9nc0wmpop3m1m1zwh517/mens-pullover-size-chartsblaise.jpg?rlkey=gnonmnnpokj07kpgwlfobtnw6&amp;dl=0","Click to download SizeChart")</f>
      </c>
      <c r="C874" s="0" t="inlineStr">
        <is>
          <t>Mountain Men's Pullover</t>
        </is>
      </c>
      <c r="D874" s="0" t="inlineStr">
        <is>
          <t>'135158</t>
        </is>
      </c>
      <c r="E874" s="0" t="inlineStr">
        <is>
          <t>IND MOUNTA M LG:135158E-2XL</t>
        </is>
      </c>
      <c r="F874" s="0" t="inlineStr">
        <is>
          <t>'806135158087</t>
        </is>
      </c>
      <c r="G874" s="0" t="inlineStr">
        <is>
          <t>MENS</t>
        </is>
      </c>
      <c r="H874" s="0" t="inlineStr">
        <is>
          <t>2XL</t>
        </is>
      </c>
      <c r="I874" s="0">
        <v>54.99</v>
      </c>
      <c r="J874" s="0">
        <v>2</v>
      </c>
    </row>
    <row r="875" spans="1:10" customHeight="0">
      <c r="A875" s="0">
        <f>HYPERLINK("https://dl.dropboxusercontent.com/scl/fi/9pafsyx6nnmjnrhtwbb6g/mountain-135158-tn.jpg?rlkey=dpyg50nymmb1ouiim3f5w53sz&amp;dl=0","Click to download Image")</f>
      </c>
      <c r="B875" s="0">
        <f>HYPERLINK("https://dl.dropboxusercontent.com/scl/fi/p9nc0wmpop3m1m1zwh517/mens-pullover-size-chartsblaise.jpg?rlkey=gnonmnnpokj07kpgwlfobtnw6&amp;dl=0","Click to download SizeChart")</f>
      </c>
      <c r="C875" s="0" t="inlineStr">
        <is>
          <t>Mountain Men's Pullover</t>
        </is>
      </c>
      <c r="D875" s="0" t="inlineStr">
        <is>
          <t>'135158</t>
        </is>
      </c>
      <c r="E875" s="0" t="inlineStr">
        <is>
          <t>IND MOUNTA M LG:135158F-3XL</t>
        </is>
      </c>
      <c r="F875" s="0" t="inlineStr">
        <is>
          <t>'806135158094</t>
        </is>
      </c>
      <c r="G875" s="0" t="inlineStr">
        <is>
          <t>MENS</t>
        </is>
      </c>
      <c r="H875" s="0" t="inlineStr">
        <is>
          <t>3XL</t>
        </is>
      </c>
      <c r="I875" s="0">
        <v>54.99</v>
      </c>
      <c r="J875" s="0">
        <v>1</v>
      </c>
    </row>
    <row r="876" spans="1:10" customHeight="0">
      <c r="A876" s="0">
        <f>HYPERLINK("https://dl.dropboxusercontent.com/scl/fi/9pafsyx6nnmjnrhtwbb6g/mountain-135158-tn.jpg?rlkey=dpyg50nymmb1ouiim3f5w53sz&amp;dl=0","Click to download Image")</f>
      </c>
      <c r="B876" s="0">
        <f>HYPERLINK("https://dl.dropboxusercontent.com/scl/fi/p9nc0wmpop3m1m1zwh517/mens-pullover-size-chartsblaise.jpg?rlkey=gnonmnnpokj07kpgwlfobtnw6&amp;dl=0","Click to download SizeChart")</f>
      </c>
      <c r="C876" s="0" t="inlineStr">
        <is>
          <t>Mountain Men's Pullover</t>
        </is>
      </c>
      <c r="D876" s="0" t="inlineStr">
        <is>
          <t>'135158</t>
        </is>
      </c>
      <c r="E876" s="0" t="inlineStr">
        <is>
          <t>IND MOUNTA M LG 12PK:13515812PK</t>
        </is>
      </c>
      <c r="F876" s="0" t="inlineStr">
        <is>
          <t>'806135158995</t>
        </is>
      </c>
      <c r="G876" s="0" t="inlineStr">
        <is>
          <t>MENS</t>
        </is>
      </c>
      <c r="H876" s="0" t="inlineStr">
        <is>
          <t>12 PACK</t>
        </is>
      </c>
      <c r="I876" s="0">
        <v>534</v>
      </c>
      <c r="J876" s="0">
        <v>0</v>
      </c>
    </row>
    <row r="877" spans="1:10" customHeight="0">
      <c r="A877" s="0">
        <f>HYPERLINK("https://dl.dropboxusercontent.com/scl/fi/fxh44citxhtdpx9exv4ur/court-134019-tn.jpg?rlkey=ggy3ik89dzn4510fv351zpf3m&amp;dl=0","Click to download Image")</f>
      </c>
      <c r="B877" s="0">
        <f>HYPERLINK("https://dl.dropboxusercontent.com/scl/fi/b0fkc7cfm8zn8guv1le7o/graphic-update2022-mens.jpg?rlkey=tk1g781vxtavng90uz9k9krtg&amp;dl=0","Click to download SizeChart")</f>
      </c>
      <c r="C877" s="0" t="inlineStr">
        <is>
          <t>Court Men's Pullover</t>
        </is>
      </c>
      <c r="D877" s="0" t="inlineStr">
        <is>
          <t>'134019</t>
        </is>
      </c>
      <c r="E877" s="0" t="inlineStr">
        <is>
          <t>NDSU COURT M GN:134019A-S</t>
        </is>
      </c>
      <c r="F877" s="0" t="inlineStr">
        <is>
          <t>'813134019042</t>
        </is>
      </c>
      <c r="G877" s="0" t="inlineStr">
        <is>
          <t>MENS</t>
        </is>
      </c>
      <c r="H877" s="0" t="inlineStr">
        <is>
          <t>S</t>
        </is>
      </c>
      <c r="I877" s="0">
        <v>54.99</v>
      </c>
      <c r="J877" s="0">
        <v>2</v>
      </c>
    </row>
    <row r="878" spans="1:10" customHeight="0">
      <c r="A878" s="0">
        <f>HYPERLINK("https://dl.dropboxusercontent.com/scl/fi/fxh44citxhtdpx9exv4ur/court-134019-tn.jpg?rlkey=ggy3ik89dzn4510fv351zpf3m&amp;dl=0","Click to download Image")</f>
      </c>
      <c r="B878" s="0">
        <f>HYPERLINK("https://dl.dropboxusercontent.com/scl/fi/b0fkc7cfm8zn8guv1le7o/graphic-update2022-mens.jpg?rlkey=tk1g781vxtavng90uz9k9krtg&amp;dl=0","Click to download SizeChart")</f>
      </c>
      <c r="C878" s="0" t="inlineStr">
        <is>
          <t>Court Men's Pullover</t>
        </is>
      </c>
      <c r="D878" s="0" t="inlineStr">
        <is>
          <t>'134019</t>
        </is>
      </c>
      <c r="E878" s="0" t="inlineStr">
        <is>
          <t>NDSU COURT M GN:134019B-M</t>
        </is>
      </c>
      <c r="F878" s="0" t="inlineStr">
        <is>
          <t>'813134019059</t>
        </is>
      </c>
      <c r="G878" s="0" t="inlineStr">
        <is>
          <t>MENS</t>
        </is>
      </c>
      <c r="H878" s="0" t="inlineStr">
        <is>
          <t>M</t>
        </is>
      </c>
      <c r="I878" s="0">
        <v>54.99</v>
      </c>
      <c r="J878" s="0">
        <v>3</v>
      </c>
    </row>
    <row r="879" spans="1:10" customHeight="0">
      <c r="A879" s="0">
        <f>HYPERLINK("https://dl.dropboxusercontent.com/scl/fi/fxh44citxhtdpx9exv4ur/court-134019-tn.jpg?rlkey=ggy3ik89dzn4510fv351zpf3m&amp;dl=0","Click to download Image")</f>
      </c>
      <c r="B879" s="0">
        <f>HYPERLINK("https://dl.dropboxusercontent.com/scl/fi/b0fkc7cfm8zn8guv1le7o/graphic-update2022-mens.jpg?rlkey=tk1g781vxtavng90uz9k9krtg&amp;dl=0","Click to download SizeChart")</f>
      </c>
      <c r="C879" s="0" t="inlineStr">
        <is>
          <t>Court Men's Pullover</t>
        </is>
      </c>
      <c r="D879" s="0" t="inlineStr">
        <is>
          <t>'134019</t>
        </is>
      </c>
      <c r="E879" s="0" t="inlineStr">
        <is>
          <t>NDSU COURT M GN:134019C-L</t>
        </is>
      </c>
      <c r="F879" s="0" t="inlineStr">
        <is>
          <t>'813134019066</t>
        </is>
      </c>
      <c r="G879" s="0" t="inlineStr">
        <is>
          <t>MENS</t>
        </is>
      </c>
      <c r="H879" s="0" t="inlineStr">
        <is>
          <t>L</t>
        </is>
      </c>
      <c r="I879" s="0">
        <v>54.99</v>
      </c>
      <c r="J879" s="0">
        <v>0</v>
      </c>
    </row>
    <row r="880" spans="1:10" customHeight="0">
      <c r="A880" s="0">
        <f>HYPERLINK("https://dl.dropboxusercontent.com/scl/fi/fxh44citxhtdpx9exv4ur/court-134019-tn.jpg?rlkey=ggy3ik89dzn4510fv351zpf3m&amp;dl=0","Click to download Image")</f>
      </c>
      <c r="B880" s="0">
        <f>HYPERLINK("https://dl.dropboxusercontent.com/scl/fi/b0fkc7cfm8zn8guv1le7o/graphic-update2022-mens.jpg?rlkey=tk1g781vxtavng90uz9k9krtg&amp;dl=0","Click to download SizeChart")</f>
      </c>
      <c r="C880" s="0" t="inlineStr">
        <is>
          <t>Court Men's Pullover</t>
        </is>
      </c>
      <c r="D880" s="0" t="inlineStr">
        <is>
          <t>'134019</t>
        </is>
      </c>
      <c r="E880" s="0" t="inlineStr">
        <is>
          <t>NDSU COURT M GN:134019D-XL</t>
        </is>
      </c>
      <c r="F880" s="0" t="inlineStr">
        <is>
          <t>'813134019073</t>
        </is>
      </c>
      <c r="G880" s="0" t="inlineStr">
        <is>
          <t>MENS</t>
        </is>
      </c>
      <c r="H880" s="0" t="inlineStr">
        <is>
          <t>XL</t>
        </is>
      </c>
      <c r="I880" s="0">
        <v>54.99</v>
      </c>
      <c r="J880" s="0">
        <v>1</v>
      </c>
    </row>
    <row r="881" spans="1:10" customHeight="0">
      <c r="A881" s="0">
        <f>HYPERLINK("https://dl.dropboxusercontent.com/scl/fi/fxh44citxhtdpx9exv4ur/court-134019-tn.jpg?rlkey=ggy3ik89dzn4510fv351zpf3m&amp;dl=0","Click to download Image")</f>
      </c>
      <c r="B881" s="0">
        <f>HYPERLINK("https://dl.dropboxusercontent.com/scl/fi/b0fkc7cfm8zn8guv1le7o/graphic-update2022-mens.jpg?rlkey=tk1g781vxtavng90uz9k9krtg&amp;dl=0","Click to download SizeChart")</f>
      </c>
      <c r="C881" s="0" t="inlineStr">
        <is>
          <t>Court Men's Pullover</t>
        </is>
      </c>
      <c r="D881" s="0" t="inlineStr">
        <is>
          <t>'134019</t>
        </is>
      </c>
      <c r="E881" s="0" t="inlineStr">
        <is>
          <t>NDSU COURT M GN:134019E-2XL</t>
        </is>
      </c>
      <c r="F881" s="0" t="inlineStr">
        <is>
          <t>'813134019080</t>
        </is>
      </c>
      <c r="G881" s="0" t="inlineStr">
        <is>
          <t>MENS</t>
        </is>
      </c>
      <c r="H881" s="0" t="inlineStr">
        <is>
          <t>2XL</t>
        </is>
      </c>
      <c r="I881" s="0">
        <v>54.99</v>
      </c>
      <c r="J881" s="0">
        <v>0</v>
      </c>
    </row>
    <row r="882" spans="1:10" customHeight="0">
      <c r="A882" s="0">
        <f>HYPERLINK("https://dl.dropboxusercontent.com/scl/fi/fxh44citxhtdpx9exv4ur/court-134019-tn.jpg?rlkey=ggy3ik89dzn4510fv351zpf3m&amp;dl=0","Click to download Image")</f>
      </c>
      <c r="B882" s="0">
        <f>HYPERLINK("https://dl.dropboxusercontent.com/scl/fi/b0fkc7cfm8zn8guv1le7o/graphic-update2022-mens.jpg?rlkey=tk1g781vxtavng90uz9k9krtg&amp;dl=0","Click to download SizeChart")</f>
      </c>
      <c r="C882" s="0" t="inlineStr">
        <is>
          <t>Court Men's Pullover</t>
        </is>
      </c>
      <c r="D882" s="0" t="inlineStr">
        <is>
          <t>'134019</t>
        </is>
      </c>
      <c r="E882" s="0" t="inlineStr">
        <is>
          <t>NDSU COURT M GN:134019F-3XL</t>
        </is>
      </c>
      <c r="F882" s="0" t="inlineStr">
        <is>
          <t>'813134019097</t>
        </is>
      </c>
      <c r="G882" s="0" t="inlineStr">
        <is>
          <t>MENS</t>
        </is>
      </c>
      <c r="H882" s="0" t="inlineStr">
        <is>
          <t>3XL</t>
        </is>
      </c>
      <c r="I882" s="0">
        <v>54.99</v>
      </c>
      <c r="J882" s="0">
        <v>1</v>
      </c>
    </row>
    <row r="883" spans="1:10" customHeight="0">
      <c r="A883" s="0">
        <f>HYPERLINK("https://dl.dropboxusercontent.com/scl/fi/fxh44citxhtdpx9exv4ur/court-134019-tn.jpg?rlkey=ggy3ik89dzn4510fv351zpf3m&amp;dl=0","Click to download Image")</f>
      </c>
      <c r="B883" s="0">
        <f>HYPERLINK("https://dl.dropboxusercontent.com/scl/fi/b0fkc7cfm8zn8guv1le7o/graphic-update2022-mens.jpg?rlkey=tk1g781vxtavng90uz9k9krtg&amp;dl=0","Click to download SizeChart")</f>
      </c>
      <c r="C883" s="0" t="inlineStr">
        <is>
          <t>Court Men's Pullover</t>
        </is>
      </c>
      <c r="D883" s="0" t="inlineStr">
        <is>
          <t>'134019</t>
        </is>
      </c>
      <c r="E883" s="0" t="inlineStr">
        <is>
          <t>NDSU COURT M GN 12PK:134019Z-12PK</t>
        </is>
      </c>
      <c r="F883" s="0" t="inlineStr">
        <is>
          <t>'813134019998</t>
        </is>
      </c>
      <c r="G883" s="0" t="inlineStr">
        <is>
          <t>MENS</t>
        </is>
      </c>
      <c r="H883" s="0" t="inlineStr">
        <is>
          <t>12 PACK</t>
        </is>
      </c>
      <c r="I883" s="0">
        <v>534</v>
      </c>
      <c r="J883" s="0">
        <v>0</v>
      </c>
    </row>
    <row r="884" spans="1:10" customHeight="0">
      <c r="A884" s="0">
        <f>HYPERLINK("https://dl.dropboxusercontent.com/scl/fi/cf0q38z2i9b2ixdsyu7ru/court-134016-tn.jpg?rlkey=gz70nkn8xm1fngjf35lgjc4ff&amp;dl=0","Click to download Image")</f>
      </c>
      <c r="B884" s="0">
        <f>HYPERLINK("https://dl.dropboxusercontent.com/scl/fi/b0fkc7cfm8zn8guv1le7o/graphic-update2022-mens.jpg?rlkey=tk1g781vxtavng90uz9k9krtg&amp;dl=0","Click to download SizeChart")</f>
      </c>
      <c r="C884" s="0" t="inlineStr">
        <is>
          <t>Court Men's Pullover</t>
        </is>
      </c>
      <c r="D884" s="0" t="inlineStr">
        <is>
          <t>'134016</t>
        </is>
      </c>
      <c r="E884" s="0" t="inlineStr">
        <is>
          <t>UNI COURT M PE:134016A-S</t>
        </is>
      </c>
      <c r="F884" s="0" t="inlineStr">
        <is>
          <t>'802134016045</t>
        </is>
      </c>
      <c r="G884" s="0" t="inlineStr">
        <is>
          <t>MENS</t>
        </is>
      </c>
      <c r="H884" s="0" t="inlineStr">
        <is>
          <t>S</t>
        </is>
      </c>
      <c r="I884" s="0">
        <v>54.99</v>
      </c>
      <c r="J884" s="0">
        <v>2</v>
      </c>
    </row>
    <row r="885" spans="1:10" customHeight="0">
      <c r="A885" s="0">
        <f>HYPERLINK("https://dl.dropboxusercontent.com/scl/fi/cf0q38z2i9b2ixdsyu7ru/court-134016-tn.jpg?rlkey=gz70nkn8xm1fngjf35lgjc4ff&amp;dl=0","Click to download Image")</f>
      </c>
      <c r="B885" s="0">
        <f>HYPERLINK("https://dl.dropboxusercontent.com/scl/fi/b0fkc7cfm8zn8guv1le7o/graphic-update2022-mens.jpg?rlkey=tk1g781vxtavng90uz9k9krtg&amp;dl=0","Click to download SizeChart")</f>
      </c>
      <c r="C885" s="0" t="inlineStr">
        <is>
          <t>Court Men's Pullover</t>
        </is>
      </c>
      <c r="D885" s="0" t="inlineStr">
        <is>
          <t>'134016</t>
        </is>
      </c>
      <c r="E885" s="0" t="inlineStr">
        <is>
          <t>UNI COURT M PE:134016B-M</t>
        </is>
      </c>
      <c r="F885" s="0" t="inlineStr">
        <is>
          <t>'802134016052</t>
        </is>
      </c>
      <c r="G885" s="0" t="inlineStr">
        <is>
          <t>MENS</t>
        </is>
      </c>
      <c r="H885" s="0" t="inlineStr">
        <is>
          <t>M</t>
        </is>
      </c>
      <c r="I885" s="0">
        <v>54.99</v>
      </c>
      <c r="J885" s="0">
        <v>0</v>
      </c>
    </row>
    <row r="886" spans="1:10" customHeight="0">
      <c r="A886" s="0">
        <f>HYPERLINK("https://dl.dropboxusercontent.com/scl/fi/cf0q38z2i9b2ixdsyu7ru/court-134016-tn.jpg?rlkey=gz70nkn8xm1fngjf35lgjc4ff&amp;dl=0","Click to download Image")</f>
      </c>
      <c r="B886" s="0">
        <f>HYPERLINK("https://dl.dropboxusercontent.com/scl/fi/b0fkc7cfm8zn8guv1le7o/graphic-update2022-mens.jpg?rlkey=tk1g781vxtavng90uz9k9krtg&amp;dl=0","Click to download SizeChart")</f>
      </c>
      <c r="C886" s="0" t="inlineStr">
        <is>
          <t>Court Men's Pullover</t>
        </is>
      </c>
      <c r="D886" s="0" t="inlineStr">
        <is>
          <t>'134016</t>
        </is>
      </c>
      <c r="E886" s="0" t="inlineStr">
        <is>
          <t>UNI COURT M PE:134016C-L</t>
        </is>
      </c>
      <c r="F886" s="0" t="inlineStr">
        <is>
          <t>'802134016069</t>
        </is>
      </c>
      <c r="G886" s="0" t="inlineStr">
        <is>
          <t>MENS</t>
        </is>
      </c>
      <c r="H886" s="0" t="inlineStr">
        <is>
          <t>L</t>
        </is>
      </c>
      <c r="I886" s="0">
        <v>54.99</v>
      </c>
      <c r="J886" s="0">
        <v>0</v>
      </c>
    </row>
    <row r="887" spans="1:10" customHeight="0">
      <c r="A887" s="0">
        <f>HYPERLINK("https://dl.dropboxusercontent.com/scl/fi/cf0q38z2i9b2ixdsyu7ru/court-134016-tn.jpg?rlkey=gz70nkn8xm1fngjf35lgjc4ff&amp;dl=0","Click to download Image")</f>
      </c>
      <c r="B887" s="0">
        <f>HYPERLINK("https://dl.dropboxusercontent.com/scl/fi/b0fkc7cfm8zn8guv1le7o/graphic-update2022-mens.jpg?rlkey=tk1g781vxtavng90uz9k9krtg&amp;dl=0","Click to download SizeChart")</f>
      </c>
      <c r="C887" s="0" t="inlineStr">
        <is>
          <t>Court Men's Pullover</t>
        </is>
      </c>
      <c r="D887" s="0" t="inlineStr">
        <is>
          <t>'134016</t>
        </is>
      </c>
      <c r="E887" s="0" t="inlineStr">
        <is>
          <t>UNI COURT M PE:134016D-XL</t>
        </is>
      </c>
      <c r="F887" s="0" t="inlineStr">
        <is>
          <t>'802134016076</t>
        </is>
      </c>
      <c r="G887" s="0" t="inlineStr">
        <is>
          <t>MENS</t>
        </is>
      </c>
      <c r="H887" s="0" t="inlineStr">
        <is>
          <t>XL</t>
        </is>
      </c>
      <c r="I887" s="0">
        <v>54.99</v>
      </c>
      <c r="J887" s="0">
        <v>0</v>
      </c>
    </row>
    <row r="888" spans="1:10" customHeight="0">
      <c r="A888" s="0">
        <f>HYPERLINK("https://dl.dropboxusercontent.com/scl/fi/cf0q38z2i9b2ixdsyu7ru/court-134016-tn.jpg?rlkey=gz70nkn8xm1fngjf35lgjc4ff&amp;dl=0","Click to download Image")</f>
      </c>
      <c r="B888" s="0">
        <f>HYPERLINK("https://dl.dropboxusercontent.com/scl/fi/b0fkc7cfm8zn8guv1le7o/graphic-update2022-mens.jpg?rlkey=tk1g781vxtavng90uz9k9krtg&amp;dl=0","Click to download SizeChart")</f>
      </c>
      <c r="C888" s="0" t="inlineStr">
        <is>
          <t>Court Men's Pullover</t>
        </is>
      </c>
      <c r="D888" s="0" t="inlineStr">
        <is>
          <t>'134016</t>
        </is>
      </c>
      <c r="E888" s="0" t="inlineStr">
        <is>
          <t>UNI COURT M PE:134016E-2XL</t>
        </is>
      </c>
      <c r="F888" s="0" t="inlineStr">
        <is>
          <t>'802134016083</t>
        </is>
      </c>
      <c r="G888" s="0" t="inlineStr">
        <is>
          <t>MENS</t>
        </is>
      </c>
      <c r="H888" s="0" t="inlineStr">
        <is>
          <t>2XL</t>
        </is>
      </c>
      <c r="I888" s="0">
        <v>54.99</v>
      </c>
      <c r="J888" s="0">
        <v>1</v>
      </c>
    </row>
    <row r="889" spans="1:10" customHeight="0">
      <c r="A889" s="0">
        <f>HYPERLINK("https://dl.dropboxusercontent.com/scl/fi/cf0q38z2i9b2ixdsyu7ru/court-134016-tn.jpg?rlkey=gz70nkn8xm1fngjf35lgjc4ff&amp;dl=0","Click to download Image")</f>
      </c>
      <c r="B889" s="0">
        <f>HYPERLINK("https://dl.dropboxusercontent.com/scl/fi/b0fkc7cfm8zn8guv1le7o/graphic-update2022-mens.jpg?rlkey=tk1g781vxtavng90uz9k9krtg&amp;dl=0","Click to download SizeChart")</f>
      </c>
      <c r="C889" s="0" t="inlineStr">
        <is>
          <t>Court Men's Pullover</t>
        </is>
      </c>
      <c r="D889" s="0" t="inlineStr">
        <is>
          <t>'134016</t>
        </is>
      </c>
      <c r="E889" s="0" t="inlineStr">
        <is>
          <t>UNI COURT M PE:134016F-3XL</t>
        </is>
      </c>
      <c r="F889" s="0" t="inlineStr">
        <is>
          <t>'802134016090</t>
        </is>
      </c>
      <c r="G889" s="0" t="inlineStr">
        <is>
          <t>MENS</t>
        </is>
      </c>
      <c r="H889" s="0" t="inlineStr">
        <is>
          <t>3XL</t>
        </is>
      </c>
      <c r="I889" s="0">
        <v>54.99</v>
      </c>
      <c r="J889" s="0">
        <v>0</v>
      </c>
    </row>
    <row r="890" spans="1:10" customHeight="0">
      <c r="A890" s="0">
        <f>HYPERLINK("https://dl.dropboxusercontent.com/scl/fi/cf0q38z2i9b2ixdsyu7ru/court-134016-tn.jpg?rlkey=gz70nkn8xm1fngjf35lgjc4ff&amp;dl=0","Click to download Image")</f>
      </c>
      <c r="B890" s="0">
        <f>HYPERLINK("https://dl.dropboxusercontent.com/scl/fi/b0fkc7cfm8zn8guv1le7o/graphic-update2022-mens.jpg?rlkey=tk1g781vxtavng90uz9k9krtg&amp;dl=0","Click to download SizeChart")</f>
      </c>
      <c r="C890" s="0" t="inlineStr">
        <is>
          <t>Court Men's Pullover</t>
        </is>
      </c>
      <c r="D890" s="0" t="inlineStr">
        <is>
          <t>'134016</t>
        </is>
      </c>
      <c r="E890" s="0" t="inlineStr">
        <is>
          <t>UNI COURT M PE 12PK:134016Z-12PK</t>
        </is>
      </c>
      <c r="F890" s="0" t="inlineStr">
        <is>
          <t>'802134016991</t>
        </is>
      </c>
      <c r="G890" s="0" t="inlineStr">
        <is>
          <t>MENS</t>
        </is>
      </c>
      <c r="H890" s="0" t="inlineStr">
        <is>
          <t>12 PACK</t>
        </is>
      </c>
      <c r="I890" s="0">
        <v>534</v>
      </c>
      <c r="J890" s="0">
        <v>0</v>
      </c>
    </row>
    <row r="891" spans="1:10" customHeight="0">
      <c r="A891" s="0">
        <f>HYPERLINK("https://dl.dropboxusercontent.com/scl/fi/gmg2knntzj2073n6ei482/fleet-134007-tn.jpg?rlkey=mkslupl91yu2akev6h8xiwndx&amp;dl=0","Click to download Image")</f>
      </c>
      <c r="B891" s="0">
        <f>HYPERLINK("https://dl.dropboxusercontent.com/scl/fi/e52buay7c8a353vzv088a/mens-polo-size-chartsfleet.jpg?rlkey=sscvpayk1r8nlbhpvrs1fpzw7&amp;dl=0","Click to download SizeChart")</f>
      </c>
      <c r="C891" s="0" t="inlineStr">
        <is>
          <t>Fleet Men's Polo</t>
        </is>
      </c>
      <c r="D891" s="0" t="inlineStr">
        <is>
          <t>'134007</t>
        </is>
      </c>
      <c r="E891" s="0" t="inlineStr">
        <is>
          <t>UNI FLEET M GY:134007A-S</t>
        </is>
      </c>
      <c r="F891" s="0" t="inlineStr">
        <is>
          <t>'802134007043</t>
        </is>
      </c>
      <c r="G891" s="0" t="inlineStr">
        <is>
          <t>MENS</t>
        </is>
      </c>
      <c r="H891" s="0" t="inlineStr">
        <is>
          <t>S</t>
        </is>
      </c>
      <c r="I891" s="0">
        <v>49.99</v>
      </c>
      <c r="J891" s="0">
        <v>1</v>
      </c>
    </row>
    <row r="892" spans="1:10" customHeight="0">
      <c r="A892" s="0">
        <f>HYPERLINK("https://dl.dropboxusercontent.com/scl/fi/gmg2knntzj2073n6ei482/fleet-134007-tn.jpg?rlkey=mkslupl91yu2akev6h8xiwndx&amp;dl=0","Click to download Image")</f>
      </c>
      <c r="B892" s="0">
        <f>HYPERLINK("https://dl.dropboxusercontent.com/scl/fi/e52buay7c8a353vzv088a/mens-polo-size-chartsfleet.jpg?rlkey=sscvpayk1r8nlbhpvrs1fpzw7&amp;dl=0","Click to download SizeChart")</f>
      </c>
      <c r="C892" s="0" t="inlineStr">
        <is>
          <t>Fleet Men's Polo</t>
        </is>
      </c>
      <c r="D892" s="0" t="inlineStr">
        <is>
          <t>'134007</t>
        </is>
      </c>
      <c r="E892" s="0" t="inlineStr">
        <is>
          <t>UNI FLEET M GY:134007B-M</t>
        </is>
      </c>
      <c r="F892" s="0" t="inlineStr">
        <is>
          <t>'802134007050</t>
        </is>
      </c>
      <c r="G892" s="0" t="inlineStr">
        <is>
          <t>MENS</t>
        </is>
      </c>
      <c r="H892" s="0" t="inlineStr">
        <is>
          <t>M</t>
        </is>
      </c>
      <c r="I892" s="0">
        <v>49.99</v>
      </c>
      <c r="J892" s="0">
        <v>1</v>
      </c>
    </row>
    <row r="893" spans="1:10" customHeight="0">
      <c r="A893" s="0">
        <f>HYPERLINK("https://dl.dropboxusercontent.com/scl/fi/gmg2knntzj2073n6ei482/fleet-134007-tn.jpg?rlkey=mkslupl91yu2akev6h8xiwndx&amp;dl=0","Click to download Image")</f>
      </c>
      <c r="B893" s="0">
        <f>HYPERLINK("https://dl.dropboxusercontent.com/scl/fi/e52buay7c8a353vzv088a/mens-polo-size-chartsfleet.jpg?rlkey=sscvpayk1r8nlbhpvrs1fpzw7&amp;dl=0","Click to download SizeChart")</f>
      </c>
      <c r="C893" s="0" t="inlineStr">
        <is>
          <t>Fleet Men's Polo</t>
        </is>
      </c>
      <c r="D893" s="0" t="inlineStr">
        <is>
          <t>'134007</t>
        </is>
      </c>
      <c r="E893" s="0" t="inlineStr">
        <is>
          <t>UNI FLEET M GY:134007C-L</t>
        </is>
      </c>
      <c r="F893" s="0" t="inlineStr">
        <is>
          <t>'802134007067</t>
        </is>
      </c>
      <c r="G893" s="0" t="inlineStr">
        <is>
          <t>MENS</t>
        </is>
      </c>
      <c r="H893" s="0" t="inlineStr">
        <is>
          <t>L</t>
        </is>
      </c>
      <c r="I893" s="0">
        <v>49.99</v>
      </c>
      <c r="J893" s="0">
        <v>0</v>
      </c>
    </row>
    <row r="894" spans="1:10" customHeight="0">
      <c r="A894" s="0">
        <f>HYPERLINK("https://dl.dropboxusercontent.com/scl/fi/gmg2knntzj2073n6ei482/fleet-134007-tn.jpg?rlkey=mkslupl91yu2akev6h8xiwndx&amp;dl=0","Click to download Image")</f>
      </c>
      <c r="B894" s="0">
        <f>HYPERLINK("https://dl.dropboxusercontent.com/scl/fi/e52buay7c8a353vzv088a/mens-polo-size-chartsfleet.jpg?rlkey=sscvpayk1r8nlbhpvrs1fpzw7&amp;dl=0","Click to download SizeChart")</f>
      </c>
      <c r="C894" s="0" t="inlineStr">
        <is>
          <t>Fleet Men's Polo</t>
        </is>
      </c>
      <c r="D894" s="0" t="inlineStr">
        <is>
          <t>'134007</t>
        </is>
      </c>
      <c r="E894" s="0" t="inlineStr">
        <is>
          <t>UNI FLEET M GY:134007D-XL</t>
        </is>
      </c>
      <c r="F894" s="0" t="inlineStr">
        <is>
          <t>'802134007074</t>
        </is>
      </c>
      <c r="G894" s="0" t="inlineStr">
        <is>
          <t>MENS</t>
        </is>
      </c>
      <c r="H894" s="0" t="inlineStr">
        <is>
          <t>XL</t>
        </is>
      </c>
      <c r="I894" s="0">
        <v>49.99</v>
      </c>
      <c r="J894" s="0">
        <v>0</v>
      </c>
    </row>
    <row r="895" spans="1:10" customHeight="0">
      <c r="A895" s="0">
        <f>HYPERLINK("https://dl.dropboxusercontent.com/scl/fi/gmg2knntzj2073n6ei482/fleet-134007-tn.jpg?rlkey=mkslupl91yu2akev6h8xiwndx&amp;dl=0","Click to download Image")</f>
      </c>
      <c r="B895" s="0">
        <f>HYPERLINK("https://dl.dropboxusercontent.com/scl/fi/e52buay7c8a353vzv088a/mens-polo-size-chartsfleet.jpg?rlkey=sscvpayk1r8nlbhpvrs1fpzw7&amp;dl=0","Click to download SizeChart")</f>
      </c>
      <c r="C895" s="0" t="inlineStr">
        <is>
          <t>Fleet Men's Polo</t>
        </is>
      </c>
      <c r="D895" s="0" t="inlineStr">
        <is>
          <t>'134007</t>
        </is>
      </c>
      <c r="E895" s="0" t="inlineStr">
        <is>
          <t>UNI FLEET M GY:134007E-2XL</t>
        </is>
      </c>
      <c r="F895" s="0" t="inlineStr">
        <is>
          <t>'802134007081</t>
        </is>
      </c>
      <c r="G895" s="0" t="inlineStr">
        <is>
          <t>MENS</t>
        </is>
      </c>
      <c r="H895" s="0" t="inlineStr">
        <is>
          <t>2XL</t>
        </is>
      </c>
      <c r="I895" s="0">
        <v>51.99</v>
      </c>
      <c r="J895" s="0">
        <v>0</v>
      </c>
    </row>
    <row r="896" spans="1:10" customHeight="0">
      <c r="A896" s="0">
        <f>HYPERLINK("https://dl.dropboxusercontent.com/scl/fi/gmg2knntzj2073n6ei482/fleet-134007-tn.jpg?rlkey=mkslupl91yu2akev6h8xiwndx&amp;dl=0","Click to download Image")</f>
      </c>
      <c r="B896" s="0">
        <f>HYPERLINK("https://dl.dropboxusercontent.com/scl/fi/e52buay7c8a353vzv088a/mens-polo-size-chartsfleet.jpg?rlkey=sscvpayk1r8nlbhpvrs1fpzw7&amp;dl=0","Click to download SizeChart")</f>
      </c>
      <c r="C896" s="0" t="inlineStr">
        <is>
          <t>Fleet Men's Polo</t>
        </is>
      </c>
      <c r="D896" s="0" t="inlineStr">
        <is>
          <t>'134007</t>
        </is>
      </c>
      <c r="E896" s="0" t="inlineStr">
        <is>
          <t>UNI FLEET M GY:134007F-3XL</t>
        </is>
      </c>
      <c r="F896" s="0" t="inlineStr">
        <is>
          <t>'802134007098</t>
        </is>
      </c>
      <c r="G896" s="0" t="inlineStr">
        <is>
          <t>MENS</t>
        </is>
      </c>
      <c r="H896" s="0" t="inlineStr">
        <is>
          <t>3XL</t>
        </is>
      </c>
      <c r="I896" s="0">
        <v>51.99</v>
      </c>
      <c r="J896" s="0">
        <v>0</v>
      </c>
    </row>
    <row r="897" spans="1:10" customHeight="0">
      <c r="A897" s="0">
        <f>HYPERLINK("https://dl.dropboxusercontent.com/scl/fi/gmg2knntzj2073n6ei482/fleet-134007-tn.jpg?rlkey=mkslupl91yu2akev6h8xiwndx&amp;dl=0","Click to download Image")</f>
      </c>
      <c r="B897" s="0">
        <f>HYPERLINK("https://dl.dropboxusercontent.com/scl/fi/e52buay7c8a353vzv088a/mens-polo-size-chartsfleet.jpg?rlkey=sscvpayk1r8nlbhpvrs1fpzw7&amp;dl=0","Click to download SizeChart")</f>
      </c>
      <c r="C897" s="0" t="inlineStr">
        <is>
          <t>Fleet Men's Polo</t>
        </is>
      </c>
      <c r="D897" s="0" t="inlineStr">
        <is>
          <t>'134007</t>
        </is>
      </c>
      <c r="E897" s="0" t="inlineStr">
        <is>
          <t>UNI FLEET M GY 12PK:134007Z-12PK</t>
        </is>
      </c>
      <c r="F897" s="0" t="inlineStr">
        <is>
          <t>'802134007999</t>
        </is>
      </c>
      <c r="G897" s="0" t="inlineStr">
        <is>
          <t>MENS</t>
        </is>
      </c>
      <c r="H897" s="0" t="inlineStr">
        <is>
          <t>12 PACK</t>
        </is>
      </c>
      <c r="I897" s="0">
        <v>480</v>
      </c>
      <c r="J897" s="0">
        <v>0</v>
      </c>
    </row>
    <row r="898" spans="1:10" customHeight="0">
      <c r="A898" s="0">
        <f>HYPERLINK("https://dl.dropboxusercontent.com/scl/fi/pmbk3kwzl6lh714pkim1e/slate-134267-tn.jpg?rlkey=dqnueu9eg9kyoqftooispzabj&amp;dl=0","Click to download Image")</f>
      </c>
      <c r="B898" s="0">
        <f>HYPERLINK("https://dl.dropboxusercontent.com/scl/fi/14n8irnced14mmb2mnzh9/mens-t-shirt-size-chartsslate-ls.jpg?rlkey=uauepaksu2fwlqtpf1bmizxnz&amp;dl=0","Click to download SizeChart")</f>
      </c>
      <c r="C898" s="0" t="inlineStr">
        <is>
          <t>Slate Men's Long Sleeve Shirt</t>
        </is>
      </c>
      <c r="D898" s="0" t="inlineStr">
        <is>
          <t>'134267</t>
        </is>
      </c>
      <c r="E898" s="0" t="inlineStr">
        <is>
          <t>IOWA SLATE M BK:134267A-S</t>
        </is>
      </c>
      <c r="F898" s="0" t="inlineStr">
        <is>
          <t>'800134267047</t>
        </is>
      </c>
      <c r="G898" s="0" t="inlineStr">
        <is>
          <t>MENS</t>
        </is>
      </c>
      <c r="H898" s="0" t="inlineStr">
        <is>
          <t>S</t>
        </is>
      </c>
      <c r="I898" s="0">
        <v>32.99</v>
      </c>
      <c r="J898" s="0">
        <v>0</v>
      </c>
    </row>
    <row r="899" spans="1:10" customHeight="0">
      <c r="A899" s="0">
        <f>HYPERLINK("https://dl.dropboxusercontent.com/scl/fi/pmbk3kwzl6lh714pkim1e/slate-134267-tn.jpg?rlkey=dqnueu9eg9kyoqftooispzabj&amp;dl=0","Click to download Image")</f>
      </c>
      <c r="B899" s="0">
        <f>HYPERLINK("https://dl.dropboxusercontent.com/scl/fi/14n8irnced14mmb2mnzh9/mens-t-shirt-size-chartsslate-ls.jpg?rlkey=uauepaksu2fwlqtpf1bmizxnz&amp;dl=0","Click to download SizeChart")</f>
      </c>
      <c r="C899" s="0" t="inlineStr">
        <is>
          <t>Slate Men's Long Sleeve Shirt</t>
        </is>
      </c>
      <c r="D899" s="0" t="inlineStr">
        <is>
          <t>'134267</t>
        </is>
      </c>
      <c r="E899" s="0" t="inlineStr">
        <is>
          <t>IOWA SLATE M BK:134267B-M</t>
        </is>
      </c>
      <c r="F899" s="0" t="inlineStr">
        <is>
          <t>'800134267054</t>
        </is>
      </c>
      <c r="G899" s="0" t="inlineStr">
        <is>
          <t>MENS</t>
        </is>
      </c>
      <c r="H899" s="0" t="inlineStr">
        <is>
          <t>M</t>
        </is>
      </c>
      <c r="I899" s="0">
        <v>32.99</v>
      </c>
      <c r="J899" s="0">
        <v>11</v>
      </c>
    </row>
    <row r="900" spans="1:10" customHeight="0">
      <c r="A900" s="0">
        <f>HYPERLINK("https://dl.dropboxusercontent.com/scl/fi/pmbk3kwzl6lh714pkim1e/slate-134267-tn.jpg?rlkey=dqnueu9eg9kyoqftooispzabj&amp;dl=0","Click to download Image")</f>
      </c>
      <c r="B900" s="0">
        <f>HYPERLINK("https://dl.dropboxusercontent.com/scl/fi/14n8irnced14mmb2mnzh9/mens-t-shirt-size-chartsslate-ls.jpg?rlkey=uauepaksu2fwlqtpf1bmizxnz&amp;dl=0","Click to download SizeChart")</f>
      </c>
      <c r="C900" s="0" t="inlineStr">
        <is>
          <t>Slate Men's Long Sleeve Shirt</t>
        </is>
      </c>
      <c r="D900" s="0" t="inlineStr">
        <is>
          <t>'134267</t>
        </is>
      </c>
      <c r="E900" s="0" t="inlineStr">
        <is>
          <t>IOWA SLATE M BK:134267C-L</t>
        </is>
      </c>
      <c r="F900" s="0" t="inlineStr">
        <is>
          <t>'800134267061</t>
        </is>
      </c>
      <c r="G900" s="0" t="inlineStr">
        <is>
          <t>MENS</t>
        </is>
      </c>
      <c r="H900" s="0" t="inlineStr">
        <is>
          <t>L</t>
        </is>
      </c>
      <c r="I900" s="0">
        <v>32.99</v>
      </c>
      <c r="J900" s="0">
        <v>10</v>
      </c>
    </row>
    <row r="901" spans="1:10" customHeight="0">
      <c r="A901" s="0">
        <f>HYPERLINK("https://dl.dropboxusercontent.com/scl/fi/pmbk3kwzl6lh714pkim1e/slate-134267-tn.jpg?rlkey=dqnueu9eg9kyoqftooispzabj&amp;dl=0","Click to download Image")</f>
      </c>
      <c r="B901" s="0">
        <f>HYPERLINK("https://dl.dropboxusercontent.com/scl/fi/14n8irnced14mmb2mnzh9/mens-t-shirt-size-chartsslate-ls.jpg?rlkey=uauepaksu2fwlqtpf1bmizxnz&amp;dl=0","Click to download SizeChart")</f>
      </c>
      <c r="C901" s="0" t="inlineStr">
        <is>
          <t>Slate Men's Long Sleeve Shirt</t>
        </is>
      </c>
      <c r="D901" s="0" t="inlineStr">
        <is>
          <t>'134267</t>
        </is>
      </c>
      <c r="E901" s="0" t="inlineStr">
        <is>
          <t>IOWA SLATE M BK:134267D-XL</t>
        </is>
      </c>
      <c r="F901" s="0" t="inlineStr">
        <is>
          <t>'800134267078</t>
        </is>
      </c>
      <c r="G901" s="0" t="inlineStr">
        <is>
          <t>MENS</t>
        </is>
      </c>
      <c r="H901" s="0" t="inlineStr">
        <is>
          <t>XL</t>
        </is>
      </c>
      <c r="I901" s="0">
        <v>32.99</v>
      </c>
      <c r="J901" s="0">
        <v>13</v>
      </c>
    </row>
    <row r="902" spans="1:10" customHeight="0">
      <c r="A902" s="0">
        <f>HYPERLINK("https://dl.dropboxusercontent.com/scl/fi/pmbk3kwzl6lh714pkim1e/slate-134267-tn.jpg?rlkey=dqnueu9eg9kyoqftooispzabj&amp;dl=0","Click to download Image")</f>
      </c>
      <c r="B902" s="0">
        <f>HYPERLINK("https://dl.dropboxusercontent.com/scl/fi/14n8irnced14mmb2mnzh9/mens-t-shirt-size-chartsslate-ls.jpg?rlkey=uauepaksu2fwlqtpf1bmizxnz&amp;dl=0","Click to download SizeChart")</f>
      </c>
      <c r="C902" s="0" t="inlineStr">
        <is>
          <t>Slate Men's Long Sleeve Shirt</t>
        </is>
      </c>
      <c r="D902" s="0" t="inlineStr">
        <is>
          <t>'134267</t>
        </is>
      </c>
      <c r="E902" s="0" t="inlineStr">
        <is>
          <t>IOWA SLATE M BK:134267E-2XL</t>
        </is>
      </c>
      <c r="F902" s="0" t="inlineStr">
        <is>
          <t>'800134267085</t>
        </is>
      </c>
      <c r="G902" s="0" t="inlineStr">
        <is>
          <t>MENS</t>
        </is>
      </c>
      <c r="H902" s="0" t="inlineStr">
        <is>
          <t>2XL</t>
        </is>
      </c>
      <c r="I902" s="0">
        <v>32.99</v>
      </c>
      <c r="J902" s="0">
        <v>10</v>
      </c>
    </row>
    <row r="903" spans="1:10" customHeight="0">
      <c r="A903" s="0">
        <f>HYPERLINK("https://dl.dropboxusercontent.com/scl/fi/pmbk3kwzl6lh714pkim1e/slate-134267-tn.jpg?rlkey=dqnueu9eg9kyoqftooispzabj&amp;dl=0","Click to download Image")</f>
      </c>
      <c r="B903" s="0">
        <f>HYPERLINK("https://dl.dropboxusercontent.com/scl/fi/14n8irnced14mmb2mnzh9/mens-t-shirt-size-chartsslate-ls.jpg?rlkey=uauepaksu2fwlqtpf1bmizxnz&amp;dl=0","Click to download SizeChart")</f>
      </c>
      <c r="C903" s="0" t="inlineStr">
        <is>
          <t>Slate Men's Long Sleeve Shirt</t>
        </is>
      </c>
      <c r="D903" s="0" t="inlineStr">
        <is>
          <t>'134267</t>
        </is>
      </c>
      <c r="E903" s="0" t="inlineStr">
        <is>
          <t>IOWA SLATE M BK:134267F-3XL</t>
        </is>
      </c>
      <c r="F903" s="0" t="inlineStr">
        <is>
          <t>'800134267092</t>
        </is>
      </c>
      <c r="G903" s="0" t="inlineStr">
        <is>
          <t>MENS</t>
        </is>
      </c>
      <c r="H903" s="0" t="inlineStr">
        <is>
          <t>3XL</t>
        </is>
      </c>
      <c r="I903" s="0">
        <v>32.99</v>
      </c>
      <c r="J903" s="0">
        <v>8</v>
      </c>
    </row>
    <row r="904" spans="1:10" customHeight="0">
      <c r="A904" s="0">
        <f>HYPERLINK("https://dl.dropboxusercontent.com/scl/fi/pmbk3kwzl6lh714pkim1e/slate-134267-tn.jpg?rlkey=dqnueu9eg9kyoqftooispzabj&amp;dl=0","Click to download Image")</f>
      </c>
      <c r="B904" s="0">
        <f>HYPERLINK("https://dl.dropboxusercontent.com/scl/fi/14n8irnced14mmb2mnzh9/mens-t-shirt-size-chartsslate-ls.jpg?rlkey=uauepaksu2fwlqtpf1bmizxnz&amp;dl=0","Click to download SizeChart")</f>
      </c>
      <c r="C904" s="0" t="inlineStr">
        <is>
          <t>Slate Men's Long Sleeve Shirt</t>
        </is>
      </c>
      <c r="D904" s="0" t="inlineStr">
        <is>
          <t>'134267</t>
        </is>
      </c>
      <c r="E904" s="0" t="inlineStr">
        <is>
          <t>IOWA SLATE M BK:134267Z-12PK</t>
        </is>
      </c>
      <c r="F904" s="0" t="inlineStr">
        <is>
          <t>'800134267993</t>
        </is>
      </c>
      <c r="G904" s="0" t="inlineStr">
        <is>
          <t>MENS</t>
        </is>
      </c>
      <c r="H904" s="0" t="inlineStr">
        <is>
          <t>12 PACK</t>
        </is>
      </c>
      <c r="I904" s="0">
        <v>322.8</v>
      </c>
      <c r="J904" s="0">
        <v>1</v>
      </c>
    </row>
    <row r="905" spans="1:10" customHeight="0">
      <c r="A905" s="0">
        <f>HYPERLINK("https://dl.dropboxusercontent.com/scl/fi/icnorsp27dyw4whutg059/dribble-135214-tn.jpg?rlkey=evx97dz2cf7oa21ucj9qwv0l3&amp;dl=0","Click to download Image")</f>
      </c>
      <c r="B905" s="0">
        <f>HYPERLINK("https://dl.dropboxusercontent.com/scl/fi/11rcdx6izjrdjrwweznoy/graphic-update2022-youth.jpg?rlkey=oj5lke3lv6pqnjna44q313b9s&amp;dl=0","Click to download SizeChart")</f>
      </c>
      <c r="C905" s="0" t="inlineStr">
        <is>
          <t>Dribble Youth Hoodie</t>
        </is>
      </c>
      <c r="D905" s="0" t="inlineStr">
        <is>
          <t>'Y13521</t>
        </is>
      </c>
      <c r="E905" s="0" t="inlineStr">
        <is>
          <t>NDSU DRIBBL Y GY:Y13521B-YS</t>
        </is>
      </c>
      <c r="F905" s="0" t="inlineStr">
        <is>
          <t>'813135214019</t>
        </is>
      </c>
      <c r="G905" s="0" t="inlineStr">
        <is>
          <t>YOUTH</t>
        </is>
      </c>
      <c r="H905" s="0" t="inlineStr">
        <is>
          <t>YS</t>
        </is>
      </c>
      <c r="I905" s="0">
        <v>54.99</v>
      </c>
      <c r="J905" s="0">
        <v>1</v>
      </c>
    </row>
    <row r="906" spans="1:10" customHeight="0">
      <c r="A906" s="0">
        <f>HYPERLINK("https://dl.dropboxusercontent.com/scl/fi/icnorsp27dyw4whutg059/dribble-135214-tn.jpg?rlkey=evx97dz2cf7oa21ucj9qwv0l3&amp;dl=0","Click to download Image")</f>
      </c>
      <c r="B906" s="0">
        <f>HYPERLINK("https://dl.dropboxusercontent.com/scl/fi/11rcdx6izjrdjrwweznoy/graphic-update2022-youth.jpg?rlkey=oj5lke3lv6pqnjna44q313b9s&amp;dl=0","Click to download SizeChart")</f>
      </c>
      <c r="C906" s="0" t="inlineStr">
        <is>
          <t>Dribble Youth Hoodie</t>
        </is>
      </c>
      <c r="D906" s="0" t="inlineStr">
        <is>
          <t>'Y13521</t>
        </is>
      </c>
      <c r="E906" s="0" t="inlineStr">
        <is>
          <t>NDSU DRIBBL Y GY:Y13521C-YM</t>
        </is>
      </c>
      <c r="F906" s="0" t="inlineStr">
        <is>
          <t>'813135214026</t>
        </is>
      </c>
      <c r="G906" s="0" t="inlineStr">
        <is>
          <t>YOUTH</t>
        </is>
      </c>
      <c r="H906" s="0" t="inlineStr">
        <is>
          <t>YM</t>
        </is>
      </c>
      <c r="I906" s="0">
        <v>54.99</v>
      </c>
      <c r="J906" s="0">
        <v>0</v>
      </c>
    </row>
    <row r="907" spans="1:10" customHeight="0">
      <c r="A907" s="0">
        <f>HYPERLINK("https://dl.dropboxusercontent.com/scl/fi/icnorsp27dyw4whutg059/dribble-135214-tn.jpg?rlkey=evx97dz2cf7oa21ucj9qwv0l3&amp;dl=0","Click to download Image")</f>
      </c>
      <c r="B907" s="0">
        <f>HYPERLINK("https://dl.dropboxusercontent.com/scl/fi/11rcdx6izjrdjrwweznoy/graphic-update2022-youth.jpg?rlkey=oj5lke3lv6pqnjna44q313b9s&amp;dl=0","Click to download SizeChart")</f>
      </c>
      <c r="C907" s="0" t="inlineStr">
        <is>
          <t>Dribble Youth Hoodie</t>
        </is>
      </c>
      <c r="D907" s="0" t="inlineStr">
        <is>
          <t>'Y13521</t>
        </is>
      </c>
      <c r="E907" s="0" t="inlineStr">
        <is>
          <t>NDSU DRIBBL Y GY:Y13521D-YL</t>
        </is>
      </c>
      <c r="F907" s="0" t="inlineStr">
        <is>
          <t>'813135214033</t>
        </is>
      </c>
      <c r="G907" s="0" t="inlineStr">
        <is>
          <t>YOUTH</t>
        </is>
      </c>
      <c r="H907" s="0" t="inlineStr">
        <is>
          <t>YL</t>
        </is>
      </c>
      <c r="I907" s="0">
        <v>54.99</v>
      </c>
      <c r="J907" s="0">
        <v>0</v>
      </c>
    </row>
    <row r="908" spans="1:10" customHeight="0">
      <c r="A908" s="0">
        <f>HYPERLINK("https://dl.dropboxusercontent.com/scl/fi/icnorsp27dyw4whutg059/dribble-135214-tn.jpg?rlkey=evx97dz2cf7oa21ucj9qwv0l3&amp;dl=0","Click to download Image")</f>
      </c>
      <c r="B908" s="0">
        <f>HYPERLINK("https://dl.dropboxusercontent.com/scl/fi/11rcdx6izjrdjrwweznoy/graphic-update2022-youth.jpg?rlkey=oj5lke3lv6pqnjna44q313b9s&amp;dl=0","Click to download SizeChart")</f>
      </c>
      <c r="C908" s="0" t="inlineStr">
        <is>
          <t>Dribble Youth Hoodie</t>
        </is>
      </c>
      <c r="D908" s="0" t="inlineStr">
        <is>
          <t>'Y13521</t>
        </is>
      </c>
      <c r="E908" s="0" t="inlineStr">
        <is>
          <t>NDSU DRIBBL Y GY:Y13521E-YXL</t>
        </is>
      </c>
      <c r="F908" s="0" t="inlineStr">
        <is>
          <t>'813135214040</t>
        </is>
      </c>
      <c r="G908" s="0" t="inlineStr">
        <is>
          <t>YOUTH</t>
        </is>
      </c>
      <c r="H908" s="0" t="inlineStr">
        <is>
          <t>YXL</t>
        </is>
      </c>
      <c r="I908" s="0">
        <v>54.99</v>
      </c>
      <c r="J908" s="0">
        <v>0</v>
      </c>
    </row>
    <row r="909" spans="1:10" customHeight="0">
      <c r="A909" s="0">
        <f>HYPERLINK("https://dl.dropboxusercontent.com/scl/fi/icnorsp27dyw4whutg059/dribble-135214-tn.jpg?rlkey=evx97dz2cf7oa21ucj9qwv0l3&amp;dl=0","Click to download Image")</f>
      </c>
      <c r="B909" s="0">
        <f>HYPERLINK("https://dl.dropboxusercontent.com/scl/fi/11rcdx6izjrdjrwweznoy/graphic-update2022-youth.jpg?rlkey=oj5lke3lv6pqnjna44q313b9s&amp;dl=0","Click to download SizeChart")</f>
      </c>
      <c r="C909" s="0" t="inlineStr">
        <is>
          <t>Dribble Youth Hoodie</t>
        </is>
      </c>
      <c r="D909" s="0" t="inlineStr">
        <is>
          <t>'Y13521</t>
        </is>
      </c>
      <c r="E909" s="0" t="inlineStr">
        <is>
          <t>NDSU DRIBBL Y GY 12PK:Y13521Z-12PK</t>
        </is>
      </c>
      <c r="F909" s="0" t="inlineStr">
        <is>
          <t>'813135214996</t>
        </is>
      </c>
      <c r="G909" s="0" t="inlineStr">
        <is>
          <t>YOUTH</t>
        </is>
      </c>
      <c r="H909" s="0" t="inlineStr">
        <is>
          <t>12 PACK</t>
        </is>
      </c>
      <c r="I909" s="0">
        <v>528</v>
      </c>
      <c r="J909" s="0">
        <v>0</v>
      </c>
    </row>
    <row r="910" spans="1:10" customHeight="0">
      <c r="A910" s="0">
        <f>HYPERLINK("https://dl.dropboxusercontent.com/scl/fi/jqxehdl3fnnh1t7ygp8br/dribble-135214-tn.jpg?rlkey=q5y7sv2i1aikeihyjohhh2l0u&amp;dl=0","Click to download Image")</f>
      </c>
      <c r="B910" s="0">
        <f>HYPERLINK("https://dl.dropboxusercontent.com/scl/fi/wf626z3ghq66av1cy2sne/graphic-update2022-toddler.jpg?rlkey=x37yewr597wkz4tioo4id3eye&amp;dl=0","Click to download SizeChart")</f>
      </c>
      <c r="C910" s="0" t="inlineStr">
        <is>
          <t>Dribble Toddler Hoodie</t>
        </is>
      </c>
      <c r="D910" s="0" t="inlineStr">
        <is>
          <t>'T13521</t>
        </is>
      </c>
      <c r="E910" s="0" t="inlineStr">
        <is>
          <t>NDSU DRIBBL T GY:T13521A-2T</t>
        </is>
      </c>
      <c r="F910" s="0" t="inlineStr">
        <is>
          <t>'813135214088</t>
        </is>
      </c>
      <c r="G910" s="0" t="inlineStr">
        <is>
          <t>TODDLER</t>
        </is>
      </c>
      <c r="H910" s="0" t="inlineStr">
        <is>
          <t>2T</t>
        </is>
      </c>
      <c r="I910" s="0">
        <v>54.99</v>
      </c>
      <c r="J910" s="0">
        <v>0</v>
      </c>
    </row>
    <row r="911" spans="1:10" customHeight="0">
      <c r="A911" s="0">
        <f>HYPERLINK("https://dl.dropboxusercontent.com/scl/fi/jqxehdl3fnnh1t7ygp8br/dribble-135214-tn.jpg?rlkey=q5y7sv2i1aikeihyjohhh2l0u&amp;dl=0","Click to download Image")</f>
      </c>
      <c r="B911" s="0">
        <f>HYPERLINK("https://dl.dropboxusercontent.com/scl/fi/wf626z3ghq66av1cy2sne/graphic-update2022-toddler.jpg?rlkey=x37yewr597wkz4tioo4id3eye&amp;dl=0","Click to download SizeChart")</f>
      </c>
      <c r="C911" s="0" t="inlineStr">
        <is>
          <t>Dribble Toddler Hoodie</t>
        </is>
      </c>
      <c r="D911" s="0" t="inlineStr">
        <is>
          <t>'T13521</t>
        </is>
      </c>
      <c r="E911" s="0" t="inlineStr">
        <is>
          <t>NDSU DRIBBL T GY:T13521B-3T</t>
        </is>
      </c>
      <c r="F911" s="0" t="inlineStr">
        <is>
          <t>'813135214095</t>
        </is>
      </c>
      <c r="G911" s="0" t="inlineStr">
        <is>
          <t>TODDLER</t>
        </is>
      </c>
      <c r="H911" s="0" t="inlineStr">
        <is>
          <t>3T</t>
        </is>
      </c>
      <c r="I911" s="0">
        <v>54.99</v>
      </c>
      <c r="J911" s="0">
        <v>0</v>
      </c>
    </row>
    <row r="912" spans="1:10" customHeight="0">
      <c r="A912" s="0">
        <f>HYPERLINK("https://dl.dropboxusercontent.com/scl/fi/jqxehdl3fnnh1t7ygp8br/dribble-135214-tn.jpg?rlkey=q5y7sv2i1aikeihyjohhh2l0u&amp;dl=0","Click to download Image")</f>
      </c>
      <c r="B912" s="0">
        <f>HYPERLINK("https://dl.dropboxusercontent.com/scl/fi/wf626z3ghq66av1cy2sne/graphic-update2022-toddler.jpg?rlkey=x37yewr597wkz4tioo4id3eye&amp;dl=0","Click to download SizeChart")</f>
      </c>
      <c r="C912" s="0" t="inlineStr">
        <is>
          <t>Dribble Toddler Hoodie</t>
        </is>
      </c>
      <c r="D912" s="0" t="inlineStr">
        <is>
          <t>'T13521</t>
        </is>
      </c>
      <c r="E912" s="0" t="inlineStr">
        <is>
          <t>NDSU DRIBBL T GY:T13521C-4T</t>
        </is>
      </c>
      <c r="F912" s="0" t="inlineStr">
        <is>
          <t>'813135214101</t>
        </is>
      </c>
      <c r="G912" s="0" t="inlineStr">
        <is>
          <t>TODDLER</t>
        </is>
      </c>
      <c r="H912" s="0" t="inlineStr">
        <is>
          <t>4T</t>
        </is>
      </c>
      <c r="I912" s="0">
        <v>54.99</v>
      </c>
      <c r="J912" s="0">
        <v>0</v>
      </c>
    </row>
    <row r="913" spans="1:10" customHeight="0">
      <c r="A913" s="0">
        <f>HYPERLINK("https://dl.dropboxusercontent.com/scl/fi/jqxehdl3fnnh1t7ygp8br/dribble-135214-tn.jpg?rlkey=q5y7sv2i1aikeihyjohhh2l0u&amp;dl=0","Click to download Image")</f>
      </c>
      <c r="B913" s="0">
        <f>HYPERLINK("https://dl.dropboxusercontent.com/scl/fi/wf626z3ghq66av1cy2sne/graphic-update2022-toddler.jpg?rlkey=x37yewr597wkz4tioo4id3eye&amp;dl=0","Click to download SizeChart")</f>
      </c>
      <c r="C913" s="0" t="inlineStr">
        <is>
          <t>Dribble Toddler Hoodie</t>
        </is>
      </c>
      <c r="D913" s="0" t="inlineStr">
        <is>
          <t>'T13521</t>
        </is>
      </c>
      <c r="E913" s="0" t="inlineStr">
        <is>
          <t>NDSU DRIBBL T GY:T13521D-5T</t>
        </is>
      </c>
      <c r="F913" s="0" t="inlineStr">
        <is>
          <t>'813135214118</t>
        </is>
      </c>
      <c r="G913" s="0" t="inlineStr">
        <is>
          <t>TODDLER</t>
        </is>
      </c>
      <c r="H913" s="0" t="inlineStr">
        <is>
          <t>5T</t>
        </is>
      </c>
      <c r="I913" s="0">
        <v>54.99</v>
      </c>
      <c r="J913" s="0">
        <v>1</v>
      </c>
    </row>
    <row r="914" spans="1:10" customHeight="0">
      <c r="A914" s="0">
        <f>HYPERLINK("https://dl.dropboxusercontent.com/scl/fi/jqxehdl3fnnh1t7ygp8br/dribble-135214-tn.jpg?rlkey=q5y7sv2i1aikeihyjohhh2l0u&amp;dl=0","Click to download Image")</f>
      </c>
      <c r="B914" s="0">
        <f>HYPERLINK("https://dl.dropboxusercontent.com/scl/fi/wf626z3ghq66av1cy2sne/graphic-update2022-toddler.jpg?rlkey=x37yewr597wkz4tioo4id3eye&amp;dl=0","Click to download SizeChart")</f>
      </c>
      <c r="C914" s="0" t="inlineStr">
        <is>
          <t>Dribble Toddler Hoodie</t>
        </is>
      </c>
      <c r="D914" s="0" t="inlineStr">
        <is>
          <t>'T13521</t>
        </is>
      </c>
      <c r="E914" s="0" t="inlineStr">
        <is>
          <t>NDSU DRIBBL T GY 12PK:T13521Z-12PK</t>
        </is>
      </c>
      <c r="F914" s="0" t="inlineStr">
        <is>
          <t>'813135214989</t>
        </is>
      </c>
      <c r="G914" s="0" t="inlineStr">
        <is>
          <t>TODDLER</t>
        </is>
      </c>
      <c r="H914" s="0" t="inlineStr">
        <is>
          <t>12 PACK</t>
        </is>
      </c>
      <c r="I914" s="0">
        <v>528</v>
      </c>
      <c r="J914" s="0">
        <v>0</v>
      </c>
    </row>
    <row r="915" spans="1:10" customHeight="0">
      <c r="A915" s="0">
        <f>HYPERLINK("https://dl.dropboxusercontent.com/scl/fi/q8tgxn19buwtic1k354ox/121975-af.jpg?rlkey=icj28vjd3y7m0hvzz4jiz5qne&amp;dl=0","Click to download Image")</f>
      </c>
      <c r="C915" s="0" t="inlineStr">
        <is>
          <t>Alec Men's Cap</t>
        </is>
      </c>
      <c r="D915" s="0" t="inlineStr">
        <is>
          <t>'121975</t>
        </is>
      </c>
      <c r="E915" s="0" t="inlineStr">
        <is>
          <t>NDSU ALEC A GN:121975</t>
        </is>
      </c>
      <c r="F915" s="0" t="inlineStr">
        <is>
          <t>'713121975002</t>
        </is>
      </c>
      <c r="G915" s="0" t="inlineStr">
        <is>
          <t>MENS</t>
        </is>
      </c>
      <c r="H915" s="0" t="inlineStr">
        <is>
          <t>STANDARD MENS</t>
        </is>
      </c>
      <c r="I915" s="0">
        <v>24.99</v>
      </c>
      <c r="J915" s="0">
        <v>78</v>
      </c>
    </row>
    <row r="916" spans="1:10" customHeight="0">
      <c r="A916" s="0">
        <f>HYPERLINK("https://dl.dropboxusercontent.com/scl/fi/tkhift697fxnq32d8ysf7/121973-af.jpg?rlkey=mhzzcxdiogtw524cm6a5kgvjp&amp;dl=0","Click to download Image")</f>
      </c>
      <c r="C916" s="0" t="inlineStr">
        <is>
          <t>Alec Men's Cap</t>
        </is>
      </c>
      <c r="D916" s="0" t="inlineStr">
        <is>
          <t>'121973</t>
        </is>
      </c>
      <c r="E916" s="0" t="inlineStr">
        <is>
          <t>KSU ALEC A PE:121973</t>
        </is>
      </c>
      <c r="F916" s="0" t="inlineStr">
        <is>
          <t>'705121973003</t>
        </is>
      </c>
      <c r="G916" s="0" t="inlineStr">
        <is>
          <t>MENS</t>
        </is>
      </c>
      <c r="H916" s="0" t="inlineStr">
        <is>
          <t>STANDARD MENS</t>
        </is>
      </c>
      <c r="I916" s="0">
        <v>24.99</v>
      </c>
      <c r="J916" s="0">
        <v>142</v>
      </c>
    </row>
    <row r="917" spans="1:10" customHeight="0">
      <c r="A917" s="0">
        <f>HYPERLINK("https://dl.dropboxusercontent.com/scl/fi/4s1tn7l9j0egnh2mimfty/121972-af.jpg?rlkey=2ne38h2ijbxf0lgewd8z2d1hu&amp;dl=0","Click to download Image")</f>
      </c>
      <c r="C917" s="0" t="inlineStr">
        <is>
          <t>Alec Men's Cap</t>
        </is>
      </c>
      <c r="D917" s="0" t="inlineStr">
        <is>
          <t>'121972</t>
        </is>
      </c>
      <c r="E917" s="0" t="inlineStr">
        <is>
          <t>UNI ALEC A PE:121972</t>
        </is>
      </c>
      <c r="F917" s="0" t="inlineStr">
        <is>
          <t>'702121972005</t>
        </is>
      </c>
      <c r="G917" s="0" t="inlineStr">
        <is>
          <t>MENS</t>
        </is>
      </c>
      <c r="H917" s="0" t="inlineStr">
        <is>
          <t>STANDARD MENS</t>
        </is>
      </c>
      <c r="I917" s="0">
        <v>24.99</v>
      </c>
      <c r="J917" s="0">
        <v>142</v>
      </c>
    </row>
    <row r="918" spans="1:10" customHeight="0">
      <c r="A918" s="0">
        <f>HYPERLINK("https://dl.dropboxusercontent.com/scl/fi/905izjz2buoxio7ussum7/122017-af.jpg?rlkey=mnp91pls4m50ogj7t5yr93ji1&amp;dl=0","Click to download Image")</f>
      </c>
      <c r="C918" s="0" t="inlineStr">
        <is>
          <t>Russel Men's Cap</t>
        </is>
      </c>
      <c r="D918" s="0" t="inlineStr">
        <is>
          <t>'122017</t>
        </is>
      </c>
      <c r="E918" s="0" t="inlineStr">
        <is>
          <t>UNI RUSSE A PE:122017</t>
        </is>
      </c>
      <c r="F918" s="0" t="inlineStr">
        <is>
          <t>'702122017002</t>
        </is>
      </c>
      <c r="G918" s="0" t="inlineStr">
        <is>
          <t>MENS</t>
        </is>
      </c>
      <c r="H918" s="0" t="inlineStr">
        <is>
          <t>STANDARD MENS</t>
        </is>
      </c>
      <c r="I918" s="0">
        <v>24.99</v>
      </c>
      <c r="J918" s="0">
        <v>29</v>
      </c>
    </row>
    <row r="919" spans="1:10" customHeight="0">
      <c r="A919" s="0">
        <f>HYPERLINK("https://dl.dropboxusercontent.com/scl/fi/bxowjhfp29dphfh5hbb2r/122016-af.jpg?rlkey=pc88fw2oosz25rdtbiczzqg4f&amp;dl=0","Click to download Image")</f>
      </c>
      <c r="C919" s="0" t="inlineStr">
        <is>
          <t>Russel Men's Cap</t>
        </is>
      </c>
      <c r="D919" s="0" t="inlineStr">
        <is>
          <t>'122016</t>
        </is>
      </c>
      <c r="E919" s="0" t="inlineStr">
        <is>
          <t>KSU RUSSE A PE:122016</t>
        </is>
      </c>
      <c r="F919" s="0" t="inlineStr">
        <is>
          <t>'705122016006</t>
        </is>
      </c>
      <c r="G919" s="0" t="inlineStr">
        <is>
          <t>MENS</t>
        </is>
      </c>
      <c r="H919" s="0" t="inlineStr">
        <is>
          <t>STANDARD MENS</t>
        </is>
      </c>
      <c r="I919" s="0">
        <v>24.99</v>
      </c>
      <c r="J919" s="0">
        <v>72</v>
      </c>
    </row>
    <row r="920" spans="1:10" customHeight="0">
      <c r="A920" s="0">
        <f>HYPERLINK("https://dl.dropboxusercontent.com/scl/fi/ze8mlnwbflivdpy9x944w/126072-af.jpg?rlkey=s9ga29tk30su9su8zrczqxrb8&amp;dl=0","Click to download Image")</f>
      </c>
      <c r="C920" s="0" t="inlineStr">
        <is>
          <t>Russel Men's Cap</t>
        </is>
      </c>
      <c r="D920" s="0" t="inlineStr">
        <is>
          <t>'126072</t>
        </is>
      </c>
      <c r="E920" s="0" t="inlineStr">
        <is>
          <t>MU RUSSEL A BK:126072</t>
        </is>
      </c>
      <c r="F920" s="0" t="inlineStr">
        <is>
          <t>'703126072028</t>
        </is>
      </c>
      <c r="G920" s="0" t="inlineStr">
        <is>
          <t>MENS</t>
        </is>
      </c>
      <c r="H920" s="0" t="inlineStr">
        <is>
          <t>STANDARD MENS</t>
        </is>
      </c>
      <c r="I920" s="0">
        <v>24.99</v>
      </c>
      <c r="J920" s="0">
        <v>90</v>
      </c>
    </row>
    <row r="921" spans="1:10" customHeight="0">
      <c r="A921" s="0">
        <f>HYPERLINK("https://dl.dropboxusercontent.com/scl/fi/eotc97rz8hfbihzb8x1ui/121980-af.jpg?rlkey=oqyp5j48z5ffumo3xtepnomjx&amp;dl=0","Click to download Image")</f>
      </c>
      <c r="C921" s="0" t="inlineStr">
        <is>
          <t>Atwater Men's Cap</t>
        </is>
      </c>
      <c r="D921" s="0" t="inlineStr">
        <is>
          <t>'121980</t>
        </is>
      </c>
      <c r="E921" s="0" t="inlineStr">
        <is>
          <t>KSU ATWAT A GY:121980</t>
        </is>
      </c>
      <c r="F921" s="0" t="inlineStr">
        <is>
          <t>'705121980001</t>
        </is>
      </c>
      <c r="G921" s="0" t="inlineStr">
        <is>
          <t>MENS</t>
        </is>
      </c>
      <c r="H921" s="0" t="inlineStr">
        <is>
          <t>STANDARD MENS</t>
        </is>
      </c>
      <c r="I921" s="0">
        <v>24.99</v>
      </c>
      <c r="J921" s="0">
        <v>49</v>
      </c>
    </row>
    <row r="922" spans="1:10" customHeight="0">
      <c r="A922" s="0">
        <f>HYPERLINK("https://dl.dropboxusercontent.com/scl/fi/n6ds61o32gc7pjxbekuw3/121979-af.jpg?rlkey=kbredn72w94ya0vz69s1s5adf&amp;dl=0","Click to download Image")</f>
      </c>
      <c r="C922" s="0" t="inlineStr">
        <is>
          <t>Atwater Men's Cap</t>
        </is>
      </c>
      <c r="D922" s="0" t="inlineStr">
        <is>
          <t>'121979</t>
        </is>
      </c>
      <c r="E922" s="0" t="inlineStr">
        <is>
          <t>UNI ATWAT A GY:121979</t>
        </is>
      </c>
      <c r="F922" s="0" t="inlineStr">
        <is>
          <t>'702121979004</t>
        </is>
      </c>
      <c r="G922" s="0" t="inlineStr">
        <is>
          <t>MENS</t>
        </is>
      </c>
      <c r="H922" s="0" t="inlineStr">
        <is>
          <t>STANDARD MENS</t>
        </is>
      </c>
      <c r="I922" s="0">
        <v>24.99</v>
      </c>
      <c r="J922" s="0">
        <v>45</v>
      </c>
    </row>
    <row r="923" spans="1:10" customHeight="0">
      <c r="A923" s="0">
        <f>HYPERLINK("https://dl.dropboxusercontent.com/scl/fi/8p96l06glhmwuxhrairxo/122025-af.jpg?rlkey=v4c52wbmgzrnmjq2gymxtdkyj&amp;dl=0","Click to download Image")</f>
      </c>
      <c r="C923" s="0" t="inlineStr">
        <is>
          <t>Alana Women's Cap</t>
        </is>
      </c>
      <c r="D923" s="0" t="inlineStr">
        <is>
          <t>'122025</t>
        </is>
      </c>
      <c r="E923" s="0" t="inlineStr">
        <is>
          <t>UNI ALANA A PE:122025</t>
        </is>
      </c>
      <c r="F923" s="0" t="inlineStr">
        <is>
          <t>'702122025014</t>
        </is>
      </c>
      <c r="G923" s="0" t="inlineStr">
        <is>
          <t>WOMENS</t>
        </is>
      </c>
      <c r="H923" s="0" t="inlineStr">
        <is>
          <t>WOMENS</t>
        </is>
      </c>
      <c r="I923" s="0">
        <v>24.99</v>
      </c>
      <c r="J923" s="0">
        <v>48</v>
      </c>
    </row>
    <row r="924" spans="1:10" customHeight="0">
      <c r="A924" s="0">
        <f>HYPERLINK("https://dl.dropboxusercontent.com/scl/fi/62i45dwv9be2dtsagxpne/122024-af.jpg?rlkey=nw986fbv0ex2rp0pc8opdw9gc&amp;dl=0","Click to download Image")</f>
      </c>
      <c r="C924" s="0" t="inlineStr">
        <is>
          <t>Alana Women's Cap</t>
        </is>
      </c>
      <c r="D924" s="0" t="inlineStr">
        <is>
          <t>'122024</t>
        </is>
      </c>
      <c r="E924" s="0" t="inlineStr">
        <is>
          <t>ISU ALANA A CL:122024</t>
        </is>
      </c>
      <c r="F924" s="0" t="inlineStr">
        <is>
          <t>'701122024010</t>
        </is>
      </c>
      <c r="G924" s="0" t="inlineStr">
        <is>
          <t>WOMENS</t>
        </is>
      </c>
      <c r="H924" s="0" t="inlineStr">
        <is>
          <t>WOMENS</t>
        </is>
      </c>
      <c r="I924" s="0">
        <v>24.99</v>
      </c>
      <c r="J924" s="0">
        <v>25</v>
      </c>
    </row>
    <row r="925" spans="1:10" customHeight="0">
      <c r="A925" s="0">
        <f>HYPERLINK("https://dl.dropboxusercontent.com/scl/fi/nreq3fn95bmqu6uco0u1k/122035-af.jpg?rlkey=nxpqj5ix6b2pb6q75y1qv3hzj&amp;dl=0","Click to download Image")</f>
      </c>
      <c r="C925" s="0" t="inlineStr">
        <is>
          <t>Kira Women's Cap</t>
        </is>
      </c>
      <c r="D925" s="0" t="inlineStr">
        <is>
          <t>'122035</t>
        </is>
      </c>
      <c r="E925" s="0" t="inlineStr">
        <is>
          <t>KSU KIRA A PE:122035</t>
        </is>
      </c>
      <c r="F925" s="0" t="inlineStr">
        <is>
          <t>'705122035014</t>
        </is>
      </c>
      <c r="G925" s="0" t="inlineStr">
        <is>
          <t>WOMENS</t>
        </is>
      </c>
      <c r="H925" s="0" t="inlineStr">
        <is>
          <t>WOMENS</t>
        </is>
      </c>
      <c r="I925" s="0">
        <v>24.99</v>
      </c>
      <c r="J925" s="0">
        <v>48</v>
      </c>
    </row>
    <row r="926" spans="1:10" customHeight="0">
      <c r="A926" s="0">
        <f>HYPERLINK("https://dl.dropboxusercontent.com/scl/fi/ccg8n4hdq1j73yptmsaw3/116495-af.jpg?rlkey=drhp4enabx8zuzbvhmhqiugs5&amp;dl=0","Click to download Image")</f>
      </c>
      <c r="C926" s="0" t="inlineStr">
        <is>
          <t>Kira Women's Cap</t>
        </is>
      </c>
      <c r="D926" s="0" t="inlineStr">
        <is>
          <t>'116495</t>
        </is>
      </c>
      <c r="E926" s="0" t="inlineStr">
        <is>
          <t>UNI KIRA A PURPLE:116495</t>
        </is>
      </c>
      <c r="F926" s="0" t="inlineStr">
        <is>
          <t>'000000000000</t>
        </is>
      </c>
      <c r="G926" s="0" t="inlineStr">
        <is>
          <t>WOMENS</t>
        </is>
      </c>
      <c r="H926" s="0" t="inlineStr">
        <is>
          <t>WOMENS</t>
        </is>
      </c>
      <c r="I926" s="0">
        <v>24.99</v>
      </c>
      <c r="J926" s="0">
        <v>42</v>
      </c>
    </row>
    <row r="927" spans="1:10" customHeight="0">
      <c r="A927" s="0">
        <f>HYPERLINK("https://dl.dropboxusercontent.com/scl/fi/dwvelimgshjkc45c0o3j5/121701-af.jpg?rlkey=q7jzlktf37c5v5lrtkzgugo8s&amp;dl=0","Click to download Image")</f>
      </c>
      <c r="C927" s="0" t="inlineStr">
        <is>
          <t>Herald Infant Cap</t>
        </is>
      </c>
      <c r="D927" s="0" t="inlineStr">
        <is>
          <t>'121701</t>
        </is>
      </c>
      <c r="E927" s="0" t="inlineStr">
        <is>
          <t>KSU HERALD I PURPLE:121701</t>
        </is>
      </c>
      <c r="F927" s="0" t="inlineStr">
        <is>
          <t>'705121701057</t>
        </is>
      </c>
      <c r="G927" s="0" t="inlineStr">
        <is>
          <t>INFANT</t>
        </is>
      </c>
      <c r="H927" s="0" t="inlineStr">
        <is>
          <t>INFANT</t>
        </is>
      </c>
      <c r="I927" s="0">
        <v>19.99</v>
      </c>
      <c r="J927" s="0">
        <v>12</v>
      </c>
    </row>
    <row r="928" spans="1:10" customHeight="0">
      <c r="A928" s="0">
        <f>HYPERLINK("https://dl.dropboxusercontent.com/scl/fi/k5bo3ll5t8fvrpqnldrwe/122107-af.jpg?rlkey=matf203dkpyfzajo3wcgoi1k8&amp;dl=0","Click to download Image")</f>
      </c>
      <c r="C928" s="0" t="inlineStr">
        <is>
          <t>Herald Infant Cap</t>
        </is>
      </c>
      <c r="D928" s="0" t="inlineStr">
        <is>
          <t>'122107</t>
        </is>
      </c>
      <c r="E928" s="0" t="inlineStr">
        <is>
          <t>MU HERAL I BK:122107</t>
        </is>
      </c>
      <c r="F928" s="0" t="inlineStr">
        <is>
          <t>'703122107052</t>
        </is>
      </c>
      <c r="G928" s="0" t="inlineStr">
        <is>
          <t>INFANT</t>
        </is>
      </c>
      <c r="H928" s="0" t="inlineStr">
        <is>
          <t>INFANT</t>
        </is>
      </c>
      <c r="I928" s="0">
        <v>19.99</v>
      </c>
      <c r="J928" s="0">
        <v>3</v>
      </c>
    </row>
    <row r="929" spans="1:10" customHeight="0">
      <c r="A929" s="0">
        <f>HYPERLINK("https://dl.dropboxusercontent.com/scl/fi/3accx2e18f2mdj6884suw/120598-af.jpg?rlkey=asipf6q5dpv9o00u2pv60wjtg&amp;dl=0","Click to download Image")</f>
      </c>
      <c r="C929" s="0" t="inlineStr">
        <is>
          <t>Herald Infant Cap</t>
        </is>
      </c>
      <c r="D929" s="0" t="inlineStr">
        <is>
          <t>'120598</t>
        </is>
      </c>
      <c r="E929" s="0" t="inlineStr">
        <is>
          <t>ISU HERALD I CARDINAL:120598</t>
        </is>
      </c>
      <c r="F929" s="0" t="inlineStr">
        <is>
          <t>'701120598056</t>
        </is>
      </c>
      <c r="G929" s="0" t="inlineStr">
        <is>
          <t>INFANT</t>
        </is>
      </c>
      <c r="H929" s="0" t="inlineStr">
        <is>
          <t>INFANT</t>
        </is>
      </c>
      <c r="I929" s="0">
        <v>19.99</v>
      </c>
      <c r="J929" s="0">
        <v>102</v>
      </c>
    </row>
    <row r="930" spans="1:10" customHeight="0">
      <c r="A930" s="0">
        <f>HYPERLINK("https://dl.dropboxusercontent.com/scl/fi/3i2cpexeb6tz2ai2l5nqe/121232f13143.jpg?rlkey=mii3cip1ub233bwrz195o03g5&amp;dl=0","Click to download Image")</f>
      </c>
      <c r="B930" s="0">
        <f>HYPERLINK("https://dl.dropboxusercontent.com/scl/fi/7jys0n0r6xwe19mwgilu1/graphic-update2022-womens.jpg?rlkey=iyyl88fqoyrpg1m3nddke3by4&amp;dl=0","Click to download SizeChart")</f>
      </c>
      <c r="C930" s="0" t="inlineStr">
        <is>
          <t>Maya Women's Laser Cut Jacket</t>
        </is>
      </c>
      <c r="D930" s="0" t="inlineStr">
        <is>
          <t>'121232</t>
        </is>
      </c>
      <c r="E930" s="0" t="inlineStr">
        <is>
          <t>INDIANA MAYA W BLACK:121232A-S</t>
        </is>
      </c>
      <c r="F930" s="0" t="inlineStr">
        <is>
          <t>'806121232043</t>
        </is>
      </c>
      <c r="G930" s="0" t="inlineStr">
        <is>
          <t>WOMENS</t>
        </is>
      </c>
      <c r="H930" s="0" t="inlineStr">
        <is>
          <t>S</t>
        </is>
      </c>
      <c r="I930" s="0">
        <v>59.99</v>
      </c>
      <c r="J930" s="0">
        <v>4</v>
      </c>
    </row>
    <row r="931" spans="1:10" customHeight="0">
      <c r="A931" s="0">
        <f>HYPERLINK("https://dl.dropboxusercontent.com/scl/fi/3i2cpexeb6tz2ai2l5nqe/121232f13143.jpg?rlkey=mii3cip1ub233bwrz195o03g5&amp;dl=0","Click to download Image")</f>
      </c>
      <c r="B931" s="0">
        <f>HYPERLINK("https://dl.dropboxusercontent.com/scl/fi/7jys0n0r6xwe19mwgilu1/graphic-update2022-womens.jpg?rlkey=iyyl88fqoyrpg1m3nddke3by4&amp;dl=0","Click to download SizeChart")</f>
      </c>
      <c r="C931" s="0" t="inlineStr">
        <is>
          <t>Maya Women's Laser Cut Jacket</t>
        </is>
      </c>
      <c r="D931" s="0" t="inlineStr">
        <is>
          <t>'121232</t>
        </is>
      </c>
      <c r="E931" s="0" t="inlineStr">
        <is>
          <t>INDIANA MAYA W BLACK:121232B-M</t>
        </is>
      </c>
      <c r="F931" s="0" t="inlineStr">
        <is>
          <t>'806121232050</t>
        </is>
      </c>
      <c r="G931" s="0" t="inlineStr">
        <is>
          <t>WOMENS</t>
        </is>
      </c>
      <c r="H931" s="0" t="inlineStr">
        <is>
          <t>M</t>
        </is>
      </c>
      <c r="I931" s="0">
        <v>59.99</v>
      </c>
      <c r="J931" s="0">
        <v>8</v>
      </c>
    </row>
    <row r="932" spans="1:10" customHeight="0">
      <c r="A932" s="0">
        <f>HYPERLINK("https://dl.dropboxusercontent.com/scl/fi/3i2cpexeb6tz2ai2l5nqe/121232f13143.jpg?rlkey=mii3cip1ub233bwrz195o03g5&amp;dl=0","Click to download Image")</f>
      </c>
      <c r="B932" s="0">
        <f>HYPERLINK("https://dl.dropboxusercontent.com/scl/fi/7jys0n0r6xwe19mwgilu1/graphic-update2022-womens.jpg?rlkey=iyyl88fqoyrpg1m3nddke3by4&amp;dl=0","Click to download SizeChart")</f>
      </c>
      <c r="C932" s="0" t="inlineStr">
        <is>
          <t>Maya Women's Laser Cut Jacket</t>
        </is>
      </c>
      <c r="D932" s="0" t="inlineStr">
        <is>
          <t>'121232</t>
        </is>
      </c>
      <c r="E932" s="0" t="inlineStr">
        <is>
          <t>INDIANA MAYA W BLACK:121232C-L</t>
        </is>
      </c>
      <c r="F932" s="0" t="inlineStr">
        <is>
          <t>'806121232067</t>
        </is>
      </c>
      <c r="G932" s="0" t="inlineStr">
        <is>
          <t>WOMENS</t>
        </is>
      </c>
      <c r="H932" s="0" t="inlineStr">
        <is>
          <t>L</t>
        </is>
      </c>
      <c r="I932" s="0">
        <v>59.99</v>
      </c>
      <c r="J932" s="0">
        <v>8</v>
      </c>
    </row>
    <row r="933" spans="1:10" customHeight="0">
      <c r="A933" s="0">
        <f>HYPERLINK("https://dl.dropboxusercontent.com/scl/fi/3i2cpexeb6tz2ai2l5nqe/121232f13143.jpg?rlkey=mii3cip1ub233bwrz195o03g5&amp;dl=0","Click to download Image")</f>
      </c>
      <c r="B933" s="0">
        <f>HYPERLINK("https://dl.dropboxusercontent.com/scl/fi/7jys0n0r6xwe19mwgilu1/graphic-update2022-womens.jpg?rlkey=iyyl88fqoyrpg1m3nddke3by4&amp;dl=0","Click to download SizeChart")</f>
      </c>
      <c r="C933" s="0" t="inlineStr">
        <is>
          <t>Maya Women's Laser Cut Jacket</t>
        </is>
      </c>
      <c r="D933" s="0" t="inlineStr">
        <is>
          <t>'121232</t>
        </is>
      </c>
      <c r="E933" s="0" t="inlineStr">
        <is>
          <t>INDIANA MAYA W BLACK:121232D-XL</t>
        </is>
      </c>
      <c r="F933" s="0" t="inlineStr">
        <is>
          <t>'806121232074</t>
        </is>
      </c>
      <c r="G933" s="0" t="inlineStr">
        <is>
          <t>WOMENS</t>
        </is>
      </c>
      <c r="H933" s="0" t="inlineStr">
        <is>
          <t>XL</t>
        </is>
      </c>
      <c r="I933" s="0">
        <v>59.99</v>
      </c>
      <c r="J933" s="0">
        <v>3</v>
      </c>
    </row>
    <row r="934" spans="1:10" customHeight="0">
      <c r="A934" s="0">
        <f>HYPERLINK("https://dl.dropboxusercontent.com/scl/fi/3i2cpexeb6tz2ai2l5nqe/121232f13143.jpg?rlkey=mii3cip1ub233bwrz195o03g5&amp;dl=0","Click to download Image")</f>
      </c>
      <c r="B934" s="0">
        <f>HYPERLINK("https://dl.dropboxusercontent.com/scl/fi/7jys0n0r6xwe19mwgilu1/graphic-update2022-womens.jpg?rlkey=iyyl88fqoyrpg1m3nddke3by4&amp;dl=0","Click to download SizeChart")</f>
      </c>
      <c r="C934" s="0" t="inlineStr">
        <is>
          <t>Maya Women's Laser Cut Jacket</t>
        </is>
      </c>
      <c r="D934" s="0" t="inlineStr">
        <is>
          <t>'121232</t>
        </is>
      </c>
      <c r="E934" s="0" t="inlineStr">
        <is>
          <t>INDIANA MAYA W BLACK:121232E-2XL</t>
        </is>
      </c>
      <c r="F934" s="0" t="inlineStr">
        <is>
          <t>'806121232081</t>
        </is>
      </c>
      <c r="G934" s="0" t="inlineStr">
        <is>
          <t>WOMENS</t>
        </is>
      </c>
      <c r="H934" s="0" t="inlineStr">
        <is>
          <t>2XL</t>
        </is>
      </c>
      <c r="I934" s="0">
        <v>61.99</v>
      </c>
      <c r="J934" s="0">
        <v>3</v>
      </c>
    </row>
    <row r="935" spans="1:10" customHeight="0">
      <c r="A935" s="0">
        <f>HYPERLINK("https://dl.dropboxusercontent.com/scl/fi/3i2cpexeb6tz2ai2l5nqe/121232f13143.jpg?rlkey=mii3cip1ub233bwrz195o03g5&amp;dl=0","Click to download Image")</f>
      </c>
      <c r="B935" s="0">
        <f>HYPERLINK("https://dl.dropboxusercontent.com/scl/fi/7jys0n0r6xwe19mwgilu1/graphic-update2022-womens.jpg?rlkey=iyyl88fqoyrpg1m3nddke3by4&amp;dl=0","Click to download SizeChart")</f>
      </c>
      <c r="C935" s="0" t="inlineStr">
        <is>
          <t>Maya Women's Laser Cut Jacket</t>
        </is>
      </c>
      <c r="D935" s="0" t="inlineStr">
        <is>
          <t>'121232</t>
        </is>
      </c>
      <c r="E935" s="0" t="inlineStr">
        <is>
          <t>INDIANA MAYA W BLACK:121232F-3XL</t>
        </is>
      </c>
      <c r="F935" s="0" t="inlineStr">
        <is>
          <t>'806121232098</t>
        </is>
      </c>
      <c r="G935" s="0" t="inlineStr">
        <is>
          <t>WOMENS</t>
        </is>
      </c>
      <c r="H935" s="0" t="inlineStr">
        <is>
          <t>3XL</t>
        </is>
      </c>
      <c r="I935" s="0">
        <v>61.99</v>
      </c>
      <c r="J935" s="0">
        <v>1</v>
      </c>
    </row>
    <row r="936" spans="1:10" customHeight="0">
      <c r="A936" s="0">
        <f>HYPERLINK("https://dl.dropboxusercontent.com/scl/fi/3i2cpexeb6tz2ai2l5nqe/121232f13143.jpg?rlkey=mii3cip1ub233bwrz195o03g5&amp;dl=0","Click to download Image")</f>
      </c>
      <c r="B936" s="0">
        <f>HYPERLINK("https://dl.dropboxusercontent.com/scl/fi/7jys0n0r6xwe19mwgilu1/graphic-update2022-womens.jpg?rlkey=iyyl88fqoyrpg1m3nddke3by4&amp;dl=0","Click to download SizeChart")</f>
      </c>
      <c r="C936" s="0" t="inlineStr">
        <is>
          <t>Maya Women's Laser Cut Jacket</t>
        </is>
      </c>
      <c r="D936" s="0" t="inlineStr">
        <is>
          <t>'121232</t>
        </is>
      </c>
      <c r="E936" s="0" t="inlineStr">
        <is>
          <t>INDIANA MAYA W BLACK 12 PACK:121232Z-12PK</t>
        </is>
      </c>
      <c r="F936" s="0" t="inlineStr">
        <is>
          <t>'806121232999</t>
        </is>
      </c>
      <c r="G936" s="0" t="inlineStr">
        <is>
          <t>WOMENS</t>
        </is>
      </c>
      <c r="H936" s="0" t="inlineStr">
        <is>
          <t>12 PACK</t>
        </is>
      </c>
      <c r="I936" s="0">
        <v>599.76</v>
      </c>
      <c r="J936" s="0">
        <v>1</v>
      </c>
    </row>
    <row r="937" spans="1:10" customHeight="0">
      <c r="A937" s="0">
        <f>HYPERLINK("https://dl.dropboxusercontent.com/scl/fi/c7nts8ec7d0tlzu9wx9s7/121231af75619-1.jpg?rlkey=zhayu2omhb9creywx6673ma9m&amp;dl=0","Click to download Image")</f>
      </c>
      <c r="B937" s="0">
        <f>HYPERLINK("https://dl.dropboxusercontent.com/scl/fi/7jys0n0r6xwe19mwgilu1/graphic-update2022-womens.jpg?rlkey=iyyl88fqoyrpg1m3nddke3by4&amp;dl=0","Click to download SizeChart")</f>
      </c>
      <c r="C937" s="0" t="inlineStr">
        <is>
          <t>Maya Women's Laser Cut Jacket</t>
        </is>
      </c>
      <c r="D937" s="0" t="inlineStr">
        <is>
          <t>'121231</t>
        </is>
      </c>
      <c r="E937" s="0" t="inlineStr">
        <is>
          <t>PURDUE MAYA W BLACK:121231A-S</t>
        </is>
      </c>
      <c r="F937" s="0" t="inlineStr">
        <is>
          <t>'804121231042</t>
        </is>
      </c>
      <c r="G937" s="0" t="inlineStr">
        <is>
          <t>WOMENS</t>
        </is>
      </c>
      <c r="H937" s="0" t="inlineStr">
        <is>
          <t>S</t>
        </is>
      </c>
      <c r="I937" s="0">
        <v>59.99</v>
      </c>
      <c r="J937" s="0">
        <v>5</v>
      </c>
    </row>
    <row r="938" spans="1:10" customHeight="0">
      <c r="A938" s="0">
        <f>HYPERLINK("https://dl.dropboxusercontent.com/scl/fi/c7nts8ec7d0tlzu9wx9s7/121231af75619-1.jpg?rlkey=zhayu2omhb9creywx6673ma9m&amp;dl=0","Click to download Image")</f>
      </c>
      <c r="B938" s="0">
        <f>HYPERLINK("https://dl.dropboxusercontent.com/scl/fi/7jys0n0r6xwe19mwgilu1/graphic-update2022-womens.jpg?rlkey=iyyl88fqoyrpg1m3nddke3by4&amp;dl=0","Click to download SizeChart")</f>
      </c>
      <c r="C938" s="0" t="inlineStr">
        <is>
          <t>Maya Women's Laser Cut Jacket</t>
        </is>
      </c>
      <c r="D938" s="0" t="inlineStr">
        <is>
          <t>'121231</t>
        </is>
      </c>
      <c r="E938" s="0" t="inlineStr">
        <is>
          <t>PURDUE MAYA W BLACK:121231B-M</t>
        </is>
      </c>
      <c r="F938" s="0" t="inlineStr">
        <is>
          <t>'804121231059</t>
        </is>
      </c>
      <c r="G938" s="0" t="inlineStr">
        <is>
          <t>WOMENS</t>
        </is>
      </c>
      <c r="H938" s="0" t="inlineStr">
        <is>
          <t>M</t>
        </is>
      </c>
      <c r="I938" s="0">
        <v>59.99</v>
      </c>
      <c r="J938" s="0">
        <v>8</v>
      </c>
    </row>
    <row r="939" spans="1:10" customHeight="0">
      <c r="A939" s="0">
        <f>HYPERLINK("https://dl.dropboxusercontent.com/scl/fi/c7nts8ec7d0tlzu9wx9s7/121231af75619-1.jpg?rlkey=zhayu2omhb9creywx6673ma9m&amp;dl=0","Click to download Image")</f>
      </c>
      <c r="B939" s="0">
        <f>HYPERLINK("https://dl.dropboxusercontent.com/scl/fi/7jys0n0r6xwe19mwgilu1/graphic-update2022-womens.jpg?rlkey=iyyl88fqoyrpg1m3nddke3by4&amp;dl=0","Click to download SizeChart")</f>
      </c>
      <c r="C939" s="0" t="inlineStr">
        <is>
          <t>Maya Women's Laser Cut Jacket</t>
        </is>
      </c>
      <c r="D939" s="0" t="inlineStr">
        <is>
          <t>'121231</t>
        </is>
      </c>
      <c r="E939" s="0" t="inlineStr">
        <is>
          <t>PURDUE MAYA W BLACK:121231C-L</t>
        </is>
      </c>
      <c r="F939" s="0" t="inlineStr">
        <is>
          <t>'804121231066</t>
        </is>
      </c>
      <c r="G939" s="0" t="inlineStr">
        <is>
          <t>WOMENS</t>
        </is>
      </c>
      <c r="H939" s="0" t="inlineStr">
        <is>
          <t>L</t>
        </is>
      </c>
      <c r="I939" s="0">
        <v>59.99</v>
      </c>
      <c r="J939" s="0">
        <v>8</v>
      </c>
    </row>
    <row r="940" spans="1:10" customHeight="0">
      <c r="A940" s="0">
        <f>HYPERLINK("https://dl.dropboxusercontent.com/scl/fi/c7nts8ec7d0tlzu9wx9s7/121231af75619-1.jpg?rlkey=zhayu2omhb9creywx6673ma9m&amp;dl=0","Click to download Image")</f>
      </c>
      <c r="B940" s="0">
        <f>HYPERLINK("https://dl.dropboxusercontent.com/scl/fi/7jys0n0r6xwe19mwgilu1/graphic-update2022-womens.jpg?rlkey=iyyl88fqoyrpg1m3nddke3by4&amp;dl=0","Click to download SizeChart")</f>
      </c>
      <c r="C940" s="0" t="inlineStr">
        <is>
          <t>Maya Women's Laser Cut Jacket</t>
        </is>
      </c>
      <c r="D940" s="0" t="inlineStr">
        <is>
          <t>'121231</t>
        </is>
      </c>
      <c r="E940" s="0" t="inlineStr">
        <is>
          <t>PURDUE MAYA W BLACK:121231D-XL</t>
        </is>
      </c>
      <c r="F940" s="0" t="inlineStr">
        <is>
          <t>'804121231073</t>
        </is>
      </c>
      <c r="G940" s="0" t="inlineStr">
        <is>
          <t>WOMENS</t>
        </is>
      </c>
      <c r="H940" s="0" t="inlineStr">
        <is>
          <t>XL</t>
        </is>
      </c>
      <c r="I940" s="0">
        <v>59.99</v>
      </c>
      <c r="J940" s="0">
        <v>4</v>
      </c>
    </row>
    <row r="941" spans="1:10" customHeight="0">
      <c r="A941" s="0">
        <f>HYPERLINK("https://dl.dropboxusercontent.com/scl/fi/c7nts8ec7d0tlzu9wx9s7/121231af75619-1.jpg?rlkey=zhayu2omhb9creywx6673ma9m&amp;dl=0","Click to download Image")</f>
      </c>
      <c r="B941" s="0">
        <f>HYPERLINK("https://dl.dropboxusercontent.com/scl/fi/7jys0n0r6xwe19mwgilu1/graphic-update2022-womens.jpg?rlkey=iyyl88fqoyrpg1m3nddke3by4&amp;dl=0","Click to download SizeChart")</f>
      </c>
      <c r="C941" s="0" t="inlineStr">
        <is>
          <t>Maya Women's Laser Cut Jacket</t>
        </is>
      </c>
      <c r="D941" s="0" t="inlineStr">
        <is>
          <t>'121231</t>
        </is>
      </c>
      <c r="E941" s="0" t="inlineStr">
        <is>
          <t>PURDUE MAYA W BLACK:121231E-2XL</t>
        </is>
      </c>
      <c r="F941" s="0" t="inlineStr">
        <is>
          <t>'804121231080</t>
        </is>
      </c>
      <c r="G941" s="0" t="inlineStr">
        <is>
          <t>WOMENS</t>
        </is>
      </c>
      <c r="H941" s="0" t="inlineStr">
        <is>
          <t>2XL</t>
        </is>
      </c>
      <c r="I941" s="0">
        <v>61.99</v>
      </c>
      <c r="J941" s="0">
        <v>2</v>
      </c>
    </row>
    <row r="942" spans="1:10" customHeight="0">
      <c r="A942" s="0">
        <f>HYPERLINK("https://dl.dropboxusercontent.com/scl/fi/c7nts8ec7d0tlzu9wx9s7/121231af75619-1.jpg?rlkey=zhayu2omhb9creywx6673ma9m&amp;dl=0","Click to download Image")</f>
      </c>
      <c r="B942" s="0">
        <f>HYPERLINK("https://dl.dropboxusercontent.com/scl/fi/7jys0n0r6xwe19mwgilu1/graphic-update2022-womens.jpg?rlkey=iyyl88fqoyrpg1m3nddke3by4&amp;dl=0","Click to download SizeChart")</f>
      </c>
      <c r="C942" s="0" t="inlineStr">
        <is>
          <t>Maya Women's Laser Cut Jacket</t>
        </is>
      </c>
      <c r="D942" s="0" t="inlineStr">
        <is>
          <t>'121231</t>
        </is>
      </c>
      <c r="E942" s="0" t="inlineStr">
        <is>
          <t>PURDUE MAYA W BLACK:121231F-3XL</t>
        </is>
      </c>
      <c r="F942" s="0" t="inlineStr">
        <is>
          <t>'804121231097</t>
        </is>
      </c>
      <c r="G942" s="0" t="inlineStr">
        <is>
          <t>WOMENS</t>
        </is>
      </c>
      <c r="H942" s="0" t="inlineStr">
        <is>
          <t>3XL</t>
        </is>
      </c>
      <c r="I942" s="0">
        <v>61.99</v>
      </c>
      <c r="J942" s="0">
        <v>2</v>
      </c>
    </row>
    <row r="943" spans="1:10" customHeight="0">
      <c r="A943" s="0">
        <f>HYPERLINK("https://dl.dropboxusercontent.com/scl/fi/c7nts8ec7d0tlzu9wx9s7/121231af75619-1.jpg?rlkey=zhayu2omhb9creywx6673ma9m&amp;dl=0","Click to download Image")</f>
      </c>
      <c r="B943" s="0">
        <f>HYPERLINK("https://dl.dropboxusercontent.com/scl/fi/7jys0n0r6xwe19mwgilu1/graphic-update2022-womens.jpg?rlkey=iyyl88fqoyrpg1m3nddke3by4&amp;dl=0","Click to download SizeChart")</f>
      </c>
      <c r="C943" s="0" t="inlineStr">
        <is>
          <t>Maya Women's Laser Cut Jacket</t>
        </is>
      </c>
      <c r="D943" s="0" t="inlineStr">
        <is>
          <t>'121231</t>
        </is>
      </c>
      <c r="E943" s="0" t="inlineStr">
        <is>
          <t>PURDUE MAYA W BLACK 12 PACK:121231Z-12PK</t>
        </is>
      </c>
      <c r="F943" s="0" t="inlineStr">
        <is>
          <t>'804121231998</t>
        </is>
      </c>
      <c r="G943" s="0" t="inlineStr">
        <is>
          <t>WOMENS</t>
        </is>
      </c>
      <c r="H943" s="0" t="inlineStr">
        <is>
          <t>12 PACK</t>
        </is>
      </c>
      <c r="I943" s="0">
        <v>599.76</v>
      </c>
      <c r="J943" s="0">
        <v>2</v>
      </c>
    </row>
    <row r="944" spans="1:10" customHeight="0">
      <c r="A944" s="0">
        <f>HYPERLINK("https://dl.dropboxusercontent.com/scl/fi/l5ahl6cjc8a6onosuoi23/121647f87325.jpg?rlkey=oof7glj3qzxalwkhlffyphxv9&amp;dl=0","Click to download Image")</f>
      </c>
      <c r="B944" s="0">
        <f>HYPERLINK("https://dl.dropboxusercontent.com/scl/fi/7jys0n0r6xwe19mwgilu1/graphic-update2022-womens.jpg?rlkey=iyyl88fqoyrpg1m3nddke3by4&amp;dl=0","Click to download SizeChart")</f>
      </c>
      <c r="C944" s="0" t="inlineStr">
        <is>
          <t>Maya Women's Laser Cut Jacket</t>
        </is>
      </c>
      <c r="D944" s="0" t="inlineStr">
        <is>
          <t>'121647</t>
        </is>
      </c>
      <c r="E944" s="0" t="inlineStr">
        <is>
          <t>KSU MAYA W BK:121647A-S</t>
        </is>
      </c>
      <c r="F944" s="0" t="inlineStr">
        <is>
          <t>'805121647048</t>
        </is>
      </c>
      <c r="G944" s="0" t="inlineStr">
        <is>
          <t>WOMENS</t>
        </is>
      </c>
      <c r="H944" s="0" t="inlineStr">
        <is>
          <t>S</t>
        </is>
      </c>
      <c r="I944" s="0">
        <v>59.99</v>
      </c>
      <c r="J944" s="0">
        <v>5</v>
      </c>
    </row>
    <row r="945" spans="1:10" customHeight="0">
      <c r="A945" s="0">
        <f>HYPERLINK("https://dl.dropboxusercontent.com/scl/fi/l5ahl6cjc8a6onosuoi23/121647f87325.jpg?rlkey=oof7glj3qzxalwkhlffyphxv9&amp;dl=0","Click to download Image")</f>
      </c>
      <c r="B945" s="0">
        <f>HYPERLINK("https://dl.dropboxusercontent.com/scl/fi/7jys0n0r6xwe19mwgilu1/graphic-update2022-womens.jpg?rlkey=iyyl88fqoyrpg1m3nddke3by4&amp;dl=0","Click to download SizeChart")</f>
      </c>
      <c r="C945" s="0" t="inlineStr">
        <is>
          <t>Maya Women's Laser Cut Jacket</t>
        </is>
      </c>
      <c r="D945" s="0" t="inlineStr">
        <is>
          <t>'121647</t>
        </is>
      </c>
      <c r="E945" s="0" t="inlineStr">
        <is>
          <t>KSU MAYA W BK:121647B-M</t>
        </is>
      </c>
      <c r="F945" s="0" t="inlineStr">
        <is>
          <t>'805121647055</t>
        </is>
      </c>
      <c r="G945" s="0" t="inlineStr">
        <is>
          <t>WOMENS</t>
        </is>
      </c>
      <c r="H945" s="0" t="inlineStr">
        <is>
          <t>M</t>
        </is>
      </c>
      <c r="I945" s="0">
        <v>59.99</v>
      </c>
      <c r="J945" s="0">
        <v>8</v>
      </c>
    </row>
    <row r="946" spans="1:10" customHeight="0">
      <c r="A946" s="0">
        <f>HYPERLINK("https://dl.dropboxusercontent.com/scl/fi/l5ahl6cjc8a6onosuoi23/121647f87325.jpg?rlkey=oof7glj3qzxalwkhlffyphxv9&amp;dl=0","Click to download Image")</f>
      </c>
      <c r="B946" s="0">
        <f>HYPERLINK("https://dl.dropboxusercontent.com/scl/fi/7jys0n0r6xwe19mwgilu1/graphic-update2022-womens.jpg?rlkey=iyyl88fqoyrpg1m3nddke3by4&amp;dl=0","Click to download SizeChart")</f>
      </c>
      <c r="C946" s="0" t="inlineStr">
        <is>
          <t>Maya Women's Laser Cut Jacket</t>
        </is>
      </c>
      <c r="D946" s="0" t="inlineStr">
        <is>
          <t>'121647</t>
        </is>
      </c>
      <c r="E946" s="0" t="inlineStr">
        <is>
          <t>KSU MAYA W BK:121647C-L</t>
        </is>
      </c>
      <c r="F946" s="0" t="inlineStr">
        <is>
          <t>'805121647062</t>
        </is>
      </c>
      <c r="G946" s="0" t="inlineStr">
        <is>
          <t>WOMENS</t>
        </is>
      </c>
      <c r="H946" s="0" t="inlineStr">
        <is>
          <t>L</t>
        </is>
      </c>
      <c r="I946" s="0">
        <v>59.99</v>
      </c>
      <c r="J946" s="0">
        <v>8</v>
      </c>
    </row>
    <row r="947" spans="1:10" customHeight="0">
      <c r="A947" s="0">
        <f>HYPERLINK("https://dl.dropboxusercontent.com/scl/fi/l5ahl6cjc8a6onosuoi23/121647f87325.jpg?rlkey=oof7glj3qzxalwkhlffyphxv9&amp;dl=0","Click to download Image")</f>
      </c>
      <c r="B947" s="0">
        <f>HYPERLINK("https://dl.dropboxusercontent.com/scl/fi/7jys0n0r6xwe19mwgilu1/graphic-update2022-womens.jpg?rlkey=iyyl88fqoyrpg1m3nddke3by4&amp;dl=0","Click to download SizeChart")</f>
      </c>
      <c r="C947" s="0" t="inlineStr">
        <is>
          <t>Maya Women's Laser Cut Jacket</t>
        </is>
      </c>
      <c r="D947" s="0" t="inlineStr">
        <is>
          <t>'121647</t>
        </is>
      </c>
      <c r="E947" s="0" t="inlineStr">
        <is>
          <t>KSU MAYA W BK:121647D-XL</t>
        </is>
      </c>
      <c r="F947" s="0" t="inlineStr">
        <is>
          <t>'805121647079</t>
        </is>
      </c>
      <c r="G947" s="0" t="inlineStr">
        <is>
          <t>WOMENS</t>
        </is>
      </c>
      <c r="H947" s="0" t="inlineStr">
        <is>
          <t>XL</t>
        </is>
      </c>
      <c r="I947" s="0">
        <v>59.99</v>
      </c>
      <c r="J947" s="0">
        <v>4</v>
      </c>
    </row>
    <row r="948" spans="1:10" customHeight="0">
      <c r="A948" s="0">
        <f>HYPERLINK("https://dl.dropboxusercontent.com/scl/fi/l5ahl6cjc8a6onosuoi23/121647f87325.jpg?rlkey=oof7glj3qzxalwkhlffyphxv9&amp;dl=0","Click to download Image")</f>
      </c>
      <c r="B948" s="0">
        <f>HYPERLINK("https://dl.dropboxusercontent.com/scl/fi/7jys0n0r6xwe19mwgilu1/graphic-update2022-womens.jpg?rlkey=iyyl88fqoyrpg1m3nddke3by4&amp;dl=0","Click to download SizeChart")</f>
      </c>
      <c r="C948" s="0" t="inlineStr">
        <is>
          <t>Maya Women's Laser Cut Jacket</t>
        </is>
      </c>
      <c r="D948" s="0" t="inlineStr">
        <is>
          <t>'121647</t>
        </is>
      </c>
      <c r="E948" s="0" t="inlineStr">
        <is>
          <t>KSU MAYA W BK:121647E-2XL</t>
        </is>
      </c>
      <c r="F948" s="0" t="inlineStr">
        <is>
          <t>'805121647086</t>
        </is>
      </c>
      <c r="G948" s="0" t="inlineStr">
        <is>
          <t>WOMENS</t>
        </is>
      </c>
      <c r="H948" s="0" t="inlineStr">
        <is>
          <t>2XL</t>
        </is>
      </c>
      <c r="I948" s="0">
        <v>61.99</v>
      </c>
      <c r="J948" s="0">
        <v>2</v>
      </c>
    </row>
    <row r="949" spans="1:10" customHeight="0">
      <c r="A949" s="0">
        <f>HYPERLINK("https://dl.dropboxusercontent.com/scl/fi/l5ahl6cjc8a6onosuoi23/121647f87325.jpg?rlkey=oof7glj3qzxalwkhlffyphxv9&amp;dl=0","Click to download Image")</f>
      </c>
      <c r="B949" s="0">
        <f>HYPERLINK("https://dl.dropboxusercontent.com/scl/fi/7jys0n0r6xwe19mwgilu1/graphic-update2022-womens.jpg?rlkey=iyyl88fqoyrpg1m3nddke3by4&amp;dl=0","Click to download SizeChart")</f>
      </c>
      <c r="C949" s="0" t="inlineStr">
        <is>
          <t>Maya Women's Laser Cut Jacket</t>
        </is>
      </c>
      <c r="D949" s="0" t="inlineStr">
        <is>
          <t>'121647</t>
        </is>
      </c>
      <c r="E949" s="0" t="inlineStr">
        <is>
          <t>KSU MAYA W BK:121647F-3XL</t>
        </is>
      </c>
      <c r="F949" s="0" t="inlineStr">
        <is>
          <t>'805121647093</t>
        </is>
      </c>
      <c r="G949" s="0" t="inlineStr">
        <is>
          <t>WOMENS</t>
        </is>
      </c>
      <c r="H949" s="0" t="inlineStr">
        <is>
          <t>3XL</t>
        </is>
      </c>
      <c r="I949" s="0">
        <v>61.99</v>
      </c>
      <c r="J949" s="0">
        <v>1</v>
      </c>
    </row>
    <row r="950" spans="1:10" customHeight="0">
      <c r="A950" s="0">
        <f>HYPERLINK("https://dl.dropboxusercontent.com/scl/fi/l5ahl6cjc8a6onosuoi23/121647f87325.jpg?rlkey=oof7glj3qzxalwkhlffyphxv9&amp;dl=0","Click to download Image")</f>
      </c>
      <c r="B950" s="0">
        <f>HYPERLINK("https://dl.dropboxusercontent.com/scl/fi/7jys0n0r6xwe19mwgilu1/graphic-update2022-womens.jpg?rlkey=iyyl88fqoyrpg1m3nddke3by4&amp;dl=0","Click to download SizeChart")</f>
      </c>
      <c r="C950" s="0" t="inlineStr">
        <is>
          <t>Maya Women's Laser Cut Jacket</t>
        </is>
      </c>
      <c r="D950" s="0" t="inlineStr">
        <is>
          <t>'121647</t>
        </is>
      </c>
      <c r="E950" s="0" t="inlineStr">
        <is>
          <t>KSU MAYA W BK 12PK:121647Z-12PK</t>
        </is>
      </c>
      <c r="F950" s="0" t="inlineStr">
        <is>
          <t>'805121647994</t>
        </is>
      </c>
      <c r="G950" s="0" t="inlineStr">
        <is>
          <t>WOMENS</t>
        </is>
      </c>
      <c r="H950" s="0" t="inlineStr">
        <is>
          <t>12 PACK</t>
        </is>
      </c>
      <c r="I950" s="0">
        <v>599.76</v>
      </c>
      <c r="J950" s="0">
        <v>2</v>
      </c>
    </row>
    <row r="951" spans="1:10" customHeight="0">
      <c r="A951" s="0">
        <f>HYPERLINK("https://dl.dropboxusercontent.com/scl/fi/6b75j7m9pol0kjqzquggv/120488af28062.jpg?rlkey=sl7d2utm2kkolfhyxk08tcoi5&amp;dl=0","Click to download Image")</f>
      </c>
      <c r="B951" s="0">
        <f>HYPERLINK("https://dl.dropboxusercontent.com/scl/fi/7jys0n0r6xwe19mwgilu1/graphic-update2022-womens.jpg?rlkey=iyyl88fqoyrpg1m3nddke3by4&amp;dl=0","Click to download SizeChart")</f>
      </c>
      <c r="C951" s="0" t="inlineStr">
        <is>
          <t>Maya Women's Laser Cut Jacket</t>
        </is>
      </c>
      <c r="D951" s="0" t="inlineStr">
        <is>
          <t>'120488</t>
        </is>
      </c>
      <c r="E951" s="0" t="inlineStr">
        <is>
          <t>UNI MAYA W BLACK:120488A-S</t>
        </is>
      </c>
      <c r="F951" s="0" t="inlineStr">
        <is>
          <t>'802120488047</t>
        </is>
      </c>
      <c r="G951" s="0" t="inlineStr">
        <is>
          <t>WOMENS</t>
        </is>
      </c>
      <c r="H951" s="0" t="inlineStr">
        <is>
          <t>S</t>
        </is>
      </c>
      <c r="I951" s="0">
        <v>59.99</v>
      </c>
      <c r="J951" s="0">
        <v>6</v>
      </c>
    </row>
    <row r="952" spans="1:10" customHeight="0">
      <c r="A952" s="0">
        <f>HYPERLINK("https://dl.dropboxusercontent.com/scl/fi/6b75j7m9pol0kjqzquggv/120488af28062.jpg?rlkey=sl7d2utm2kkolfhyxk08tcoi5&amp;dl=0","Click to download Image")</f>
      </c>
      <c r="B952" s="0">
        <f>HYPERLINK("https://dl.dropboxusercontent.com/scl/fi/7jys0n0r6xwe19mwgilu1/graphic-update2022-womens.jpg?rlkey=iyyl88fqoyrpg1m3nddke3by4&amp;dl=0","Click to download SizeChart")</f>
      </c>
      <c r="C952" s="0" t="inlineStr">
        <is>
          <t>Maya Women's Laser Cut Jacket</t>
        </is>
      </c>
      <c r="D952" s="0" t="inlineStr">
        <is>
          <t>'120488</t>
        </is>
      </c>
      <c r="E952" s="0" t="inlineStr">
        <is>
          <t>UNI MAYA W BLACK:120488B-M</t>
        </is>
      </c>
      <c r="F952" s="0" t="inlineStr">
        <is>
          <t>'802120488054</t>
        </is>
      </c>
      <c r="G952" s="0" t="inlineStr">
        <is>
          <t>WOMENS</t>
        </is>
      </c>
      <c r="H952" s="0" t="inlineStr">
        <is>
          <t>M</t>
        </is>
      </c>
      <c r="I952" s="0">
        <v>59.99</v>
      </c>
      <c r="J952" s="0">
        <v>8</v>
      </c>
    </row>
    <row r="953" spans="1:10" customHeight="0">
      <c r="A953" s="0">
        <f>HYPERLINK("https://dl.dropboxusercontent.com/scl/fi/6b75j7m9pol0kjqzquggv/120488af28062.jpg?rlkey=sl7d2utm2kkolfhyxk08tcoi5&amp;dl=0","Click to download Image")</f>
      </c>
      <c r="B953" s="0">
        <f>HYPERLINK("https://dl.dropboxusercontent.com/scl/fi/7jys0n0r6xwe19mwgilu1/graphic-update2022-womens.jpg?rlkey=iyyl88fqoyrpg1m3nddke3by4&amp;dl=0","Click to download SizeChart")</f>
      </c>
      <c r="C953" s="0" t="inlineStr">
        <is>
          <t>Maya Women's Laser Cut Jacket</t>
        </is>
      </c>
      <c r="D953" s="0" t="inlineStr">
        <is>
          <t>'120488</t>
        </is>
      </c>
      <c r="E953" s="0" t="inlineStr">
        <is>
          <t>UNI MAYA W BLACK:120488C-L</t>
        </is>
      </c>
      <c r="F953" s="0" t="inlineStr">
        <is>
          <t>'802120488061</t>
        </is>
      </c>
      <c r="G953" s="0" t="inlineStr">
        <is>
          <t>WOMENS</t>
        </is>
      </c>
      <c r="H953" s="0" t="inlineStr">
        <is>
          <t>L</t>
        </is>
      </c>
      <c r="I953" s="0">
        <v>59.99</v>
      </c>
      <c r="J953" s="0">
        <v>8</v>
      </c>
    </row>
    <row r="954" spans="1:10" customHeight="0">
      <c r="A954" s="0">
        <f>HYPERLINK("https://dl.dropboxusercontent.com/scl/fi/6b75j7m9pol0kjqzquggv/120488af28062.jpg?rlkey=sl7d2utm2kkolfhyxk08tcoi5&amp;dl=0","Click to download Image")</f>
      </c>
      <c r="B954" s="0">
        <f>HYPERLINK("https://dl.dropboxusercontent.com/scl/fi/7jys0n0r6xwe19mwgilu1/graphic-update2022-womens.jpg?rlkey=iyyl88fqoyrpg1m3nddke3by4&amp;dl=0","Click to download SizeChart")</f>
      </c>
      <c r="C954" s="0" t="inlineStr">
        <is>
          <t>Maya Women's Laser Cut Jacket</t>
        </is>
      </c>
      <c r="D954" s="0" t="inlineStr">
        <is>
          <t>'120488</t>
        </is>
      </c>
      <c r="E954" s="0" t="inlineStr">
        <is>
          <t>UNI MAYA W BLACK:120488D-XL</t>
        </is>
      </c>
      <c r="F954" s="0" t="inlineStr">
        <is>
          <t>'802120488078</t>
        </is>
      </c>
      <c r="G954" s="0" t="inlineStr">
        <is>
          <t>WOMENS</t>
        </is>
      </c>
      <c r="H954" s="0" t="inlineStr">
        <is>
          <t>XL</t>
        </is>
      </c>
      <c r="I954" s="0">
        <v>59.99</v>
      </c>
      <c r="J954" s="0">
        <v>4</v>
      </c>
    </row>
    <row r="955" spans="1:10" customHeight="0">
      <c r="A955" s="0">
        <f>HYPERLINK("https://dl.dropboxusercontent.com/scl/fi/6b75j7m9pol0kjqzquggv/120488af28062.jpg?rlkey=sl7d2utm2kkolfhyxk08tcoi5&amp;dl=0","Click to download Image")</f>
      </c>
      <c r="B955" s="0">
        <f>HYPERLINK("https://dl.dropboxusercontent.com/scl/fi/7jys0n0r6xwe19mwgilu1/graphic-update2022-womens.jpg?rlkey=iyyl88fqoyrpg1m3nddke3by4&amp;dl=0","Click to download SizeChart")</f>
      </c>
      <c r="C955" s="0" t="inlineStr">
        <is>
          <t>Maya Women's Laser Cut Jacket</t>
        </is>
      </c>
      <c r="D955" s="0" t="inlineStr">
        <is>
          <t>'120488</t>
        </is>
      </c>
      <c r="E955" s="0" t="inlineStr">
        <is>
          <t>UNI MAYA W BLACK:120488E-2XL</t>
        </is>
      </c>
      <c r="F955" s="0" t="inlineStr">
        <is>
          <t>'802120488085</t>
        </is>
      </c>
      <c r="G955" s="0" t="inlineStr">
        <is>
          <t>WOMENS</t>
        </is>
      </c>
      <c r="H955" s="0" t="inlineStr">
        <is>
          <t>2XL</t>
        </is>
      </c>
      <c r="I955" s="0">
        <v>61.99</v>
      </c>
      <c r="J955" s="0">
        <v>6</v>
      </c>
    </row>
    <row r="956" spans="1:10" customHeight="0">
      <c r="A956" s="0">
        <f>HYPERLINK("https://dl.dropboxusercontent.com/scl/fi/6b75j7m9pol0kjqzquggv/120488af28062.jpg?rlkey=sl7d2utm2kkolfhyxk08tcoi5&amp;dl=0","Click to download Image")</f>
      </c>
      <c r="B956" s="0">
        <f>HYPERLINK("https://dl.dropboxusercontent.com/scl/fi/7jys0n0r6xwe19mwgilu1/graphic-update2022-womens.jpg?rlkey=iyyl88fqoyrpg1m3nddke3by4&amp;dl=0","Click to download SizeChart")</f>
      </c>
      <c r="C956" s="0" t="inlineStr">
        <is>
          <t>Maya Women's Laser Cut Jacket</t>
        </is>
      </c>
      <c r="D956" s="0" t="inlineStr">
        <is>
          <t>'120488</t>
        </is>
      </c>
      <c r="E956" s="0" t="inlineStr">
        <is>
          <t>UNI MAYA W BLACK:120488F-3XL</t>
        </is>
      </c>
      <c r="F956" s="0" t="inlineStr">
        <is>
          <t>'802120488092</t>
        </is>
      </c>
      <c r="G956" s="0" t="inlineStr">
        <is>
          <t>WOMENS</t>
        </is>
      </c>
      <c r="H956" s="0" t="inlineStr">
        <is>
          <t>3XL</t>
        </is>
      </c>
      <c r="I956" s="0">
        <v>61.99</v>
      </c>
      <c r="J956" s="0">
        <v>1</v>
      </c>
    </row>
    <row r="957" spans="1:10" customHeight="0">
      <c r="A957" s="0">
        <f>HYPERLINK("https://dl.dropboxusercontent.com/scl/fi/6b75j7m9pol0kjqzquggv/120488af28062.jpg?rlkey=sl7d2utm2kkolfhyxk08tcoi5&amp;dl=0","Click to download Image")</f>
      </c>
      <c r="B957" s="0">
        <f>HYPERLINK("https://dl.dropboxusercontent.com/scl/fi/7jys0n0r6xwe19mwgilu1/graphic-update2022-womens.jpg?rlkey=iyyl88fqoyrpg1m3nddke3by4&amp;dl=0","Click to download SizeChart")</f>
      </c>
      <c r="C957" s="0" t="inlineStr">
        <is>
          <t>Maya Women's Laser Cut Jacket</t>
        </is>
      </c>
      <c r="D957" s="0" t="inlineStr">
        <is>
          <t>'120488</t>
        </is>
      </c>
      <c r="E957" s="0" t="inlineStr">
        <is>
          <t>UNI MAYA W BLACK 12 PACK:120488Z-12PK</t>
        </is>
      </c>
      <c r="F957" s="0" t="inlineStr">
        <is>
          <t>'802120488993</t>
        </is>
      </c>
      <c r="G957" s="0" t="inlineStr">
        <is>
          <t>WOMENS</t>
        </is>
      </c>
      <c r="H957" s="0" t="inlineStr">
        <is>
          <t>12 PACK</t>
        </is>
      </c>
      <c r="I957" s="0">
        <v>599.76</v>
      </c>
      <c r="J957" s="0">
        <v>1</v>
      </c>
    </row>
    <row r="958" spans="1:10" customHeight="0">
      <c r="A958" s="0">
        <f>HYPERLINK("https://dl.dropboxusercontent.com/scl/fi/f7o3jfaymj3pbkqd0miwa/121229-af.jpg?rlkey=w0rvzczj9rs3hjgo60291vm1n&amp;dl=0","Click to download Image")</f>
      </c>
      <c r="B958" s="0">
        <f>HYPERLINK("https://dl.dropboxusercontent.com/scl/fi/kmuivlu8yev32duygy0qe/mens-pullover-size-chartslinc.jpg?rlkey=gq0v7i5e05f84nq2gkxecqx5k&amp;dl=0","Click to download SizeChart")</f>
      </c>
      <c r="C958" s="0" t="inlineStr">
        <is>
          <t>Linc Men's Pullover</t>
        </is>
      </c>
      <c r="D958" s="0" t="inlineStr">
        <is>
          <t>'121229</t>
        </is>
      </c>
      <c r="E958" s="0" t="inlineStr">
        <is>
          <t>PURDUE LINC M HEATHER GREY:121229A-S</t>
        </is>
      </c>
      <c r="F958" s="0" t="inlineStr">
        <is>
          <t>'804121229049</t>
        </is>
      </c>
      <c r="G958" s="0" t="inlineStr">
        <is>
          <t>MENS</t>
        </is>
      </c>
      <c r="H958" s="0" t="inlineStr">
        <is>
          <t>S</t>
        </is>
      </c>
      <c r="I958" s="0">
        <v>49.99</v>
      </c>
      <c r="J958" s="0">
        <v>2</v>
      </c>
    </row>
    <row r="959" spans="1:10" customHeight="0">
      <c r="A959" s="0">
        <f>HYPERLINK("https://dl.dropboxusercontent.com/scl/fi/f7o3jfaymj3pbkqd0miwa/121229-af.jpg?rlkey=w0rvzczj9rs3hjgo60291vm1n&amp;dl=0","Click to download Image")</f>
      </c>
      <c r="B959" s="0">
        <f>HYPERLINK("https://dl.dropboxusercontent.com/scl/fi/kmuivlu8yev32duygy0qe/mens-pullover-size-chartslinc.jpg?rlkey=gq0v7i5e05f84nq2gkxecqx5k&amp;dl=0","Click to download SizeChart")</f>
      </c>
      <c r="C959" s="0" t="inlineStr">
        <is>
          <t>Linc Men's Pullover</t>
        </is>
      </c>
      <c r="D959" s="0" t="inlineStr">
        <is>
          <t>'121229</t>
        </is>
      </c>
      <c r="E959" s="0" t="inlineStr">
        <is>
          <t>PURDUE LINC M HEATHER GREY:121229B-M</t>
        </is>
      </c>
      <c r="F959" s="0" t="inlineStr">
        <is>
          <t>'804121229056</t>
        </is>
      </c>
      <c r="G959" s="0" t="inlineStr">
        <is>
          <t>MENS</t>
        </is>
      </c>
      <c r="H959" s="0" t="inlineStr">
        <is>
          <t>M</t>
        </is>
      </c>
      <c r="I959" s="0">
        <v>49.99</v>
      </c>
      <c r="J959" s="0">
        <v>0</v>
      </c>
    </row>
    <row r="960" spans="1:10" customHeight="0">
      <c r="A960" s="0">
        <f>HYPERLINK("https://dl.dropboxusercontent.com/scl/fi/f7o3jfaymj3pbkqd0miwa/121229-af.jpg?rlkey=w0rvzczj9rs3hjgo60291vm1n&amp;dl=0","Click to download Image")</f>
      </c>
      <c r="B960" s="0">
        <f>HYPERLINK("https://dl.dropboxusercontent.com/scl/fi/kmuivlu8yev32duygy0qe/mens-pullover-size-chartslinc.jpg?rlkey=gq0v7i5e05f84nq2gkxecqx5k&amp;dl=0","Click to download SizeChart")</f>
      </c>
      <c r="C960" s="0" t="inlineStr">
        <is>
          <t>Linc Men's Pullover</t>
        </is>
      </c>
      <c r="D960" s="0" t="inlineStr">
        <is>
          <t>'121229</t>
        </is>
      </c>
      <c r="E960" s="0" t="inlineStr">
        <is>
          <t>PURDUE LINC M HEATHER GREY:121229C-L</t>
        </is>
      </c>
      <c r="F960" s="0" t="inlineStr">
        <is>
          <t>'804121229063</t>
        </is>
      </c>
      <c r="G960" s="0" t="inlineStr">
        <is>
          <t>MENS</t>
        </is>
      </c>
      <c r="H960" s="0" t="inlineStr">
        <is>
          <t>L</t>
        </is>
      </c>
      <c r="I960" s="0">
        <v>49.99</v>
      </c>
      <c r="J960" s="0">
        <v>0</v>
      </c>
    </row>
    <row r="961" spans="1:10" customHeight="0">
      <c r="A961" s="0">
        <f>HYPERLINK("https://dl.dropboxusercontent.com/scl/fi/f7o3jfaymj3pbkqd0miwa/121229-af.jpg?rlkey=w0rvzczj9rs3hjgo60291vm1n&amp;dl=0","Click to download Image")</f>
      </c>
      <c r="B961" s="0">
        <f>HYPERLINK("https://dl.dropboxusercontent.com/scl/fi/kmuivlu8yev32duygy0qe/mens-pullover-size-chartslinc.jpg?rlkey=gq0v7i5e05f84nq2gkxecqx5k&amp;dl=0","Click to download SizeChart")</f>
      </c>
      <c r="C961" s="0" t="inlineStr">
        <is>
          <t>Linc Men's Pullover</t>
        </is>
      </c>
      <c r="D961" s="0" t="inlineStr">
        <is>
          <t>'121229</t>
        </is>
      </c>
      <c r="E961" s="0" t="inlineStr">
        <is>
          <t>PURDUE LINC M HEATHER GREY:121229D-XL</t>
        </is>
      </c>
      <c r="F961" s="0" t="inlineStr">
        <is>
          <t>'804121229070</t>
        </is>
      </c>
      <c r="G961" s="0" t="inlineStr">
        <is>
          <t>MENS</t>
        </is>
      </c>
      <c r="H961" s="0" t="inlineStr">
        <is>
          <t>XL</t>
        </is>
      </c>
      <c r="I961" s="0">
        <v>49.99</v>
      </c>
      <c r="J961" s="0">
        <v>0</v>
      </c>
    </row>
    <row r="962" spans="1:10" customHeight="0">
      <c r="A962" s="0">
        <f>HYPERLINK("https://dl.dropboxusercontent.com/scl/fi/f7o3jfaymj3pbkqd0miwa/121229-af.jpg?rlkey=w0rvzczj9rs3hjgo60291vm1n&amp;dl=0","Click to download Image")</f>
      </c>
      <c r="B962" s="0">
        <f>HYPERLINK("https://dl.dropboxusercontent.com/scl/fi/kmuivlu8yev32duygy0qe/mens-pullover-size-chartslinc.jpg?rlkey=gq0v7i5e05f84nq2gkxecqx5k&amp;dl=0","Click to download SizeChart")</f>
      </c>
      <c r="C962" s="0" t="inlineStr">
        <is>
          <t>Linc Men's Pullover</t>
        </is>
      </c>
      <c r="D962" s="0" t="inlineStr">
        <is>
          <t>'121229</t>
        </is>
      </c>
      <c r="E962" s="0" t="inlineStr">
        <is>
          <t>PURDUE LINC M HEATHER GREY:121229E-2XL</t>
        </is>
      </c>
      <c r="F962" s="0" t="inlineStr">
        <is>
          <t>'804121229087</t>
        </is>
      </c>
      <c r="G962" s="0" t="inlineStr">
        <is>
          <t>MENS</t>
        </is>
      </c>
      <c r="H962" s="0" t="inlineStr">
        <is>
          <t>2XL</t>
        </is>
      </c>
      <c r="I962" s="0">
        <v>49.99</v>
      </c>
      <c r="J962" s="0">
        <v>0</v>
      </c>
    </row>
    <row r="963" spans="1:10" customHeight="0">
      <c r="A963" s="0">
        <f>HYPERLINK("https://dl.dropboxusercontent.com/scl/fi/f7o3jfaymj3pbkqd0miwa/121229-af.jpg?rlkey=w0rvzczj9rs3hjgo60291vm1n&amp;dl=0","Click to download Image")</f>
      </c>
      <c r="B963" s="0">
        <f>HYPERLINK("https://dl.dropboxusercontent.com/scl/fi/kmuivlu8yev32duygy0qe/mens-pullover-size-chartslinc.jpg?rlkey=gq0v7i5e05f84nq2gkxecqx5k&amp;dl=0","Click to download SizeChart")</f>
      </c>
      <c r="C963" s="0" t="inlineStr">
        <is>
          <t>Linc Men's Pullover</t>
        </is>
      </c>
      <c r="D963" s="0" t="inlineStr">
        <is>
          <t>'121229</t>
        </is>
      </c>
      <c r="E963" s="0" t="inlineStr">
        <is>
          <t>PURDUE LINC M HEATHER GREY:121229F-3XL</t>
        </is>
      </c>
      <c r="F963" s="0" t="inlineStr">
        <is>
          <t>'804121229094</t>
        </is>
      </c>
      <c r="G963" s="0" t="inlineStr">
        <is>
          <t>MENS</t>
        </is>
      </c>
      <c r="H963" s="0" t="inlineStr">
        <is>
          <t>3XL</t>
        </is>
      </c>
      <c r="I963" s="0">
        <v>49.99</v>
      </c>
      <c r="J963" s="0">
        <v>0</v>
      </c>
    </row>
    <row r="964" spans="1:10" customHeight="0">
      <c r="A964" s="0">
        <f>HYPERLINK("https://dl.dropboxusercontent.com/scl/fi/f7o3jfaymj3pbkqd0miwa/121229-af.jpg?rlkey=w0rvzczj9rs3hjgo60291vm1n&amp;dl=0","Click to download Image")</f>
      </c>
      <c r="B964" s="0">
        <f>HYPERLINK("https://dl.dropboxusercontent.com/scl/fi/kmuivlu8yev32duygy0qe/mens-pullover-size-chartslinc.jpg?rlkey=gq0v7i5e05f84nq2gkxecqx5k&amp;dl=0","Click to download SizeChart")</f>
      </c>
      <c r="C964" s="0" t="inlineStr">
        <is>
          <t>Linc Men's Pullover</t>
        </is>
      </c>
      <c r="D964" s="0" t="inlineStr">
        <is>
          <t>'121229</t>
        </is>
      </c>
      <c r="E964" s="0" t="inlineStr">
        <is>
          <t>PURDUE LINC M HEATHER GREY 12 PACK:121229Z-12PK</t>
        </is>
      </c>
      <c r="F964" s="0" t="inlineStr">
        <is>
          <t>'804121229995</t>
        </is>
      </c>
      <c r="G964" s="0" t="inlineStr">
        <is>
          <t>MENS</t>
        </is>
      </c>
      <c r="H964" s="0" t="inlineStr">
        <is>
          <t>12 PACK</t>
        </is>
      </c>
      <c r="I964" s="0">
        <v>479.76</v>
      </c>
      <c r="J964" s="0">
        <v>0</v>
      </c>
    </row>
    <row r="965" spans="1:10" customHeight="0">
      <c r="A965" s="0">
        <f>HYPERLINK("https://dl.dropboxusercontent.com/scl/fi/84x8i9ywtlv8rbq4mq0ar/116146-af.jpg?rlkey=milx98905owpb14kpr6ipkaip&amp;dl=0","Click to download Image")</f>
      </c>
      <c r="B965" s="0">
        <f>HYPERLINK("https://dl.dropboxusercontent.com/scl/fi/zgja7xqoenawkh9lju9jm/womens-pullover-size-chartsrose.jpg?rlkey=yf4u5nekr1lu5hi59yw7e4uha&amp;dl=0","Click to download SizeChart")</f>
      </c>
      <c r="C965" s="0" t="inlineStr">
        <is>
          <t>Rose Women's Long Sleeve Shirt</t>
        </is>
      </c>
      <c r="D965" s="0" t="inlineStr">
        <is>
          <t>'116146</t>
        </is>
      </c>
      <c r="E965" s="0" t="inlineStr">
        <is>
          <t>ISU ROSE W GREY:116146A - S</t>
        </is>
      </c>
      <c r="F965" s="0" t="inlineStr">
        <is>
          <t>'801116146046</t>
        </is>
      </c>
      <c r="G965" s="0" t="inlineStr">
        <is>
          <t>WOMENS</t>
        </is>
      </c>
      <c r="H965" s="0" t="inlineStr">
        <is>
          <t>S</t>
        </is>
      </c>
      <c r="I965" s="0">
        <v>49.99</v>
      </c>
      <c r="J965" s="0">
        <v>6</v>
      </c>
    </row>
    <row r="966" spans="1:10" customHeight="0">
      <c r="A966" s="0">
        <f>HYPERLINK("https://dl.dropboxusercontent.com/scl/fi/84x8i9ywtlv8rbq4mq0ar/116146-af.jpg?rlkey=milx98905owpb14kpr6ipkaip&amp;dl=0","Click to download Image")</f>
      </c>
      <c r="B966" s="0">
        <f>HYPERLINK("https://dl.dropboxusercontent.com/scl/fi/zgja7xqoenawkh9lju9jm/womens-pullover-size-chartsrose.jpg?rlkey=yf4u5nekr1lu5hi59yw7e4uha&amp;dl=0","Click to download SizeChart")</f>
      </c>
      <c r="C966" s="0" t="inlineStr">
        <is>
          <t>Rose Women's Long Sleeve Shirt</t>
        </is>
      </c>
      <c r="D966" s="0" t="inlineStr">
        <is>
          <t>'116146</t>
        </is>
      </c>
      <c r="E966" s="0" t="inlineStr">
        <is>
          <t>ISU ROSE W GREY:116146B - M</t>
        </is>
      </c>
      <c r="F966" s="0" t="inlineStr">
        <is>
          <t>'801116146053</t>
        </is>
      </c>
      <c r="G966" s="0" t="inlineStr">
        <is>
          <t>WOMENS</t>
        </is>
      </c>
      <c r="H966" s="0" t="inlineStr">
        <is>
          <t>M</t>
        </is>
      </c>
      <c r="I966" s="0">
        <v>49.99</v>
      </c>
      <c r="J966" s="0">
        <v>13</v>
      </c>
    </row>
    <row r="967" spans="1:10" customHeight="0">
      <c r="A967" s="0">
        <f>HYPERLINK("https://dl.dropboxusercontent.com/scl/fi/84x8i9ywtlv8rbq4mq0ar/116146-af.jpg?rlkey=milx98905owpb14kpr6ipkaip&amp;dl=0","Click to download Image")</f>
      </c>
      <c r="B967" s="0">
        <f>HYPERLINK("https://dl.dropboxusercontent.com/scl/fi/zgja7xqoenawkh9lju9jm/womens-pullover-size-chartsrose.jpg?rlkey=yf4u5nekr1lu5hi59yw7e4uha&amp;dl=0","Click to download SizeChart")</f>
      </c>
      <c r="C967" s="0" t="inlineStr">
        <is>
          <t>Rose Women's Long Sleeve Shirt</t>
        </is>
      </c>
      <c r="D967" s="0" t="inlineStr">
        <is>
          <t>'116146</t>
        </is>
      </c>
      <c r="E967" s="0" t="inlineStr">
        <is>
          <t>ISU ROSE W GREY:116146C - L</t>
        </is>
      </c>
      <c r="F967" s="0" t="inlineStr">
        <is>
          <t>'801116146060</t>
        </is>
      </c>
      <c r="G967" s="0" t="inlineStr">
        <is>
          <t>WOMENS</t>
        </is>
      </c>
      <c r="H967" s="0" t="inlineStr">
        <is>
          <t>L</t>
        </is>
      </c>
      <c r="I967" s="0">
        <v>49.99</v>
      </c>
      <c r="J967" s="0">
        <v>11</v>
      </c>
    </row>
    <row r="968" spans="1:10" customHeight="0">
      <c r="A968" s="0">
        <f>HYPERLINK("https://dl.dropboxusercontent.com/scl/fi/84x8i9ywtlv8rbq4mq0ar/116146-af.jpg?rlkey=milx98905owpb14kpr6ipkaip&amp;dl=0","Click to download Image")</f>
      </c>
      <c r="B968" s="0">
        <f>HYPERLINK("https://dl.dropboxusercontent.com/scl/fi/zgja7xqoenawkh9lju9jm/womens-pullover-size-chartsrose.jpg?rlkey=yf4u5nekr1lu5hi59yw7e4uha&amp;dl=0","Click to download SizeChart")</f>
      </c>
      <c r="C968" s="0" t="inlineStr">
        <is>
          <t>Rose Women's Long Sleeve Shirt</t>
        </is>
      </c>
      <c r="D968" s="0" t="inlineStr">
        <is>
          <t>'116146</t>
        </is>
      </c>
      <c r="E968" s="0" t="inlineStr">
        <is>
          <t>ISU ROSE W GREY:116146D - XL</t>
        </is>
      </c>
      <c r="F968" s="0" t="inlineStr">
        <is>
          <t>'801116146077</t>
        </is>
      </c>
      <c r="G968" s="0" t="inlineStr">
        <is>
          <t>WOMENS</t>
        </is>
      </c>
      <c r="H968" s="0" t="inlineStr">
        <is>
          <t>XL</t>
        </is>
      </c>
      <c r="I968" s="0">
        <v>49.99</v>
      </c>
      <c r="J968" s="0">
        <v>5</v>
      </c>
    </row>
    <row r="969" spans="1:10" customHeight="0">
      <c r="A969" s="0">
        <f>HYPERLINK("https://dl.dropboxusercontent.com/scl/fi/84x8i9ywtlv8rbq4mq0ar/116146-af.jpg?rlkey=milx98905owpb14kpr6ipkaip&amp;dl=0","Click to download Image")</f>
      </c>
      <c r="B969" s="0">
        <f>HYPERLINK("https://dl.dropboxusercontent.com/scl/fi/zgja7xqoenawkh9lju9jm/womens-pullover-size-chartsrose.jpg?rlkey=yf4u5nekr1lu5hi59yw7e4uha&amp;dl=0","Click to download SizeChart")</f>
      </c>
      <c r="C969" s="0" t="inlineStr">
        <is>
          <t>Rose Women's Long Sleeve Shirt</t>
        </is>
      </c>
      <c r="D969" s="0" t="inlineStr">
        <is>
          <t>'116146</t>
        </is>
      </c>
      <c r="E969" s="0" t="inlineStr">
        <is>
          <t>ISU ROSE W GREY:116146E - 2XL</t>
        </is>
      </c>
      <c r="F969" s="0" t="inlineStr">
        <is>
          <t>'801116146084</t>
        </is>
      </c>
      <c r="G969" s="0" t="inlineStr">
        <is>
          <t>WOMENS</t>
        </is>
      </c>
      <c r="H969" s="0" t="inlineStr">
        <is>
          <t>2XL</t>
        </is>
      </c>
      <c r="I969" s="0">
        <v>49.99</v>
      </c>
      <c r="J969" s="0">
        <v>2</v>
      </c>
    </row>
    <row r="970" spans="1:10" customHeight="0">
      <c r="A970" s="0">
        <f>HYPERLINK("https://dl.dropboxusercontent.com/scl/fi/84x8i9ywtlv8rbq4mq0ar/116146-af.jpg?rlkey=milx98905owpb14kpr6ipkaip&amp;dl=0","Click to download Image")</f>
      </c>
      <c r="B970" s="0">
        <f>HYPERLINK("https://dl.dropboxusercontent.com/scl/fi/zgja7xqoenawkh9lju9jm/womens-pullover-size-chartsrose.jpg?rlkey=yf4u5nekr1lu5hi59yw7e4uha&amp;dl=0","Click to download SizeChart")</f>
      </c>
      <c r="C970" s="0" t="inlineStr">
        <is>
          <t>Rose Women's Long Sleeve Shirt</t>
        </is>
      </c>
      <c r="D970" s="0" t="inlineStr">
        <is>
          <t>'116146</t>
        </is>
      </c>
      <c r="E970" s="0" t="inlineStr">
        <is>
          <t>ISU ROSE W GREY:116146F - 3XL</t>
        </is>
      </c>
      <c r="F970" s="0" t="inlineStr">
        <is>
          <t>'801116146091</t>
        </is>
      </c>
      <c r="G970" s="0" t="inlineStr">
        <is>
          <t>WOMENS</t>
        </is>
      </c>
      <c r="H970" s="0" t="inlineStr">
        <is>
          <t>3XL</t>
        </is>
      </c>
      <c r="I970" s="0">
        <v>49.99</v>
      </c>
      <c r="J970" s="0">
        <v>3</v>
      </c>
    </row>
    <row r="971" spans="1:10" customHeight="0">
      <c r="A971" s="0">
        <f>HYPERLINK("https://dl.dropboxusercontent.com/scl/fi/amz27x8yrgyjvhrg35jg9/121162-af.jpg?rlkey=6lddyz2g1bqsg2ywucfut7cli&amp;dl=0","Click to download Image")</f>
      </c>
      <c r="B971" s="0">
        <f>HYPERLINK("https://dl.dropboxusercontent.com/scl/fi/k901l4j9yhs85x7z8czf9/mens-polo-size-chartsfarley.jpg?rlkey=444636gjz6n3wmequeyajphy1&amp;dl=0","Click to download SizeChart")</f>
      </c>
      <c r="C971" s="0" t="inlineStr">
        <is>
          <t>Farley Men's Pique Polo</t>
        </is>
      </c>
      <c r="D971" s="0" t="inlineStr">
        <is>
          <t>'121162</t>
        </is>
      </c>
      <c r="E971" s="0" t="inlineStr">
        <is>
          <t>UNO FARLEY M GREY:121162A-S</t>
        </is>
      </c>
      <c r="F971" s="0" t="inlineStr">
        <is>
          <t>'809121162044</t>
        </is>
      </c>
      <c r="G971" s="0" t="inlineStr">
        <is>
          <t>MENS</t>
        </is>
      </c>
      <c r="H971" s="0" t="inlineStr">
        <is>
          <t>S</t>
        </is>
      </c>
      <c r="I971" s="0">
        <v>49.99</v>
      </c>
      <c r="J971" s="0">
        <v>2</v>
      </c>
    </row>
    <row r="972" spans="1:10" customHeight="0">
      <c r="A972" s="0">
        <f>HYPERLINK("https://dl.dropboxusercontent.com/scl/fi/amz27x8yrgyjvhrg35jg9/121162-af.jpg?rlkey=6lddyz2g1bqsg2ywucfut7cli&amp;dl=0","Click to download Image")</f>
      </c>
      <c r="B972" s="0">
        <f>HYPERLINK("https://dl.dropboxusercontent.com/scl/fi/k901l4j9yhs85x7z8czf9/mens-polo-size-chartsfarley.jpg?rlkey=444636gjz6n3wmequeyajphy1&amp;dl=0","Click to download SizeChart")</f>
      </c>
      <c r="C972" s="0" t="inlineStr">
        <is>
          <t>Farley Men's Pique Polo</t>
        </is>
      </c>
      <c r="D972" s="0" t="inlineStr">
        <is>
          <t>'121162</t>
        </is>
      </c>
      <c r="E972" s="0" t="inlineStr">
        <is>
          <t>UNO FARLEY M GREY:121162B-M</t>
        </is>
      </c>
      <c r="F972" s="0" t="inlineStr">
        <is>
          <t>'809121162051</t>
        </is>
      </c>
      <c r="G972" s="0" t="inlineStr">
        <is>
          <t>MENS</t>
        </is>
      </c>
      <c r="H972" s="0" t="inlineStr">
        <is>
          <t>M</t>
        </is>
      </c>
      <c r="I972" s="0">
        <v>49.99</v>
      </c>
      <c r="J972" s="0">
        <v>4</v>
      </c>
    </row>
    <row r="973" spans="1:10" customHeight="0">
      <c r="A973" s="0">
        <f>HYPERLINK("https://dl.dropboxusercontent.com/scl/fi/amz27x8yrgyjvhrg35jg9/121162-af.jpg?rlkey=6lddyz2g1bqsg2ywucfut7cli&amp;dl=0","Click to download Image")</f>
      </c>
      <c r="B973" s="0">
        <f>HYPERLINK("https://dl.dropboxusercontent.com/scl/fi/k901l4j9yhs85x7z8czf9/mens-polo-size-chartsfarley.jpg?rlkey=444636gjz6n3wmequeyajphy1&amp;dl=0","Click to download SizeChart")</f>
      </c>
      <c r="C973" s="0" t="inlineStr">
        <is>
          <t>Farley Men's Pique Polo</t>
        </is>
      </c>
      <c r="D973" s="0" t="inlineStr">
        <is>
          <t>'121162</t>
        </is>
      </c>
      <c r="E973" s="0" t="inlineStr">
        <is>
          <t>UNO FARLEY M GREY:121162C-L</t>
        </is>
      </c>
      <c r="F973" s="0" t="inlineStr">
        <is>
          <t>'809121162068</t>
        </is>
      </c>
      <c r="G973" s="0" t="inlineStr">
        <is>
          <t>MENS</t>
        </is>
      </c>
      <c r="H973" s="0" t="inlineStr">
        <is>
          <t>L</t>
        </is>
      </c>
      <c r="I973" s="0">
        <v>49.99</v>
      </c>
      <c r="J973" s="0">
        <v>6</v>
      </c>
    </row>
    <row r="974" spans="1:10" customHeight="0">
      <c r="A974" s="0">
        <f>HYPERLINK("https://dl.dropboxusercontent.com/scl/fi/amz27x8yrgyjvhrg35jg9/121162-af.jpg?rlkey=6lddyz2g1bqsg2ywucfut7cli&amp;dl=0","Click to download Image")</f>
      </c>
      <c r="B974" s="0">
        <f>HYPERLINK("https://dl.dropboxusercontent.com/scl/fi/k901l4j9yhs85x7z8czf9/mens-polo-size-chartsfarley.jpg?rlkey=444636gjz6n3wmequeyajphy1&amp;dl=0","Click to download SizeChart")</f>
      </c>
      <c r="C974" s="0" t="inlineStr">
        <is>
          <t>Farley Men's Pique Polo</t>
        </is>
      </c>
      <c r="D974" s="0" t="inlineStr">
        <is>
          <t>'121162</t>
        </is>
      </c>
      <c r="E974" s="0" t="inlineStr">
        <is>
          <t>UNO FARLEY M GREY:121162D-XL</t>
        </is>
      </c>
      <c r="F974" s="0" t="inlineStr">
        <is>
          <t>'809121162075</t>
        </is>
      </c>
      <c r="G974" s="0" t="inlineStr">
        <is>
          <t>MENS</t>
        </is>
      </c>
      <c r="H974" s="0" t="inlineStr">
        <is>
          <t>XL</t>
        </is>
      </c>
      <c r="I974" s="0">
        <v>49.99</v>
      </c>
      <c r="J974" s="0">
        <v>6</v>
      </c>
    </row>
    <row r="975" spans="1:10" customHeight="0">
      <c r="A975" s="0">
        <f>HYPERLINK("https://dl.dropboxusercontent.com/scl/fi/amz27x8yrgyjvhrg35jg9/121162-af.jpg?rlkey=6lddyz2g1bqsg2ywucfut7cli&amp;dl=0","Click to download Image")</f>
      </c>
      <c r="B975" s="0">
        <f>HYPERLINK("https://dl.dropboxusercontent.com/scl/fi/k901l4j9yhs85x7z8czf9/mens-polo-size-chartsfarley.jpg?rlkey=444636gjz6n3wmequeyajphy1&amp;dl=0","Click to download SizeChart")</f>
      </c>
      <c r="C975" s="0" t="inlineStr">
        <is>
          <t>Farley Men's Pique Polo</t>
        </is>
      </c>
      <c r="D975" s="0" t="inlineStr">
        <is>
          <t>'121162</t>
        </is>
      </c>
      <c r="E975" s="0" t="inlineStr">
        <is>
          <t>UNO FARLEY M GREY:121162E-2XL</t>
        </is>
      </c>
      <c r="F975" s="0" t="inlineStr">
        <is>
          <t>'809121162082</t>
        </is>
      </c>
      <c r="G975" s="0" t="inlineStr">
        <is>
          <t>MENS</t>
        </is>
      </c>
      <c r="H975" s="0" t="inlineStr">
        <is>
          <t>2XL</t>
        </is>
      </c>
      <c r="I975" s="0">
        <v>51.99</v>
      </c>
      <c r="J975" s="0">
        <v>4</v>
      </c>
    </row>
    <row r="976" spans="1:10" customHeight="0">
      <c r="A976" s="0">
        <f>HYPERLINK("https://dl.dropboxusercontent.com/scl/fi/amz27x8yrgyjvhrg35jg9/121162-af.jpg?rlkey=6lddyz2g1bqsg2ywucfut7cli&amp;dl=0","Click to download Image")</f>
      </c>
      <c r="B976" s="0">
        <f>HYPERLINK("https://dl.dropboxusercontent.com/scl/fi/k901l4j9yhs85x7z8czf9/mens-polo-size-chartsfarley.jpg?rlkey=444636gjz6n3wmequeyajphy1&amp;dl=0","Click to download SizeChart")</f>
      </c>
      <c r="C976" s="0" t="inlineStr">
        <is>
          <t>Farley Men's Pique Polo</t>
        </is>
      </c>
      <c r="D976" s="0" t="inlineStr">
        <is>
          <t>'121162</t>
        </is>
      </c>
      <c r="E976" s="0" t="inlineStr">
        <is>
          <t>UNO FARLEY M GREY:121162F-3XL</t>
        </is>
      </c>
      <c r="F976" s="0" t="inlineStr">
        <is>
          <t>'809121162099</t>
        </is>
      </c>
      <c r="G976" s="0" t="inlineStr">
        <is>
          <t>MENS</t>
        </is>
      </c>
      <c r="H976" s="0" t="inlineStr">
        <is>
          <t>3XL</t>
        </is>
      </c>
      <c r="I976" s="0">
        <v>51.99</v>
      </c>
      <c r="J976" s="0">
        <v>1</v>
      </c>
    </row>
    <row r="977" spans="1:10" customHeight="0">
      <c r="A977" s="0">
        <f>HYPERLINK("https://dl.dropboxusercontent.com/scl/fi/amz27x8yrgyjvhrg35jg9/121162-af.jpg?rlkey=6lddyz2g1bqsg2ywucfut7cli&amp;dl=0","Click to download Image")</f>
      </c>
      <c r="B977" s="0">
        <f>HYPERLINK("https://dl.dropboxusercontent.com/scl/fi/k901l4j9yhs85x7z8czf9/mens-polo-size-chartsfarley.jpg?rlkey=444636gjz6n3wmequeyajphy1&amp;dl=0","Click to download SizeChart")</f>
      </c>
      <c r="C977" s="0" t="inlineStr">
        <is>
          <t>Farley Men's Pique Polo</t>
        </is>
      </c>
      <c r="D977" s="0" t="inlineStr">
        <is>
          <t>'121162</t>
        </is>
      </c>
      <c r="E977" s="0" t="inlineStr">
        <is>
          <t>UNO FARLEY M GREY 12 PACK:121162Z-12PK</t>
        </is>
      </c>
      <c r="F977" s="0" t="inlineStr">
        <is>
          <t>'809121162990</t>
        </is>
      </c>
      <c r="G977" s="0" t="inlineStr">
        <is>
          <t>MENS</t>
        </is>
      </c>
      <c r="H977" s="0" t="inlineStr">
        <is>
          <t>12 PACK</t>
        </is>
      </c>
      <c r="I977" s="0">
        <v>479.76</v>
      </c>
      <c r="J977" s="0">
        <v>1</v>
      </c>
    </row>
    <row r="978" spans="1:10" customHeight="0">
      <c r="A978" s="0">
        <f>HYPERLINK("https://dl.dropboxusercontent.com/scl/fi/x3oc2mwl08cb6yywiv8o6/121191-af.jpg?rlkey=wszperhfcxmqjan2idmn1fnjx&amp;dl=0","Click to download Image")</f>
      </c>
      <c r="B978" s="0">
        <f>HYPERLINK("https://dl.dropboxusercontent.com/scl/fi/k901l4j9yhs85x7z8czf9/mens-polo-size-chartsfarley.jpg?rlkey=444636gjz6n3wmequeyajphy1&amp;dl=0","Click to download SizeChart")</f>
      </c>
      <c r="C978" s="0" t="inlineStr">
        <is>
          <t>Farley Men's Pique Polo</t>
        </is>
      </c>
      <c r="D978" s="0" t="inlineStr">
        <is>
          <t>'121191</t>
        </is>
      </c>
      <c r="E978" s="0" t="inlineStr">
        <is>
          <t>CREIGHTON FARLEY M GREY:121191A-S</t>
        </is>
      </c>
      <c r="F978" s="0" t="inlineStr">
        <is>
          <t>'810121191040</t>
        </is>
      </c>
      <c r="G978" s="0" t="inlineStr">
        <is>
          <t>MENS</t>
        </is>
      </c>
      <c r="H978" s="0" t="inlineStr">
        <is>
          <t>S</t>
        </is>
      </c>
      <c r="I978" s="0">
        <v>49.99</v>
      </c>
      <c r="J978" s="0">
        <v>2</v>
      </c>
    </row>
    <row r="979" spans="1:10" customHeight="0">
      <c r="A979" s="0">
        <f>HYPERLINK("https://dl.dropboxusercontent.com/scl/fi/x3oc2mwl08cb6yywiv8o6/121191-af.jpg?rlkey=wszperhfcxmqjan2idmn1fnjx&amp;dl=0","Click to download Image")</f>
      </c>
      <c r="B979" s="0">
        <f>HYPERLINK("https://dl.dropboxusercontent.com/scl/fi/k901l4j9yhs85x7z8czf9/mens-polo-size-chartsfarley.jpg?rlkey=444636gjz6n3wmequeyajphy1&amp;dl=0","Click to download SizeChart")</f>
      </c>
      <c r="C979" s="0" t="inlineStr">
        <is>
          <t>Farley Men's Pique Polo</t>
        </is>
      </c>
      <c r="D979" s="0" t="inlineStr">
        <is>
          <t>'121191</t>
        </is>
      </c>
      <c r="E979" s="0" t="inlineStr">
        <is>
          <t>CREIGHTON FARLEY M GREY:121191B-M</t>
        </is>
      </c>
      <c r="F979" s="0" t="inlineStr">
        <is>
          <t>'810121191057</t>
        </is>
      </c>
      <c r="G979" s="0" t="inlineStr">
        <is>
          <t>MENS</t>
        </is>
      </c>
      <c r="H979" s="0" t="inlineStr">
        <is>
          <t>M</t>
        </is>
      </c>
      <c r="I979" s="0">
        <v>49.99</v>
      </c>
      <c r="J979" s="0">
        <v>4</v>
      </c>
    </row>
    <row r="980" spans="1:10" customHeight="0">
      <c r="A980" s="0">
        <f>HYPERLINK("https://dl.dropboxusercontent.com/scl/fi/x3oc2mwl08cb6yywiv8o6/121191-af.jpg?rlkey=wszperhfcxmqjan2idmn1fnjx&amp;dl=0","Click to download Image")</f>
      </c>
      <c r="B980" s="0">
        <f>HYPERLINK("https://dl.dropboxusercontent.com/scl/fi/k901l4j9yhs85x7z8czf9/mens-polo-size-chartsfarley.jpg?rlkey=444636gjz6n3wmequeyajphy1&amp;dl=0","Click to download SizeChart")</f>
      </c>
      <c r="C980" s="0" t="inlineStr">
        <is>
          <t>Farley Men's Pique Polo</t>
        </is>
      </c>
      <c r="D980" s="0" t="inlineStr">
        <is>
          <t>'121191</t>
        </is>
      </c>
      <c r="E980" s="0" t="inlineStr">
        <is>
          <t>CREIGHTON FARLEY M GREY:121191C-L</t>
        </is>
      </c>
      <c r="F980" s="0" t="inlineStr">
        <is>
          <t>'810121191064</t>
        </is>
      </c>
      <c r="G980" s="0" t="inlineStr">
        <is>
          <t>MENS</t>
        </is>
      </c>
      <c r="H980" s="0" t="inlineStr">
        <is>
          <t>L</t>
        </is>
      </c>
      <c r="I980" s="0">
        <v>49.99</v>
      </c>
      <c r="J980" s="0">
        <v>6</v>
      </c>
    </row>
    <row r="981" spans="1:10" customHeight="0">
      <c r="A981" s="0">
        <f>HYPERLINK("https://dl.dropboxusercontent.com/scl/fi/x3oc2mwl08cb6yywiv8o6/121191-af.jpg?rlkey=wszperhfcxmqjan2idmn1fnjx&amp;dl=0","Click to download Image")</f>
      </c>
      <c r="B981" s="0">
        <f>HYPERLINK("https://dl.dropboxusercontent.com/scl/fi/k901l4j9yhs85x7z8czf9/mens-polo-size-chartsfarley.jpg?rlkey=444636gjz6n3wmequeyajphy1&amp;dl=0","Click to download SizeChart")</f>
      </c>
      <c r="C981" s="0" t="inlineStr">
        <is>
          <t>Farley Men's Pique Polo</t>
        </is>
      </c>
      <c r="D981" s="0" t="inlineStr">
        <is>
          <t>'121191</t>
        </is>
      </c>
      <c r="E981" s="0" t="inlineStr">
        <is>
          <t>CREIGHTON FARLEY M GREY:121191D-XL</t>
        </is>
      </c>
      <c r="F981" s="0" t="inlineStr">
        <is>
          <t>'810121191071</t>
        </is>
      </c>
      <c r="G981" s="0" t="inlineStr">
        <is>
          <t>MENS</t>
        </is>
      </c>
      <c r="H981" s="0" t="inlineStr">
        <is>
          <t>XL</t>
        </is>
      </c>
      <c r="I981" s="0">
        <v>49.99</v>
      </c>
      <c r="J981" s="0">
        <v>2</v>
      </c>
    </row>
    <row r="982" spans="1:10" customHeight="0">
      <c r="A982" s="0">
        <f>HYPERLINK("https://dl.dropboxusercontent.com/scl/fi/x3oc2mwl08cb6yywiv8o6/121191-af.jpg?rlkey=wszperhfcxmqjan2idmn1fnjx&amp;dl=0","Click to download Image")</f>
      </c>
      <c r="B982" s="0">
        <f>HYPERLINK("https://dl.dropboxusercontent.com/scl/fi/k901l4j9yhs85x7z8czf9/mens-polo-size-chartsfarley.jpg?rlkey=444636gjz6n3wmequeyajphy1&amp;dl=0","Click to download SizeChart")</f>
      </c>
      <c r="C982" s="0" t="inlineStr">
        <is>
          <t>Farley Men's Pique Polo</t>
        </is>
      </c>
      <c r="D982" s="0" t="inlineStr">
        <is>
          <t>'121191</t>
        </is>
      </c>
      <c r="E982" s="0" t="inlineStr">
        <is>
          <t>CREIGHTON FARLEY M GREY:121191E-2XL</t>
        </is>
      </c>
      <c r="F982" s="0" t="inlineStr">
        <is>
          <t>'810121191088</t>
        </is>
      </c>
      <c r="G982" s="0" t="inlineStr">
        <is>
          <t>MENS</t>
        </is>
      </c>
      <c r="H982" s="0" t="inlineStr">
        <is>
          <t>2XL</t>
        </is>
      </c>
      <c r="I982" s="0">
        <v>51.99</v>
      </c>
      <c r="J982" s="0">
        <v>3</v>
      </c>
    </row>
    <row r="983" spans="1:10" customHeight="0">
      <c r="A983" s="0">
        <f>HYPERLINK("https://dl.dropboxusercontent.com/scl/fi/x3oc2mwl08cb6yywiv8o6/121191-af.jpg?rlkey=wszperhfcxmqjan2idmn1fnjx&amp;dl=0","Click to download Image")</f>
      </c>
      <c r="B983" s="0">
        <f>HYPERLINK("https://dl.dropboxusercontent.com/scl/fi/k901l4j9yhs85x7z8czf9/mens-polo-size-chartsfarley.jpg?rlkey=444636gjz6n3wmequeyajphy1&amp;dl=0","Click to download SizeChart")</f>
      </c>
      <c r="C983" s="0" t="inlineStr">
        <is>
          <t>Farley Men's Pique Polo</t>
        </is>
      </c>
      <c r="D983" s="0" t="inlineStr">
        <is>
          <t>'121191</t>
        </is>
      </c>
      <c r="E983" s="0" t="inlineStr">
        <is>
          <t>CREIGHTON FARLEY M GREY:121191F-3XL</t>
        </is>
      </c>
      <c r="F983" s="0" t="inlineStr">
        <is>
          <t>'810121191095</t>
        </is>
      </c>
      <c r="G983" s="0" t="inlineStr">
        <is>
          <t>MENS</t>
        </is>
      </c>
      <c r="H983" s="0" t="inlineStr">
        <is>
          <t>3XL</t>
        </is>
      </c>
      <c r="I983" s="0">
        <v>51.99</v>
      </c>
      <c r="J983" s="0">
        <v>1</v>
      </c>
    </row>
    <row r="984" spans="1:10" customHeight="0">
      <c r="A984" s="0">
        <f>HYPERLINK("https://dl.dropboxusercontent.com/scl/fi/x3oc2mwl08cb6yywiv8o6/121191-af.jpg?rlkey=wszperhfcxmqjan2idmn1fnjx&amp;dl=0","Click to download Image")</f>
      </c>
      <c r="B984" s="0">
        <f>HYPERLINK("https://dl.dropboxusercontent.com/scl/fi/k901l4j9yhs85x7z8czf9/mens-polo-size-chartsfarley.jpg?rlkey=444636gjz6n3wmequeyajphy1&amp;dl=0","Click to download SizeChart")</f>
      </c>
      <c r="C984" s="0" t="inlineStr">
        <is>
          <t>Farley Men's Pique Polo</t>
        </is>
      </c>
      <c r="D984" s="0" t="inlineStr">
        <is>
          <t>'121191</t>
        </is>
      </c>
      <c r="E984" s="0" t="inlineStr">
        <is>
          <t>CREIGHTON FARLEY M GREY 12 PACK:121191Z-12PK</t>
        </is>
      </c>
      <c r="F984" s="0" t="inlineStr">
        <is>
          <t>'810121191996</t>
        </is>
      </c>
      <c r="G984" s="0" t="inlineStr">
        <is>
          <t>MENS</t>
        </is>
      </c>
      <c r="H984" s="0" t="inlineStr">
        <is>
          <t>12 PACK</t>
        </is>
      </c>
      <c r="I984" s="0">
        <v>479.76</v>
      </c>
      <c r="J984" s="0">
        <v>1</v>
      </c>
    </row>
    <row r="985" spans="1:10" customHeight="0">
      <c r="A985" s="0">
        <f>HYPERLINK("https://dl.dropboxusercontent.com/scl/fi/1hx6cp0xk6ycovqrogrhc/116522f24490.png?rlkey=3hntu2zisckcjed5489poacvy&amp;dl=0","Click to download Image")</f>
      </c>
      <c r="B985" s="0">
        <f>HYPERLINK("https://dl.dropboxusercontent.com/scl/fi/k901l4j9yhs85x7z8czf9/mens-polo-size-chartsfarley.jpg?rlkey=444636gjz6n3wmequeyajphy1&amp;dl=0","Click to download SizeChart")</f>
      </c>
      <c r="C985" s="0" t="inlineStr">
        <is>
          <t>Farley Men's Pique Polo</t>
        </is>
      </c>
      <c r="D985" s="0" t="inlineStr">
        <is>
          <t>'116522</t>
        </is>
      </c>
      <c r="E985" s="0" t="inlineStr">
        <is>
          <t>IOWA FARLEY M GREY:116522A-S</t>
        </is>
      </c>
      <c r="F985" s="0" t="inlineStr">
        <is>
          <t>'800116522041</t>
        </is>
      </c>
      <c r="G985" s="0" t="inlineStr">
        <is>
          <t>MENS</t>
        </is>
      </c>
      <c r="H985" s="0" t="inlineStr">
        <is>
          <t>S</t>
        </is>
      </c>
      <c r="I985" s="0">
        <v>49.99</v>
      </c>
      <c r="J985" s="0">
        <v>7</v>
      </c>
    </row>
    <row r="986" spans="1:10" customHeight="0">
      <c r="A986" s="0">
        <f>HYPERLINK("https://dl.dropboxusercontent.com/scl/fi/1hx6cp0xk6ycovqrogrhc/116522f24490.png?rlkey=3hntu2zisckcjed5489poacvy&amp;dl=0","Click to download Image")</f>
      </c>
      <c r="B986" s="0">
        <f>HYPERLINK("https://dl.dropboxusercontent.com/scl/fi/k901l4j9yhs85x7z8czf9/mens-polo-size-chartsfarley.jpg?rlkey=444636gjz6n3wmequeyajphy1&amp;dl=0","Click to download SizeChart")</f>
      </c>
      <c r="C986" s="0" t="inlineStr">
        <is>
          <t>Farley Men's Pique Polo</t>
        </is>
      </c>
      <c r="D986" s="0" t="inlineStr">
        <is>
          <t>'116522</t>
        </is>
      </c>
      <c r="E986" s="0" t="inlineStr">
        <is>
          <t>IOWA FARLEY M GREY:116522B-M</t>
        </is>
      </c>
      <c r="F986" s="0" t="inlineStr">
        <is>
          <t>'800116522058</t>
        </is>
      </c>
      <c r="G986" s="0" t="inlineStr">
        <is>
          <t>MENS</t>
        </is>
      </c>
      <c r="H986" s="0" t="inlineStr">
        <is>
          <t>M</t>
        </is>
      </c>
      <c r="I986" s="0">
        <v>49.99</v>
      </c>
      <c r="J986" s="0">
        <v>6</v>
      </c>
    </row>
    <row r="987" spans="1:10" customHeight="0">
      <c r="A987" s="0">
        <f>HYPERLINK("https://dl.dropboxusercontent.com/scl/fi/1hx6cp0xk6ycovqrogrhc/116522f24490.png?rlkey=3hntu2zisckcjed5489poacvy&amp;dl=0","Click to download Image")</f>
      </c>
      <c r="B987" s="0">
        <f>HYPERLINK("https://dl.dropboxusercontent.com/scl/fi/k901l4j9yhs85x7z8czf9/mens-polo-size-chartsfarley.jpg?rlkey=444636gjz6n3wmequeyajphy1&amp;dl=0","Click to download SizeChart")</f>
      </c>
      <c r="C987" s="0" t="inlineStr">
        <is>
          <t>Farley Men's Pique Polo</t>
        </is>
      </c>
      <c r="D987" s="0" t="inlineStr">
        <is>
          <t>'116522</t>
        </is>
      </c>
      <c r="E987" s="0" t="inlineStr">
        <is>
          <t>IOWA FARLEY M GREY:116522C-L</t>
        </is>
      </c>
      <c r="F987" s="0" t="inlineStr">
        <is>
          <t>'800116522065</t>
        </is>
      </c>
      <c r="G987" s="0" t="inlineStr">
        <is>
          <t>MENS</t>
        </is>
      </c>
      <c r="H987" s="0" t="inlineStr">
        <is>
          <t>L</t>
        </is>
      </c>
      <c r="I987" s="0">
        <v>49.99</v>
      </c>
      <c r="J987" s="0">
        <v>8</v>
      </c>
    </row>
    <row r="988" spans="1:10" customHeight="0">
      <c r="A988" s="0">
        <f>HYPERLINK("https://dl.dropboxusercontent.com/scl/fi/1hx6cp0xk6ycovqrogrhc/116522f24490.png?rlkey=3hntu2zisckcjed5489poacvy&amp;dl=0","Click to download Image")</f>
      </c>
      <c r="B988" s="0">
        <f>HYPERLINK("https://dl.dropboxusercontent.com/scl/fi/k901l4j9yhs85x7z8czf9/mens-polo-size-chartsfarley.jpg?rlkey=444636gjz6n3wmequeyajphy1&amp;dl=0","Click to download SizeChart")</f>
      </c>
      <c r="C988" s="0" t="inlineStr">
        <is>
          <t>Farley Men's Pique Polo</t>
        </is>
      </c>
      <c r="D988" s="0" t="inlineStr">
        <is>
          <t>'116522</t>
        </is>
      </c>
      <c r="E988" s="0" t="inlineStr">
        <is>
          <t>IOWA FARLEY M GREY:116522D-XL</t>
        </is>
      </c>
      <c r="F988" s="0" t="inlineStr">
        <is>
          <t>'800116522072</t>
        </is>
      </c>
      <c r="G988" s="0" t="inlineStr">
        <is>
          <t>MENS</t>
        </is>
      </c>
      <c r="H988" s="0" t="inlineStr">
        <is>
          <t>XL</t>
        </is>
      </c>
      <c r="I988" s="0">
        <v>49.99</v>
      </c>
      <c r="J988" s="0">
        <v>8</v>
      </c>
    </row>
    <row r="989" spans="1:10" customHeight="0">
      <c r="A989" s="0">
        <f>HYPERLINK("https://dl.dropboxusercontent.com/scl/fi/1hx6cp0xk6ycovqrogrhc/116522f24490.png?rlkey=3hntu2zisckcjed5489poacvy&amp;dl=0","Click to download Image")</f>
      </c>
      <c r="B989" s="0">
        <f>HYPERLINK("https://dl.dropboxusercontent.com/scl/fi/k901l4j9yhs85x7z8czf9/mens-polo-size-chartsfarley.jpg?rlkey=444636gjz6n3wmequeyajphy1&amp;dl=0","Click to download SizeChart")</f>
      </c>
      <c r="C989" s="0" t="inlineStr">
        <is>
          <t>Farley Men's Pique Polo</t>
        </is>
      </c>
      <c r="D989" s="0" t="inlineStr">
        <is>
          <t>'116522</t>
        </is>
      </c>
      <c r="E989" s="0" t="inlineStr">
        <is>
          <t>IOWA FARLEY M GREY:116522E-2XL</t>
        </is>
      </c>
      <c r="F989" s="0" t="inlineStr">
        <is>
          <t>'800116522089</t>
        </is>
      </c>
      <c r="G989" s="0" t="inlineStr">
        <is>
          <t>MENS</t>
        </is>
      </c>
      <c r="H989" s="0" t="inlineStr">
        <is>
          <t>2XL</t>
        </is>
      </c>
      <c r="I989" s="0">
        <v>51.99</v>
      </c>
      <c r="J989" s="0">
        <v>5</v>
      </c>
    </row>
    <row r="990" spans="1:10" customHeight="0">
      <c r="A990" s="0">
        <f>HYPERLINK("https://dl.dropboxusercontent.com/scl/fi/1hx6cp0xk6ycovqrogrhc/116522f24490.png?rlkey=3hntu2zisckcjed5489poacvy&amp;dl=0","Click to download Image")</f>
      </c>
      <c r="B990" s="0">
        <f>HYPERLINK("https://dl.dropboxusercontent.com/scl/fi/k901l4j9yhs85x7z8czf9/mens-polo-size-chartsfarley.jpg?rlkey=444636gjz6n3wmequeyajphy1&amp;dl=0","Click to download SizeChart")</f>
      </c>
      <c r="C990" s="0" t="inlineStr">
        <is>
          <t>Farley Men's Pique Polo</t>
        </is>
      </c>
      <c r="D990" s="0" t="inlineStr">
        <is>
          <t>'116522</t>
        </is>
      </c>
      <c r="E990" s="0" t="inlineStr">
        <is>
          <t>IOWA FARLEY M GREY:116522F-3XL</t>
        </is>
      </c>
      <c r="F990" s="0" t="inlineStr">
        <is>
          <t>'800116522096</t>
        </is>
      </c>
      <c r="G990" s="0" t="inlineStr">
        <is>
          <t>MENS</t>
        </is>
      </c>
      <c r="H990" s="0" t="inlineStr">
        <is>
          <t>3XL</t>
        </is>
      </c>
      <c r="I990" s="0">
        <v>51.99</v>
      </c>
      <c r="J990" s="0">
        <v>3</v>
      </c>
    </row>
    <row r="991" spans="1:10" customHeight="0">
      <c r="A991" s="0">
        <f>HYPERLINK("https://dl.dropboxusercontent.com/scl/fi/1hx6cp0xk6ycovqrogrhc/116522f24490.png?rlkey=3hntu2zisckcjed5489poacvy&amp;dl=0","Click to download Image")</f>
      </c>
      <c r="B991" s="0">
        <f>HYPERLINK("https://dl.dropboxusercontent.com/scl/fi/k901l4j9yhs85x7z8czf9/mens-polo-size-chartsfarley.jpg?rlkey=444636gjz6n3wmequeyajphy1&amp;dl=0","Click to download SizeChart")</f>
      </c>
      <c r="C991" s="0" t="inlineStr">
        <is>
          <t>Farley Men's Pique Polo</t>
        </is>
      </c>
      <c r="D991" s="0" t="inlineStr">
        <is>
          <t>'116522</t>
        </is>
      </c>
      <c r="E991" s="0" t="inlineStr">
        <is>
          <t>IOWA FARLEY M GREY 12 PACK:116522Z-12PK</t>
        </is>
      </c>
      <c r="F991" s="0" t="inlineStr">
        <is>
          <t>'800116522997</t>
        </is>
      </c>
      <c r="G991" s="0" t="inlineStr">
        <is>
          <t>MENS</t>
        </is>
      </c>
      <c r="H991" s="0" t="inlineStr">
        <is>
          <t>12 PACK</t>
        </is>
      </c>
      <c r="I991" s="0">
        <v>479.76</v>
      </c>
      <c r="J991" s="0">
        <v>0</v>
      </c>
    </row>
    <row r="992" spans="1:10" customHeight="0">
      <c r="A992" s="0">
        <f>HYPERLINK("https://dl.dropboxusercontent.com/scl/fi/stzjy9f6xp6l6st9gxc7x/121181-af.jpg?rlkey=0k8z1mv1jmfcfqydxwdpniqm3&amp;dl=0","Click to download Image")</f>
      </c>
      <c r="B992" s="0">
        <f>HYPERLINK("https://dl.dropboxusercontent.com/scl/fi/ugsb8v5m5c0enugs7atvd/mens-jackets-size-chartsheston.jpg?rlkey=e5ueyp03fy6228nzfzkn9r2xa&amp;dl=0","Click to download SizeChart")</f>
      </c>
      <c r="C992" s="0" t="inlineStr">
        <is>
          <t>Heston Men's Jacket</t>
        </is>
      </c>
      <c r="D992" s="0" t="inlineStr">
        <is>
          <t>'121181</t>
        </is>
      </c>
      <c r="E992" s="0" t="inlineStr">
        <is>
          <t>CREIGHTON HESTON M BLACK:121181A-S</t>
        </is>
      </c>
      <c r="F992" s="0" t="inlineStr">
        <is>
          <t>'810121181041</t>
        </is>
      </c>
      <c r="G992" s="0" t="inlineStr">
        <is>
          <t>MENS</t>
        </is>
      </c>
      <c r="H992" s="0" t="inlineStr">
        <is>
          <t>S</t>
        </is>
      </c>
      <c r="I992" s="0">
        <v>59.99</v>
      </c>
      <c r="J992" s="0">
        <v>2</v>
      </c>
    </row>
    <row r="993" spans="1:10" customHeight="0">
      <c r="A993" s="0">
        <f>HYPERLINK("https://dl.dropboxusercontent.com/scl/fi/stzjy9f6xp6l6st9gxc7x/121181-af.jpg?rlkey=0k8z1mv1jmfcfqydxwdpniqm3&amp;dl=0","Click to download Image")</f>
      </c>
      <c r="B993" s="0">
        <f>HYPERLINK("https://dl.dropboxusercontent.com/scl/fi/ugsb8v5m5c0enugs7atvd/mens-jackets-size-chartsheston.jpg?rlkey=e5ueyp03fy6228nzfzkn9r2xa&amp;dl=0","Click to download SizeChart")</f>
      </c>
      <c r="C993" s="0" t="inlineStr">
        <is>
          <t>Heston Men's Jacket</t>
        </is>
      </c>
      <c r="D993" s="0" t="inlineStr">
        <is>
          <t>'121181</t>
        </is>
      </c>
      <c r="E993" s="0" t="inlineStr">
        <is>
          <t>CREIGHTON HESTON M BLACK:121181B-M</t>
        </is>
      </c>
      <c r="F993" s="0" t="inlineStr">
        <is>
          <t>'810121181058</t>
        </is>
      </c>
      <c r="G993" s="0" t="inlineStr">
        <is>
          <t>MENS</t>
        </is>
      </c>
      <c r="H993" s="0" t="inlineStr">
        <is>
          <t>M</t>
        </is>
      </c>
      <c r="I993" s="0">
        <v>59.99</v>
      </c>
      <c r="J993" s="0">
        <v>5</v>
      </c>
    </row>
    <row r="994" spans="1:10" customHeight="0">
      <c r="A994" s="0">
        <f>HYPERLINK("https://dl.dropboxusercontent.com/scl/fi/stzjy9f6xp6l6st9gxc7x/121181-af.jpg?rlkey=0k8z1mv1jmfcfqydxwdpniqm3&amp;dl=0","Click to download Image")</f>
      </c>
      <c r="B994" s="0">
        <f>HYPERLINK("https://dl.dropboxusercontent.com/scl/fi/ugsb8v5m5c0enugs7atvd/mens-jackets-size-chartsheston.jpg?rlkey=e5ueyp03fy6228nzfzkn9r2xa&amp;dl=0","Click to download SizeChart")</f>
      </c>
      <c r="C994" s="0" t="inlineStr">
        <is>
          <t>Heston Men's Jacket</t>
        </is>
      </c>
      <c r="D994" s="0" t="inlineStr">
        <is>
          <t>'121181</t>
        </is>
      </c>
      <c r="E994" s="0" t="inlineStr">
        <is>
          <t>CREIGHTON HESTON M BLACK:121181C-L</t>
        </is>
      </c>
      <c r="F994" s="0" t="inlineStr">
        <is>
          <t>'810121181065</t>
        </is>
      </c>
      <c r="G994" s="0" t="inlineStr">
        <is>
          <t>MENS</t>
        </is>
      </c>
      <c r="H994" s="0" t="inlineStr">
        <is>
          <t>L</t>
        </is>
      </c>
      <c r="I994" s="0">
        <v>59.99</v>
      </c>
      <c r="J994" s="0">
        <v>3</v>
      </c>
    </row>
    <row r="995" spans="1:10" customHeight="0">
      <c r="A995" s="0">
        <f>HYPERLINK("https://dl.dropboxusercontent.com/scl/fi/stzjy9f6xp6l6st9gxc7x/121181-af.jpg?rlkey=0k8z1mv1jmfcfqydxwdpniqm3&amp;dl=0","Click to download Image")</f>
      </c>
      <c r="B995" s="0">
        <f>HYPERLINK("https://dl.dropboxusercontent.com/scl/fi/ugsb8v5m5c0enugs7atvd/mens-jackets-size-chartsheston.jpg?rlkey=e5ueyp03fy6228nzfzkn9r2xa&amp;dl=0","Click to download SizeChart")</f>
      </c>
      <c r="C995" s="0" t="inlineStr">
        <is>
          <t>Heston Men's Jacket</t>
        </is>
      </c>
      <c r="D995" s="0" t="inlineStr">
        <is>
          <t>'121181</t>
        </is>
      </c>
      <c r="E995" s="0" t="inlineStr">
        <is>
          <t>CREIGHTON HESTON M BLACK:121181D-XL</t>
        </is>
      </c>
      <c r="F995" s="0" t="inlineStr">
        <is>
          <t>'810121181072</t>
        </is>
      </c>
      <c r="G995" s="0" t="inlineStr">
        <is>
          <t>MENS</t>
        </is>
      </c>
      <c r="H995" s="0" t="inlineStr">
        <is>
          <t>XL</t>
        </is>
      </c>
      <c r="I995" s="0">
        <v>59.99</v>
      </c>
      <c r="J995" s="0">
        <v>2</v>
      </c>
    </row>
    <row r="996" spans="1:10" customHeight="0">
      <c r="A996" s="0">
        <f>HYPERLINK("https://dl.dropboxusercontent.com/scl/fi/stzjy9f6xp6l6st9gxc7x/121181-af.jpg?rlkey=0k8z1mv1jmfcfqydxwdpniqm3&amp;dl=0","Click to download Image")</f>
      </c>
      <c r="B996" s="0">
        <f>HYPERLINK("https://dl.dropboxusercontent.com/scl/fi/ugsb8v5m5c0enugs7atvd/mens-jackets-size-chartsheston.jpg?rlkey=e5ueyp03fy6228nzfzkn9r2xa&amp;dl=0","Click to download SizeChart")</f>
      </c>
      <c r="C996" s="0" t="inlineStr">
        <is>
          <t>Heston Men's Jacket</t>
        </is>
      </c>
      <c r="D996" s="0" t="inlineStr">
        <is>
          <t>'121181</t>
        </is>
      </c>
      <c r="E996" s="0" t="inlineStr">
        <is>
          <t>CREIGHTON HESTON M BLACK:121181E-2XL</t>
        </is>
      </c>
      <c r="F996" s="0" t="inlineStr">
        <is>
          <t>'810121181089</t>
        </is>
      </c>
      <c r="G996" s="0" t="inlineStr">
        <is>
          <t>MENS</t>
        </is>
      </c>
      <c r="H996" s="0" t="inlineStr">
        <is>
          <t>2XL</t>
        </is>
      </c>
      <c r="I996" s="0">
        <v>61.99</v>
      </c>
      <c r="J996" s="0">
        <v>2</v>
      </c>
    </row>
    <row r="997" spans="1:10" customHeight="0">
      <c r="A997" s="0">
        <f>HYPERLINK("https://dl.dropboxusercontent.com/scl/fi/stzjy9f6xp6l6st9gxc7x/121181-af.jpg?rlkey=0k8z1mv1jmfcfqydxwdpniqm3&amp;dl=0","Click to download Image")</f>
      </c>
      <c r="B997" s="0">
        <f>HYPERLINK("https://dl.dropboxusercontent.com/scl/fi/ugsb8v5m5c0enugs7atvd/mens-jackets-size-chartsheston.jpg?rlkey=e5ueyp03fy6228nzfzkn9r2xa&amp;dl=0","Click to download SizeChart")</f>
      </c>
      <c r="C997" s="0" t="inlineStr">
        <is>
          <t>Heston Men's Jacket</t>
        </is>
      </c>
      <c r="D997" s="0" t="inlineStr">
        <is>
          <t>'121181</t>
        </is>
      </c>
      <c r="E997" s="0" t="inlineStr">
        <is>
          <t>CREIGHTON HESTON M BLACK:121181F-3XL</t>
        </is>
      </c>
      <c r="F997" s="0" t="inlineStr">
        <is>
          <t>'810121181096</t>
        </is>
      </c>
      <c r="G997" s="0" t="inlineStr">
        <is>
          <t>MENS</t>
        </is>
      </c>
      <c r="H997" s="0" t="inlineStr">
        <is>
          <t>3XL</t>
        </is>
      </c>
      <c r="I997" s="0">
        <v>61.99</v>
      </c>
      <c r="J997" s="0">
        <v>2</v>
      </c>
    </row>
    <row r="998" spans="1:10" customHeight="0">
      <c r="A998" s="0">
        <f>HYPERLINK("https://dl.dropboxusercontent.com/scl/fi/stzjy9f6xp6l6st9gxc7x/121181-af.jpg?rlkey=0k8z1mv1jmfcfqydxwdpniqm3&amp;dl=0","Click to download Image")</f>
      </c>
      <c r="B998" s="0">
        <f>HYPERLINK("https://dl.dropboxusercontent.com/scl/fi/ugsb8v5m5c0enugs7atvd/mens-jackets-size-chartsheston.jpg?rlkey=e5ueyp03fy6228nzfzkn9r2xa&amp;dl=0","Click to download SizeChart")</f>
      </c>
      <c r="C998" s="0" t="inlineStr">
        <is>
          <t>Heston Men's Jacket</t>
        </is>
      </c>
      <c r="D998" s="0" t="inlineStr">
        <is>
          <t>'121181</t>
        </is>
      </c>
      <c r="E998" s="0" t="inlineStr">
        <is>
          <t>CREIGHTON HESTON M BLACK 12 PACK:121181Z-12PK</t>
        </is>
      </c>
      <c r="F998" s="0" t="inlineStr">
        <is>
          <t>'810121181997</t>
        </is>
      </c>
      <c r="G998" s="0" t="inlineStr">
        <is>
          <t>MENS</t>
        </is>
      </c>
      <c r="H998" s="0" t="inlineStr">
        <is>
          <t>12 PACK</t>
        </is>
      </c>
      <c r="I998" s="0">
        <v>599.76</v>
      </c>
      <c r="J998" s="0">
        <v>0</v>
      </c>
    </row>
    <row r="999" spans="1:10" customHeight="0">
      <c r="A999" s="0">
        <f>HYPERLINK("https://dl.dropboxusercontent.com/scl/fi/6cp1u0fn69qjoru6r0rxk/121180-af.jpg?rlkey=f7heyavf1gmq0g4gudywvq7qx&amp;dl=0","Click to download Image")</f>
      </c>
      <c r="B999" s="0">
        <f>HYPERLINK("https://dl.dropboxusercontent.com/scl/fi/ugsb8v5m5c0enugs7atvd/mens-jackets-size-chartsheston.jpg?rlkey=e5ueyp03fy6228nzfzkn9r2xa&amp;dl=0","Click to download SizeChart")</f>
      </c>
      <c r="C999" s="0" t="inlineStr">
        <is>
          <t>Heston Men's Jacket</t>
        </is>
      </c>
      <c r="D999" s="0" t="inlineStr">
        <is>
          <t>'121180</t>
        </is>
      </c>
      <c r="E999" s="0" t="inlineStr">
        <is>
          <t>UNO HESTON M BLACK:121180A-S</t>
        </is>
      </c>
      <c r="F999" s="0" t="inlineStr">
        <is>
          <t>'809121180048</t>
        </is>
      </c>
      <c r="G999" s="0" t="inlineStr">
        <is>
          <t>MENS</t>
        </is>
      </c>
      <c r="H999" s="0" t="inlineStr">
        <is>
          <t>S</t>
        </is>
      </c>
      <c r="I999" s="0">
        <v>59.99</v>
      </c>
      <c r="J999" s="0">
        <v>2</v>
      </c>
    </row>
    <row r="1000" spans="1:10" customHeight="0">
      <c r="A1000" s="0">
        <f>HYPERLINK("https://dl.dropboxusercontent.com/scl/fi/6cp1u0fn69qjoru6r0rxk/121180-af.jpg?rlkey=f7heyavf1gmq0g4gudywvq7qx&amp;dl=0","Click to download Image")</f>
      </c>
      <c r="B1000" s="0">
        <f>HYPERLINK("https://dl.dropboxusercontent.com/scl/fi/ugsb8v5m5c0enugs7atvd/mens-jackets-size-chartsheston.jpg?rlkey=e5ueyp03fy6228nzfzkn9r2xa&amp;dl=0","Click to download SizeChart")</f>
      </c>
      <c r="C1000" s="0" t="inlineStr">
        <is>
          <t>Heston Men's Jacket</t>
        </is>
      </c>
      <c r="D1000" s="0" t="inlineStr">
        <is>
          <t>'121180</t>
        </is>
      </c>
      <c r="E1000" s="0" t="inlineStr">
        <is>
          <t>UNO HESTON M BLACK:121180B-M</t>
        </is>
      </c>
      <c r="F1000" s="0" t="inlineStr">
        <is>
          <t>'809121180055</t>
        </is>
      </c>
      <c r="G1000" s="0" t="inlineStr">
        <is>
          <t>MENS</t>
        </is>
      </c>
      <c r="H1000" s="0" t="inlineStr">
        <is>
          <t>M</t>
        </is>
      </c>
      <c r="I1000" s="0">
        <v>59.99</v>
      </c>
      <c r="J1000" s="0">
        <v>4</v>
      </c>
    </row>
    <row r="1001" spans="1:10" customHeight="0">
      <c r="A1001" s="0">
        <f>HYPERLINK("https://dl.dropboxusercontent.com/scl/fi/6cp1u0fn69qjoru6r0rxk/121180-af.jpg?rlkey=f7heyavf1gmq0g4gudywvq7qx&amp;dl=0","Click to download Image")</f>
      </c>
      <c r="B1001" s="0">
        <f>HYPERLINK("https://dl.dropboxusercontent.com/scl/fi/ugsb8v5m5c0enugs7atvd/mens-jackets-size-chartsheston.jpg?rlkey=e5ueyp03fy6228nzfzkn9r2xa&amp;dl=0","Click to download SizeChart")</f>
      </c>
      <c r="C1001" s="0" t="inlineStr">
        <is>
          <t>Heston Men's Jacket</t>
        </is>
      </c>
      <c r="D1001" s="0" t="inlineStr">
        <is>
          <t>'121180</t>
        </is>
      </c>
      <c r="E1001" s="0" t="inlineStr">
        <is>
          <t>UNO HESTON M BLACK:121180C-L</t>
        </is>
      </c>
      <c r="F1001" s="0" t="inlineStr">
        <is>
          <t>'809121180062</t>
        </is>
      </c>
      <c r="G1001" s="0" t="inlineStr">
        <is>
          <t>MENS</t>
        </is>
      </c>
      <c r="H1001" s="0" t="inlineStr">
        <is>
          <t>L</t>
        </is>
      </c>
      <c r="I1001" s="0">
        <v>59.99</v>
      </c>
      <c r="J1001" s="0">
        <v>6</v>
      </c>
    </row>
    <row r="1002" spans="1:10" customHeight="0">
      <c r="A1002" s="0">
        <f>HYPERLINK("https://dl.dropboxusercontent.com/scl/fi/6cp1u0fn69qjoru6r0rxk/121180-af.jpg?rlkey=f7heyavf1gmq0g4gudywvq7qx&amp;dl=0","Click to download Image")</f>
      </c>
      <c r="B1002" s="0">
        <f>HYPERLINK("https://dl.dropboxusercontent.com/scl/fi/ugsb8v5m5c0enugs7atvd/mens-jackets-size-chartsheston.jpg?rlkey=e5ueyp03fy6228nzfzkn9r2xa&amp;dl=0","Click to download SizeChart")</f>
      </c>
      <c r="C1002" s="0" t="inlineStr">
        <is>
          <t>Heston Men's Jacket</t>
        </is>
      </c>
      <c r="D1002" s="0" t="inlineStr">
        <is>
          <t>'121180</t>
        </is>
      </c>
      <c r="E1002" s="0" t="inlineStr">
        <is>
          <t>UNO HESTON M BLACK:121180D-XL</t>
        </is>
      </c>
      <c r="F1002" s="0" t="inlineStr">
        <is>
          <t>'809121180079</t>
        </is>
      </c>
      <c r="G1002" s="0" t="inlineStr">
        <is>
          <t>MENS</t>
        </is>
      </c>
      <c r="H1002" s="0" t="inlineStr">
        <is>
          <t>XL</t>
        </is>
      </c>
      <c r="I1002" s="0">
        <v>59.99</v>
      </c>
      <c r="J1002" s="0">
        <v>5</v>
      </c>
    </row>
    <row r="1003" spans="1:10" customHeight="0">
      <c r="A1003" s="0">
        <f>HYPERLINK("https://dl.dropboxusercontent.com/scl/fi/6cp1u0fn69qjoru6r0rxk/121180-af.jpg?rlkey=f7heyavf1gmq0g4gudywvq7qx&amp;dl=0","Click to download Image")</f>
      </c>
      <c r="B1003" s="0">
        <f>HYPERLINK("https://dl.dropboxusercontent.com/scl/fi/ugsb8v5m5c0enugs7atvd/mens-jackets-size-chartsheston.jpg?rlkey=e5ueyp03fy6228nzfzkn9r2xa&amp;dl=0","Click to download SizeChart")</f>
      </c>
      <c r="C1003" s="0" t="inlineStr">
        <is>
          <t>Heston Men's Jacket</t>
        </is>
      </c>
      <c r="D1003" s="0" t="inlineStr">
        <is>
          <t>'121180</t>
        </is>
      </c>
      <c r="E1003" s="0" t="inlineStr">
        <is>
          <t>UNO HESTON M BLACK:121180E-2XL</t>
        </is>
      </c>
      <c r="F1003" s="0" t="inlineStr">
        <is>
          <t>'809121180086</t>
        </is>
      </c>
      <c r="G1003" s="0" t="inlineStr">
        <is>
          <t>MENS</t>
        </is>
      </c>
      <c r="H1003" s="0" t="inlineStr">
        <is>
          <t>2XL</t>
        </is>
      </c>
      <c r="I1003" s="0">
        <v>61.99</v>
      </c>
      <c r="J1003" s="0">
        <v>3</v>
      </c>
    </row>
    <row r="1004" spans="1:10" customHeight="0">
      <c r="A1004" s="0">
        <f>HYPERLINK("https://dl.dropboxusercontent.com/scl/fi/6cp1u0fn69qjoru6r0rxk/121180-af.jpg?rlkey=f7heyavf1gmq0g4gudywvq7qx&amp;dl=0","Click to download Image")</f>
      </c>
      <c r="B1004" s="0">
        <f>HYPERLINK("https://dl.dropboxusercontent.com/scl/fi/ugsb8v5m5c0enugs7atvd/mens-jackets-size-chartsheston.jpg?rlkey=e5ueyp03fy6228nzfzkn9r2xa&amp;dl=0","Click to download SizeChart")</f>
      </c>
      <c r="C1004" s="0" t="inlineStr">
        <is>
          <t>Heston Men's Jacket</t>
        </is>
      </c>
      <c r="D1004" s="0" t="inlineStr">
        <is>
          <t>'121180</t>
        </is>
      </c>
      <c r="E1004" s="0" t="inlineStr">
        <is>
          <t>UNO HESTON M BLACK:121180F-3XL</t>
        </is>
      </c>
      <c r="F1004" s="0" t="inlineStr">
        <is>
          <t>'809121180093</t>
        </is>
      </c>
      <c r="G1004" s="0" t="inlineStr">
        <is>
          <t>MENS</t>
        </is>
      </c>
      <c r="H1004" s="0" t="inlineStr">
        <is>
          <t>3XL</t>
        </is>
      </c>
      <c r="I1004" s="0">
        <v>61.99</v>
      </c>
      <c r="J1004" s="0">
        <v>1</v>
      </c>
    </row>
    <row r="1005" spans="1:10" customHeight="0">
      <c r="A1005" s="0">
        <f>HYPERLINK("https://dl.dropboxusercontent.com/scl/fi/6cp1u0fn69qjoru6r0rxk/121180-af.jpg?rlkey=f7heyavf1gmq0g4gudywvq7qx&amp;dl=0","Click to download Image")</f>
      </c>
      <c r="B1005" s="0">
        <f>HYPERLINK("https://dl.dropboxusercontent.com/scl/fi/ugsb8v5m5c0enugs7atvd/mens-jackets-size-chartsheston.jpg?rlkey=e5ueyp03fy6228nzfzkn9r2xa&amp;dl=0","Click to download SizeChart")</f>
      </c>
      <c r="C1005" s="0" t="inlineStr">
        <is>
          <t>Heston Men's Jacket</t>
        </is>
      </c>
      <c r="D1005" s="0" t="inlineStr">
        <is>
          <t>'121180</t>
        </is>
      </c>
      <c r="E1005" s="0" t="inlineStr">
        <is>
          <t>UNO HESTON M BLACK 12 PACK:121180Z-12PK</t>
        </is>
      </c>
      <c r="F1005" s="0" t="inlineStr">
        <is>
          <t>'809121180994</t>
        </is>
      </c>
      <c r="G1005" s="0" t="inlineStr">
        <is>
          <t>MENS</t>
        </is>
      </c>
      <c r="H1005" s="0" t="inlineStr">
        <is>
          <t>12 PACK</t>
        </is>
      </c>
      <c r="I1005" s="0">
        <v>599.76</v>
      </c>
      <c r="J1005" s="0">
        <v>1</v>
      </c>
    </row>
    <row r="1006" spans="1:10" customHeight="0">
      <c r="A1006" s="0">
        <f>HYPERLINK("https://dl.dropboxusercontent.com/scl/fi/vrg6xepjl1gsg8a2kgaaz/121211-af.jpg?rlkey=nhrzs8517dui5sunrr7ydwvcr&amp;dl=0","Click to download Image")</f>
      </c>
      <c r="B1006" s="0">
        <f>HYPERLINK("https://dl.dropboxusercontent.com/scl/fi/9q5uu2e2q3jccb6u3o8uf/womens-hoodie-and-sweatshirt-size-chartsoctavia.jpg?rlkey=zkfhv0y32z3fwufsdl7r8ea3w&amp;dl=0","Click to download SizeChart")</f>
      </c>
      <c r="C1006" s="0" t="inlineStr">
        <is>
          <t>Octavia Women's Lightweight Hoodie</t>
        </is>
      </c>
      <c r="D1006" s="0" t="inlineStr">
        <is>
          <t>'121211</t>
        </is>
      </c>
      <c r="E1006" s="0" t="inlineStr">
        <is>
          <t>UNO OCTAVIA W BLACK:121211A-S</t>
        </is>
      </c>
      <c r="F1006" s="0" t="inlineStr">
        <is>
          <t>'809121211049</t>
        </is>
      </c>
      <c r="G1006" s="0" t="inlineStr">
        <is>
          <t>WOMENS</t>
        </is>
      </c>
      <c r="H1006" s="0" t="inlineStr">
        <is>
          <t>S</t>
        </is>
      </c>
      <c r="I1006" s="0">
        <v>49.99</v>
      </c>
      <c r="J1006" s="0">
        <v>4</v>
      </c>
    </row>
    <row r="1007" spans="1:10" customHeight="0">
      <c r="A1007" s="0">
        <f>HYPERLINK("https://dl.dropboxusercontent.com/scl/fi/vrg6xepjl1gsg8a2kgaaz/121211-af.jpg?rlkey=nhrzs8517dui5sunrr7ydwvcr&amp;dl=0","Click to download Image")</f>
      </c>
      <c r="B1007" s="0">
        <f>HYPERLINK("https://dl.dropboxusercontent.com/scl/fi/9q5uu2e2q3jccb6u3o8uf/womens-hoodie-and-sweatshirt-size-chartsoctavia.jpg?rlkey=zkfhv0y32z3fwufsdl7r8ea3w&amp;dl=0","Click to download SizeChart")</f>
      </c>
      <c r="C1007" s="0" t="inlineStr">
        <is>
          <t>Octavia Women's Lightweight Hoodie</t>
        </is>
      </c>
      <c r="D1007" s="0" t="inlineStr">
        <is>
          <t>'121211</t>
        </is>
      </c>
      <c r="E1007" s="0" t="inlineStr">
        <is>
          <t>UNO OCTAVIA W BLACK:121211B-M</t>
        </is>
      </c>
      <c r="F1007" s="0" t="inlineStr">
        <is>
          <t>'809121211056</t>
        </is>
      </c>
      <c r="G1007" s="0" t="inlineStr">
        <is>
          <t>WOMENS</t>
        </is>
      </c>
      <c r="H1007" s="0" t="inlineStr">
        <is>
          <t>M</t>
        </is>
      </c>
      <c r="I1007" s="0">
        <v>49.99</v>
      </c>
      <c r="J1007" s="0">
        <v>8</v>
      </c>
    </row>
    <row r="1008" spans="1:10" customHeight="0">
      <c r="A1008" s="0">
        <f>HYPERLINK("https://dl.dropboxusercontent.com/scl/fi/vrg6xepjl1gsg8a2kgaaz/121211-af.jpg?rlkey=nhrzs8517dui5sunrr7ydwvcr&amp;dl=0","Click to download Image")</f>
      </c>
      <c r="B1008" s="0">
        <f>HYPERLINK("https://dl.dropboxusercontent.com/scl/fi/9q5uu2e2q3jccb6u3o8uf/womens-hoodie-and-sweatshirt-size-chartsoctavia.jpg?rlkey=zkfhv0y32z3fwufsdl7r8ea3w&amp;dl=0","Click to download SizeChart")</f>
      </c>
      <c r="C1008" s="0" t="inlineStr">
        <is>
          <t>Octavia Women's Lightweight Hoodie</t>
        </is>
      </c>
      <c r="D1008" s="0" t="inlineStr">
        <is>
          <t>'121211</t>
        </is>
      </c>
      <c r="E1008" s="0" t="inlineStr">
        <is>
          <t>UNO OCTAVIA W BLACK:121211C-L</t>
        </is>
      </c>
      <c r="F1008" s="0" t="inlineStr">
        <is>
          <t>'809121211063</t>
        </is>
      </c>
      <c r="G1008" s="0" t="inlineStr">
        <is>
          <t>WOMENS</t>
        </is>
      </c>
      <c r="H1008" s="0" t="inlineStr">
        <is>
          <t>L</t>
        </is>
      </c>
      <c r="I1008" s="0">
        <v>49.99</v>
      </c>
      <c r="J1008" s="0">
        <v>8</v>
      </c>
    </row>
    <row r="1009" spans="1:10" customHeight="0">
      <c r="A1009" s="0">
        <f>HYPERLINK("https://dl.dropboxusercontent.com/scl/fi/vrg6xepjl1gsg8a2kgaaz/121211-af.jpg?rlkey=nhrzs8517dui5sunrr7ydwvcr&amp;dl=0","Click to download Image")</f>
      </c>
      <c r="B1009" s="0">
        <f>HYPERLINK("https://dl.dropboxusercontent.com/scl/fi/9q5uu2e2q3jccb6u3o8uf/womens-hoodie-and-sweatshirt-size-chartsoctavia.jpg?rlkey=zkfhv0y32z3fwufsdl7r8ea3w&amp;dl=0","Click to download SizeChart")</f>
      </c>
      <c r="C1009" s="0" t="inlineStr">
        <is>
          <t>Octavia Women's Lightweight Hoodie</t>
        </is>
      </c>
      <c r="D1009" s="0" t="inlineStr">
        <is>
          <t>'121211</t>
        </is>
      </c>
      <c r="E1009" s="0" t="inlineStr">
        <is>
          <t>UNO OCTAVIA W BLACK:121211D-XL</t>
        </is>
      </c>
      <c r="F1009" s="0" t="inlineStr">
        <is>
          <t>'809121211070</t>
        </is>
      </c>
      <c r="G1009" s="0" t="inlineStr">
        <is>
          <t>WOMENS</t>
        </is>
      </c>
      <c r="H1009" s="0" t="inlineStr">
        <is>
          <t>XL</t>
        </is>
      </c>
      <c r="I1009" s="0">
        <v>49.99</v>
      </c>
      <c r="J1009" s="0">
        <v>4</v>
      </c>
    </row>
    <row r="1010" spans="1:10" customHeight="0">
      <c r="A1010" s="0">
        <f>HYPERLINK("https://dl.dropboxusercontent.com/scl/fi/vrg6xepjl1gsg8a2kgaaz/121211-af.jpg?rlkey=nhrzs8517dui5sunrr7ydwvcr&amp;dl=0","Click to download Image")</f>
      </c>
      <c r="B1010" s="0">
        <f>HYPERLINK("https://dl.dropboxusercontent.com/scl/fi/9q5uu2e2q3jccb6u3o8uf/womens-hoodie-and-sweatshirt-size-chartsoctavia.jpg?rlkey=zkfhv0y32z3fwufsdl7r8ea3w&amp;dl=0","Click to download SizeChart")</f>
      </c>
      <c r="C1010" s="0" t="inlineStr">
        <is>
          <t>Octavia Women's Lightweight Hoodie</t>
        </is>
      </c>
      <c r="D1010" s="0" t="inlineStr">
        <is>
          <t>'121211</t>
        </is>
      </c>
      <c r="E1010" s="0" t="inlineStr">
        <is>
          <t>UNO OCTAVIA W BLACK:121211E-2XL</t>
        </is>
      </c>
      <c r="F1010" s="0" t="inlineStr">
        <is>
          <t>'809121211087</t>
        </is>
      </c>
      <c r="G1010" s="0" t="inlineStr">
        <is>
          <t>WOMENS</t>
        </is>
      </c>
      <c r="H1010" s="0" t="inlineStr">
        <is>
          <t>2XL</t>
        </is>
      </c>
      <c r="I1010" s="0">
        <v>51.99</v>
      </c>
      <c r="J1010" s="0">
        <v>5</v>
      </c>
    </row>
    <row r="1011" spans="1:10" customHeight="0">
      <c r="A1011" s="0">
        <f>HYPERLINK("https://dl.dropboxusercontent.com/scl/fi/vrg6xepjl1gsg8a2kgaaz/121211-af.jpg?rlkey=nhrzs8517dui5sunrr7ydwvcr&amp;dl=0","Click to download Image")</f>
      </c>
      <c r="B1011" s="0">
        <f>HYPERLINK("https://dl.dropboxusercontent.com/scl/fi/9q5uu2e2q3jccb6u3o8uf/womens-hoodie-and-sweatshirt-size-chartsoctavia.jpg?rlkey=zkfhv0y32z3fwufsdl7r8ea3w&amp;dl=0","Click to download SizeChart")</f>
      </c>
      <c r="C1011" s="0" t="inlineStr">
        <is>
          <t>Octavia Women's Lightweight Hoodie</t>
        </is>
      </c>
      <c r="D1011" s="0" t="inlineStr">
        <is>
          <t>'121211</t>
        </is>
      </c>
      <c r="E1011" s="0" t="inlineStr">
        <is>
          <t>UNO OCTAVIA W BLACK:121211F-3XL</t>
        </is>
      </c>
      <c r="F1011" s="0" t="inlineStr">
        <is>
          <t>'809121211094</t>
        </is>
      </c>
      <c r="G1011" s="0" t="inlineStr">
        <is>
          <t>WOMENS</t>
        </is>
      </c>
      <c r="H1011" s="0" t="inlineStr">
        <is>
          <t>3XL</t>
        </is>
      </c>
      <c r="I1011" s="0">
        <v>51.99</v>
      </c>
      <c r="J1011" s="0">
        <v>2</v>
      </c>
    </row>
    <row r="1012" spans="1:10" customHeight="0">
      <c r="A1012" s="0">
        <f>HYPERLINK("https://dl.dropboxusercontent.com/scl/fi/vrg6xepjl1gsg8a2kgaaz/121211-af.jpg?rlkey=nhrzs8517dui5sunrr7ydwvcr&amp;dl=0","Click to download Image")</f>
      </c>
      <c r="B1012" s="0">
        <f>HYPERLINK("https://dl.dropboxusercontent.com/scl/fi/9q5uu2e2q3jccb6u3o8uf/womens-hoodie-and-sweatshirt-size-chartsoctavia.jpg?rlkey=zkfhv0y32z3fwufsdl7r8ea3w&amp;dl=0","Click to download SizeChart")</f>
      </c>
      <c r="C1012" s="0" t="inlineStr">
        <is>
          <t>Octavia Women's Lightweight Hoodie</t>
        </is>
      </c>
      <c r="D1012" s="0" t="inlineStr">
        <is>
          <t>'121211</t>
        </is>
      </c>
      <c r="E1012" s="0" t="inlineStr">
        <is>
          <t>UNO OCTAVIA W BLACK 12 PACK:121211Z-12PK</t>
        </is>
      </c>
      <c r="F1012" s="0" t="inlineStr">
        <is>
          <t>'809121211995</t>
        </is>
      </c>
      <c r="G1012" s="0" t="inlineStr">
        <is>
          <t>WOMENS</t>
        </is>
      </c>
      <c r="H1012" s="0" t="inlineStr">
        <is>
          <t>12 PACK</t>
        </is>
      </c>
      <c r="I1012" s="0">
        <v>479.76</v>
      </c>
      <c r="J1012" s="0">
        <v>2</v>
      </c>
    </row>
    <row r="1013" spans="1:10" customHeight="0">
      <c r="A1013" s="0">
        <f>HYPERLINK("https://dl.dropboxusercontent.com/scl/fi/78taz3vdx6vtur479001o/121210-af.jpg?rlkey=hhzpdrlfwlbsqe6xrr51baqdl&amp;dl=0","Click to download Image")</f>
      </c>
      <c r="B1013" s="0">
        <f>HYPERLINK("https://dl.dropboxusercontent.com/scl/fi/9q5uu2e2q3jccb6u3o8uf/womens-hoodie-and-sweatshirt-size-chartsoctavia.jpg?rlkey=zkfhv0y32z3fwufsdl7r8ea3w&amp;dl=0","Click to download SizeChart")</f>
      </c>
      <c r="C1013" s="0" t="inlineStr">
        <is>
          <t>Octavia Women's Lightweight Hoodie</t>
        </is>
      </c>
      <c r="D1013" s="0" t="inlineStr">
        <is>
          <t>'121210</t>
        </is>
      </c>
      <c r="E1013" s="0" t="inlineStr">
        <is>
          <t>CREIGHTON OCTAVIA W NAVY:121210A-S</t>
        </is>
      </c>
      <c r="F1013" s="0" t="inlineStr">
        <is>
          <t>'810121210048</t>
        </is>
      </c>
      <c r="G1013" s="0" t="inlineStr">
        <is>
          <t>WOMENS</t>
        </is>
      </c>
      <c r="H1013" s="0" t="inlineStr">
        <is>
          <t>S</t>
        </is>
      </c>
      <c r="I1013" s="0">
        <v>49.99</v>
      </c>
      <c r="J1013" s="0">
        <v>0</v>
      </c>
    </row>
    <row r="1014" spans="1:10" customHeight="0">
      <c r="A1014" s="0">
        <f>HYPERLINK("https://dl.dropboxusercontent.com/scl/fi/78taz3vdx6vtur479001o/121210-af.jpg?rlkey=hhzpdrlfwlbsqe6xrr51baqdl&amp;dl=0","Click to download Image")</f>
      </c>
      <c r="B1014" s="0">
        <f>HYPERLINK("https://dl.dropboxusercontent.com/scl/fi/9q5uu2e2q3jccb6u3o8uf/womens-hoodie-and-sweatshirt-size-chartsoctavia.jpg?rlkey=zkfhv0y32z3fwufsdl7r8ea3w&amp;dl=0","Click to download SizeChart")</f>
      </c>
      <c r="C1014" s="0" t="inlineStr">
        <is>
          <t>Octavia Women's Lightweight Hoodie</t>
        </is>
      </c>
      <c r="D1014" s="0" t="inlineStr">
        <is>
          <t>'121210</t>
        </is>
      </c>
      <c r="E1014" s="0" t="inlineStr">
        <is>
          <t>CREIGHTON OCTAVIA W NAVY:121210B-M</t>
        </is>
      </c>
      <c r="F1014" s="0" t="inlineStr">
        <is>
          <t>'810121210055</t>
        </is>
      </c>
      <c r="G1014" s="0" t="inlineStr">
        <is>
          <t>WOMENS</t>
        </is>
      </c>
      <c r="H1014" s="0" t="inlineStr">
        <is>
          <t>M</t>
        </is>
      </c>
      <c r="I1014" s="0">
        <v>49.99</v>
      </c>
      <c r="J1014" s="0">
        <v>1</v>
      </c>
    </row>
    <row r="1015" spans="1:10" customHeight="0">
      <c r="A1015" s="0">
        <f>HYPERLINK("https://dl.dropboxusercontent.com/scl/fi/78taz3vdx6vtur479001o/121210-af.jpg?rlkey=hhzpdrlfwlbsqe6xrr51baqdl&amp;dl=0","Click to download Image")</f>
      </c>
      <c r="B1015" s="0">
        <f>HYPERLINK("https://dl.dropboxusercontent.com/scl/fi/9q5uu2e2q3jccb6u3o8uf/womens-hoodie-and-sweatshirt-size-chartsoctavia.jpg?rlkey=zkfhv0y32z3fwufsdl7r8ea3w&amp;dl=0","Click to download SizeChart")</f>
      </c>
      <c r="C1015" s="0" t="inlineStr">
        <is>
          <t>Octavia Women's Lightweight Hoodie</t>
        </is>
      </c>
      <c r="D1015" s="0" t="inlineStr">
        <is>
          <t>'121210</t>
        </is>
      </c>
      <c r="E1015" s="0" t="inlineStr">
        <is>
          <t>CREIGHTON OCTAVIA W NAVY:121210C-L</t>
        </is>
      </c>
      <c r="F1015" s="0" t="inlineStr">
        <is>
          <t>'810121210062</t>
        </is>
      </c>
      <c r="G1015" s="0" t="inlineStr">
        <is>
          <t>WOMENS</t>
        </is>
      </c>
      <c r="H1015" s="0" t="inlineStr">
        <is>
          <t>L</t>
        </is>
      </c>
      <c r="I1015" s="0">
        <v>49.99</v>
      </c>
      <c r="J1015" s="0">
        <v>0</v>
      </c>
    </row>
    <row r="1016" spans="1:10" customHeight="0">
      <c r="A1016" s="0">
        <f>HYPERLINK("https://dl.dropboxusercontent.com/scl/fi/78taz3vdx6vtur479001o/121210-af.jpg?rlkey=hhzpdrlfwlbsqe6xrr51baqdl&amp;dl=0","Click to download Image")</f>
      </c>
      <c r="B1016" s="0">
        <f>HYPERLINK("https://dl.dropboxusercontent.com/scl/fi/9q5uu2e2q3jccb6u3o8uf/womens-hoodie-and-sweatshirt-size-chartsoctavia.jpg?rlkey=zkfhv0y32z3fwufsdl7r8ea3w&amp;dl=0","Click to download SizeChart")</f>
      </c>
      <c r="C1016" s="0" t="inlineStr">
        <is>
          <t>Octavia Women's Lightweight Hoodie</t>
        </is>
      </c>
      <c r="D1016" s="0" t="inlineStr">
        <is>
          <t>'121210</t>
        </is>
      </c>
      <c r="E1016" s="0" t="inlineStr">
        <is>
          <t>CREIGHTON OCTAVIA W NAVY:121210D-XL</t>
        </is>
      </c>
      <c r="F1016" s="0" t="inlineStr">
        <is>
          <t>'810121210079</t>
        </is>
      </c>
      <c r="G1016" s="0" t="inlineStr">
        <is>
          <t>WOMENS</t>
        </is>
      </c>
      <c r="H1016" s="0" t="inlineStr">
        <is>
          <t>XL</t>
        </is>
      </c>
      <c r="I1016" s="0">
        <v>49.99</v>
      </c>
      <c r="J1016" s="0">
        <v>0</v>
      </c>
    </row>
    <row r="1017" spans="1:10" customHeight="0">
      <c r="A1017" s="0">
        <f>HYPERLINK("https://dl.dropboxusercontent.com/scl/fi/78taz3vdx6vtur479001o/121210-af.jpg?rlkey=hhzpdrlfwlbsqe6xrr51baqdl&amp;dl=0","Click to download Image")</f>
      </c>
      <c r="B1017" s="0">
        <f>HYPERLINK("https://dl.dropboxusercontent.com/scl/fi/9q5uu2e2q3jccb6u3o8uf/womens-hoodie-and-sweatshirt-size-chartsoctavia.jpg?rlkey=zkfhv0y32z3fwufsdl7r8ea3w&amp;dl=0","Click to download SizeChart")</f>
      </c>
      <c r="C1017" s="0" t="inlineStr">
        <is>
          <t>Octavia Women's Lightweight Hoodie</t>
        </is>
      </c>
      <c r="D1017" s="0" t="inlineStr">
        <is>
          <t>'121210</t>
        </is>
      </c>
      <c r="E1017" s="0" t="inlineStr">
        <is>
          <t>CREIGHTON OCTAVIA W NAVY:121210E - 2XL</t>
        </is>
      </c>
      <c r="F1017" s="0" t="inlineStr">
        <is>
          <t>'810121210086</t>
        </is>
      </c>
      <c r="G1017" s="0" t="inlineStr">
        <is>
          <t>WOMENS</t>
        </is>
      </c>
      <c r="H1017" s="0" t="inlineStr">
        <is>
          <t>2XL</t>
        </is>
      </c>
      <c r="I1017" s="0">
        <v>51.99</v>
      </c>
      <c r="J1017" s="0">
        <v>1</v>
      </c>
    </row>
    <row r="1018" spans="1:10" customHeight="0">
      <c r="A1018" s="0">
        <f>HYPERLINK("https://dl.dropboxusercontent.com/scl/fi/78taz3vdx6vtur479001o/121210-af.jpg?rlkey=hhzpdrlfwlbsqe6xrr51baqdl&amp;dl=0","Click to download Image")</f>
      </c>
      <c r="B1018" s="0">
        <f>HYPERLINK("https://dl.dropboxusercontent.com/scl/fi/9q5uu2e2q3jccb6u3o8uf/womens-hoodie-and-sweatshirt-size-chartsoctavia.jpg?rlkey=zkfhv0y32z3fwufsdl7r8ea3w&amp;dl=0","Click to download SizeChart")</f>
      </c>
      <c r="C1018" s="0" t="inlineStr">
        <is>
          <t>Octavia Women's Lightweight Hoodie</t>
        </is>
      </c>
      <c r="D1018" s="0" t="inlineStr">
        <is>
          <t>'121210</t>
        </is>
      </c>
      <c r="E1018" s="0" t="inlineStr">
        <is>
          <t>CREIGHTON OCTAVIA W NAVY:121210F - 3XL</t>
        </is>
      </c>
      <c r="F1018" s="0" t="inlineStr">
        <is>
          <t>'810121210093</t>
        </is>
      </c>
      <c r="G1018" s="0" t="inlineStr">
        <is>
          <t>WOMENS</t>
        </is>
      </c>
      <c r="H1018" s="0" t="inlineStr">
        <is>
          <t>3XL</t>
        </is>
      </c>
      <c r="I1018" s="0">
        <v>51.99</v>
      </c>
      <c r="J1018" s="0">
        <v>1</v>
      </c>
    </row>
    <row r="1019" spans="1:10" customHeight="0">
      <c r="A1019" s="0">
        <f>HYPERLINK("https://dl.dropboxusercontent.com/scl/fi/78taz3vdx6vtur479001o/121210-af.jpg?rlkey=hhzpdrlfwlbsqe6xrr51baqdl&amp;dl=0","Click to download Image")</f>
      </c>
      <c r="B1019" s="0">
        <f>HYPERLINK("https://dl.dropboxusercontent.com/scl/fi/9q5uu2e2q3jccb6u3o8uf/womens-hoodie-and-sweatshirt-size-chartsoctavia.jpg?rlkey=zkfhv0y32z3fwufsdl7r8ea3w&amp;dl=0","Click to download SizeChart")</f>
      </c>
      <c r="C1019" s="0" t="inlineStr">
        <is>
          <t>Octavia Women's Lightweight Hoodie</t>
        </is>
      </c>
      <c r="D1019" s="0" t="inlineStr">
        <is>
          <t>'121210</t>
        </is>
      </c>
      <c r="E1019" s="0" t="inlineStr">
        <is>
          <t>CREIGHTON OCTAVIA W NAVY 12 PACK:121210Z-12PK</t>
        </is>
      </c>
      <c r="F1019" s="0" t="inlineStr">
        <is>
          <t>'810121210994</t>
        </is>
      </c>
      <c r="G1019" s="0" t="inlineStr">
        <is>
          <t>WOMENS</t>
        </is>
      </c>
      <c r="H1019" s="0" t="inlineStr">
        <is>
          <t>12 PACK</t>
        </is>
      </c>
      <c r="I1019" s="0">
        <v>479.76</v>
      </c>
      <c r="J1019" s="0">
        <v>0</v>
      </c>
    </row>
    <row r="1020" spans="1:10" customHeight="0">
      <c r="A1020" s="0">
        <f>HYPERLINK("https://dl.dropboxusercontent.com/scl/fi/m69inty4jqit3a4pfsrfh/121163-af.jpg?rlkey=kyou4madtwgjtl68f99zjpbd4&amp;dl=0","Click to download Image")</f>
      </c>
      <c r="B1020" s="0">
        <f>HYPERLINK("https://dl.dropboxusercontent.com/scl/fi/xlstdimhapsxd4wcwmg52/womens-polo-size-chartsgloria.jpg?rlkey=ty61hfaoe5brtb8q3ysrhz5v4&amp;dl=0","Click to download SizeChart")</f>
      </c>
      <c r="C1020" s="0" t="inlineStr">
        <is>
          <t>Gloria Women's Polo</t>
        </is>
      </c>
      <c r="D1020" s="0" t="inlineStr">
        <is>
          <t>'121163</t>
        </is>
      </c>
      <c r="E1020" s="0" t="inlineStr">
        <is>
          <t>UNO GLORIA W GREY:121163A-S</t>
        </is>
      </c>
      <c r="F1020" s="0" t="inlineStr">
        <is>
          <t>'809121163041</t>
        </is>
      </c>
      <c r="G1020" s="0" t="inlineStr">
        <is>
          <t>WOMENS</t>
        </is>
      </c>
      <c r="H1020" s="0" t="inlineStr">
        <is>
          <t>S</t>
        </is>
      </c>
      <c r="I1020" s="0">
        <v>49.99</v>
      </c>
      <c r="J1020" s="0">
        <v>4</v>
      </c>
    </row>
    <row r="1021" spans="1:10" customHeight="0">
      <c r="A1021" s="0">
        <f>HYPERLINK("https://dl.dropboxusercontent.com/scl/fi/m69inty4jqit3a4pfsrfh/121163-af.jpg?rlkey=kyou4madtwgjtl68f99zjpbd4&amp;dl=0","Click to download Image")</f>
      </c>
      <c r="B1021" s="0">
        <f>HYPERLINK("https://dl.dropboxusercontent.com/scl/fi/xlstdimhapsxd4wcwmg52/womens-polo-size-chartsgloria.jpg?rlkey=ty61hfaoe5brtb8q3ysrhz5v4&amp;dl=0","Click to download SizeChart")</f>
      </c>
      <c r="C1021" s="0" t="inlineStr">
        <is>
          <t>Gloria Women's Polo</t>
        </is>
      </c>
      <c r="D1021" s="0" t="inlineStr">
        <is>
          <t>'121163</t>
        </is>
      </c>
      <c r="E1021" s="0" t="inlineStr">
        <is>
          <t>UNO GLORIA W GREY:121163B-M</t>
        </is>
      </c>
      <c r="F1021" s="0" t="inlineStr">
        <is>
          <t>'809121163058</t>
        </is>
      </c>
      <c r="G1021" s="0" t="inlineStr">
        <is>
          <t>WOMENS</t>
        </is>
      </c>
      <c r="H1021" s="0" t="inlineStr">
        <is>
          <t>M</t>
        </is>
      </c>
      <c r="I1021" s="0">
        <v>49.99</v>
      </c>
      <c r="J1021" s="0">
        <v>8</v>
      </c>
    </row>
    <row r="1022" spans="1:10" customHeight="0">
      <c r="A1022" s="0">
        <f>HYPERLINK("https://dl.dropboxusercontent.com/scl/fi/m69inty4jqit3a4pfsrfh/121163-af.jpg?rlkey=kyou4madtwgjtl68f99zjpbd4&amp;dl=0","Click to download Image")</f>
      </c>
      <c r="B1022" s="0">
        <f>HYPERLINK("https://dl.dropboxusercontent.com/scl/fi/xlstdimhapsxd4wcwmg52/womens-polo-size-chartsgloria.jpg?rlkey=ty61hfaoe5brtb8q3ysrhz5v4&amp;dl=0","Click to download SizeChart")</f>
      </c>
      <c r="C1022" s="0" t="inlineStr">
        <is>
          <t>Gloria Women's Polo</t>
        </is>
      </c>
      <c r="D1022" s="0" t="inlineStr">
        <is>
          <t>'121163</t>
        </is>
      </c>
      <c r="E1022" s="0" t="inlineStr">
        <is>
          <t>UNO GLORIA W GREY:121163C-L</t>
        </is>
      </c>
      <c r="F1022" s="0" t="inlineStr">
        <is>
          <t>'809121163065</t>
        </is>
      </c>
      <c r="G1022" s="0" t="inlineStr">
        <is>
          <t>WOMENS</t>
        </is>
      </c>
      <c r="H1022" s="0" t="inlineStr">
        <is>
          <t>L</t>
        </is>
      </c>
      <c r="I1022" s="0">
        <v>49.99</v>
      </c>
      <c r="J1022" s="0">
        <v>8</v>
      </c>
    </row>
    <row r="1023" spans="1:10" customHeight="0">
      <c r="A1023" s="0">
        <f>HYPERLINK("https://dl.dropboxusercontent.com/scl/fi/m69inty4jqit3a4pfsrfh/121163-af.jpg?rlkey=kyou4madtwgjtl68f99zjpbd4&amp;dl=0","Click to download Image")</f>
      </c>
      <c r="B1023" s="0">
        <f>HYPERLINK("https://dl.dropboxusercontent.com/scl/fi/xlstdimhapsxd4wcwmg52/womens-polo-size-chartsgloria.jpg?rlkey=ty61hfaoe5brtb8q3ysrhz5v4&amp;dl=0","Click to download SizeChart")</f>
      </c>
      <c r="C1023" s="0" t="inlineStr">
        <is>
          <t>Gloria Women's Polo</t>
        </is>
      </c>
      <c r="D1023" s="0" t="inlineStr">
        <is>
          <t>'121163</t>
        </is>
      </c>
      <c r="E1023" s="0" t="inlineStr">
        <is>
          <t>UNO GLORIA W GREY:121163D-XL</t>
        </is>
      </c>
      <c r="F1023" s="0" t="inlineStr">
        <is>
          <t>'809121163072</t>
        </is>
      </c>
      <c r="G1023" s="0" t="inlineStr">
        <is>
          <t>WOMENS</t>
        </is>
      </c>
      <c r="H1023" s="0" t="inlineStr">
        <is>
          <t>XL</t>
        </is>
      </c>
      <c r="I1023" s="0">
        <v>49.99</v>
      </c>
      <c r="J1023" s="0">
        <v>4</v>
      </c>
    </row>
    <row r="1024" spans="1:10" customHeight="0">
      <c r="A1024" s="0">
        <f>HYPERLINK("https://dl.dropboxusercontent.com/scl/fi/m69inty4jqit3a4pfsrfh/121163-af.jpg?rlkey=kyou4madtwgjtl68f99zjpbd4&amp;dl=0","Click to download Image")</f>
      </c>
      <c r="B1024" s="0">
        <f>HYPERLINK("https://dl.dropboxusercontent.com/scl/fi/xlstdimhapsxd4wcwmg52/womens-polo-size-chartsgloria.jpg?rlkey=ty61hfaoe5brtb8q3ysrhz5v4&amp;dl=0","Click to download SizeChart")</f>
      </c>
      <c r="C1024" s="0" t="inlineStr">
        <is>
          <t>Gloria Women's Polo</t>
        </is>
      </c>
      <c r="D1024" s="0" t="inlineStr">
        <is>
          <t>'121163</t>
        </is>
      </c>
      <c r="E1024" s="0" t="inlineStr">
        <is>
          <t>UNO GLORIA W GREY:121163E-2XL</t>
        </is>
      </c>
      <c r="F1024" s="0" t="inlineStr">
        <is>
          <t>'809121163089</t>
        </is>
      </c>
      <c r="G1024" s="0" t="inlineStr">
        <is>
          <t>WOMENS</t>
        </is>
      </c>
      <c r="H1024" s="0" t="inlineStr">
        <is>
          <t>2XL</t>
        </is>
      </c>
      <c r="I1024" s="0">
        <v>49.99</v>
      </c>
      <c r="J1024" s="0">
        <v>4</v>
      </c>
    </row>
    <row r="1025" spans="1:10" customHeight="0">
      <c r="A1025" s="0">
        <f>HYPERLINK("https://dl.dropboxusercontent.com/scl/fi/m69inty4jqit3a4pfsrfh/121163-af.jpg?rlkey=kyou4madtwgjtl68f99zjpbd4&amp;dl=0","Click to download Image")</f>
      </c>
      <c r="B1025" s="0">
        <f>HYPERLINK("https://dl.dropboxusercontent.com/scl/fi/xlstdimhapsxd4wcwmg52/womens-polo-size-chartsgloria.jpg?rlkey=ty61hfaoe5brtb8q3ysrhz5v4&amp;dl=0","Click to download SizeChart")</f>
      </c>
      <c r="C1025" s="0" t="inlineStr">
        <is>
          <t>Gloria Women's Polo</t>
        </is>
      </c>
      <c r="D1025" s="0" t="inlineStr">
        <is>
          <t>'121163</t>
        </is>
      </c>
      <c r="E1025" s="0" t="inlineStr">
        <is>
          <t>UNO GLORIA W GREY:121163F-3XL</t>
        </is>
      </c>
      <c r="F1025" s="0" t="inlineStr">
        <is>
          <t>'809121163096</t>
        </is>
      </c>
      <c r="G1025" s="0" t="inlineStr">
        <is>
          <t>WOMENS</t>
        </is>
      </c>
      <c r="H1025" s="0" t="inlineStr">
        <is>
          <t>3XL</t>
        </is>
      </c>
      <c r="I1025" s="0">
        <v>49.99</v>
      </c>
      <c r="J1025" s="0">
        <v>2</v>
      </c>
    </row>
    <row r="1026" spans="1:10" customHeight="0">
      <c r="A1026" s="0">
        <f>HYPERLINK("https://dl.dropboxusercontent.com/scl/fi/m69inty4jqit3a4pfsrfh/121163-af.jpg?rlkey=kyou4madtwgjtl68f99zjpbd4&amp;dl=0","Click to download Image")</f>
      </c>
      <c r="B1026" s="0">
        <f>HYPERLINK("https://dl.dropboxusercontent.com/scl/fi/xlstdimhapsxd4wcwmg52/womens-polo-size-chartsgloria.jpg?rlkey=ty61hfaoe5brtb8q3ysrhz5v4&amp;dl=0","Click to download SizeChart")</f>
      </c>
      <c r="C1026" s="0" t="inlineStr">
        <is>
          <t>Gloria Women's Polo</t>
        </is>
      </c>
      <c r="D1026" s="0" t="inlineStr">
        <is>
          <t>'121163</t>
        </is>
      </c>
      <c r="E1026" s="0" t="inlineStr">
        <is>
          <t>UNO GLORIA W GREY 12 PACK:121163Z-12PK</t>
        </is>
      </c>
      <c r="F1026" s="0" t="inlineStr">
        <is>
          <t>'809121163997</t>
        </is>
      </c>
      <c r="G1026" s="0" t="inlineStr">
        <is>
          <t>WOMENS</t>
        </is>
      </c>
      <c r="H1026" s="0" t="inlineStr">
        <is>
          <t>12 PACK</t>
        </is>
      </c>
      <c r="I1026" s="0">
        <v>479.76</v>
      </c>
      <c r="J1026" s="0">
        <v>2</v>
      </c>
    </row>
    <row r="1027" spans="1:10" customHeight="0">
      <c r="A1027" s="0">
        <f>HYPERLINK("https://dl.dropboxusercontent.com/scl/fi/5qa8dmcj8nmubc3q5zh4w/116525-af.jpg?rlkey=5tkh1fhpf2993xhby4ufozk6e&amp;dl=0","Click to download Image")</f>
      </c>
      <c r="B1027" s="0">
        <f>HYPERLINK("https://dl.dropboxusercontent.com/scl/fi/xlstdimhapsxd4wcwmg52/womens-polo-size-chartsgloria.jpg?rlkey=ty61hfaoe5brtb8q3ysrhz5v4&amp;dl=0","Click to download SizeChart")</f>
      </c>
      <c r="C1027" s="0" t="inlineStr">
        <is>
          <t>Gloria Women's Polo</t>
        </is>
      </c>
      <c r="D1027" s="0" t="inlineStr">
        <is>
          <t>'116525</t>
        </is>
      </c>
      <c r="E1027" s="0" t="inlineStr">
        <is>
          <t>ISU GLORIA W GREY:116525A-S</t>
        </is>
      </c>
      <c r="F1027" s="0" t="inlineStr">
        <is>
          <t>'801116525049</t>
        </is>
      </c>
      <c r="G1027" s="0" t="inlineStr">
        <is>
          <t>WOMENS</t>
        </is>
      </c>
      <c r="H1027" s="0" t="inlineStr">
        <is>
          <t>S</t>
        </is>
      </c>
      <c r="I1027" s="0">
        <v>49.99</v>
      </c>
      <c r="J1027" s="0">
        <v>2</v>
      </c>
    </row>
    <row r="1028" spans="1:10" customHeight="0">
      <c r="A1028" s="0">
        <f>HYPERLINK("https://dl.dropboxusercontent.com/scl/fi/5qa8dmcj8nmubc3q5zh4w/116525-af.jpg?rlkey=5tkh1fhpf2993xhby4ufozk6e&amp;dl=0","Click to download Image")</f>
      </c>
      <c r="B1028" s="0">
        <f>HYPERLINK("https://dl.dropboxusercontent.com/scl/fi/xlstdimhapsxd4wcwmg52/womens-polo-size-chartsgloria.jpg?rlkey=ty61hfaoe5brtb8q3ysrhz5v4&amp;dl=0","Click to download SizeChart")</f>
      </c>
      <c r="C1028" s="0" t="inlineStr">
        <is>
          <t>Gloria Women's Polo</t>
        </is>
      </c>
      <c r="D1028" s="0" t="inlineStr">
        <is>
          <t>'116525</t>
        </is>
      </c>
      <c r="E1028" s="0" t="inlineStr">
        <is>
          <t>ISU GLORIA W GREY:116525B-M</t>
        </is>
      </c>
      <c r="F1028" s="0" t="inlineStr">
        <is>
          <t>'801116525056</t>
        </is>
      </c>
      <c r="G1028" s="0" t="inlineStr">
        <is>
          <t>WOMENS</t>
        </is>
      </c>
      <c r="H1028" s="0" t="inlineStr">
        <is>
          <t>M</t>
        </is>
      </c>
      <c r="I1028" s="0">
        <v>49.99</v>
      </c>
      <c r="J1028" s="0">
        <v>8</v>
      </c>
    </row>
    <row r="1029" spans="1:10" customHeight="0">
      <c r="A1029" s="0">
        <f>HYPERLINK("https://dl.dropboxusercontent.com/scl/fi/5qa8dmcj8nmubc3q5zh4w/116525-af.jpg?rlkey=5tkh1fhpf2993xhby4ufozk6e&amp;dl=0","Click to download Image")</f>
      </c>
      <c r="B1029" s="0">
        <f>HYPERLINK("https://dl.dropboxusercontent.com/scl/fi/xlstdimhapsxd4wcwmg52/womens-polo-size-chartsgloria.jpg?rlkey=ty61hfaoe5brtb8q3ysrhz5v4&amp;dl=0","Click to download SizeChart")</f>
      </c>
      <c r="C1029" s="0" t="inlineStr">
        <is>
          <t>Gloria Women's Polo</t>
        </is>
      </c>
      <c r="D1029" s="0" t="inlineStr">
        <is>
          <t>'116525</t>
        </is>
      </c>
      <c r="E1029" s="0" t="inlineStr">
        <is>
          <t>ISU GLORIA W GREY:116525C-L</t>
        </is>
      </c>
      <c r="F1029" s="0" t="inlineStr">
        <is>
          <t>'801116525063</t>
        </is>
      </c>
      <c r="G1029" s="0" t="inlineStr">
        <is>
          <t>WOMENS</t>
        </is>
      </c>
      <c r="H1029" s="0" t="inlineStr">
        <is>
          <t>L</t>
        </is>
      </c>
      <c r="I1029" s="0">
        <v>49.99</v>
      </c>
      <c r="J1029" s="0">
        <v>9</v>
      </c>
    </row>
    <row r="1030" spans="1:10" customHeight="0">
      <c r="A1030" s="0">
        <f>HYPERLINK("https://dl.dropboxusercontent.com/scl/fi/5qa8dmcj8nmubc3q5zh4w/116525-af.jpg?rlkey=5tkh1fhpf2993xhby4ufozk6e&amp;dl=0","Click to download Image")</f>
      </c>
      <c r="B1030" s="0">
        <f>HYPERLINK("https://dl.dropboxusercontent.com/scl/fi/xlstdimhapsxd4wcwmg52/womens-polo-size-chartsgloria.jpg?rlkey=ty61hfaoe5brtb8q3ysrhz5v4&amp;dl=0","Click to download SizeChart")</f>
      </c>
      <c r="C1030" s="0" t="inlineStr">
        <is>
          <t>Gloria Women's Polo</t>
        </is>
      </c>
      <c r="D1030" s="0" t="inlineStr">
        <is>
          <t>'116525</t>
        </is>
      </c>
      <c r="E1030" s="0" t="inlineStr">
        <is>
          <t>ISU GLORIA W GREY:116525D-XL</t>
        </is>
      </c>
      <c r="F1030" s="0" t="inlineStr">
        <is>
          <t>'801116525070</t>
        </is>
      </c>
      <c r="G1030" s="0" t="inlineStr">
        <is>
          <t>WOMENS</t>
        </is>
      </c>
      <c r="H1030" s="0" t="inlineStr">
        <is>
          <t>XL</t>
        </is>
      </c>
      <c r="I1030" s="0">
        <v>49.99</v>
      </c>
      <c r="J1030" s="0">
        <v>4</v>
      </c>
    </row>
    <row r="1031" spans="1:10" customHeight="0">
      <c r="A1031" s="0">
        <f>HYPERLINK("https://dl.dropboxusercontent.com/scl/fi/5qa8dmcj8nmubc3q5zh4w/116525-af.jpg?rlkey=5tkh1fhpf2993xhby4ufozk6e&amp;dl=0","Click to download Image")</f>
      </c>
      <c r="B1031" s="0">
        <f>HYPERLINK("https://dl.dropboxusercontent.com/scl/fi/xlstdimhapsxd4wcwmg52/womens-polo-size-chartsgloria.jpg?rlkey=ty61hfaoe5brtb8q3ysrhz5v4&amp;dl=0","Click to download SizeChart")</f>
      </c>
      <c r="C1031" s="0" t="inlineStr">
        <is>
          <t>Gloria Women's Polo</t>
        </is>
      </c>
      <c r="D1031" s="0" t="inlineStr">
        <is>
          <t>'116525</t>
        </is>
      </c>
      <c r="E1031" s="0" t="inlineStr">
        <is>
          <t>ISU GLORIA W GREY:116525E-2XL</t>
        </is>
      </c>
      <c r="F1031" s="0" t="inlineStr">
        <is>
          <t>'801116525087</t>
        </is>
      </c>
      <c r="G1031" s="0" t="inlineStr">
        <is>
          <t>WOMENS</t>
        </is>
      </c>
      <c r="H1031" s="0" t="inlineStr">
        <is>
          <t>2XL</t>
        </is>
      </c>
      <c r="I1031" s="0">
        <v>49.99</v>
      </c>
      <c r="J1031" s="0">
        <v>2</v>
      </c>
    </row>
    <row r="1032" spans="1:10" customHeight="0">
      <c r="A1032" s="0">
        <f>HYPERLINK("https://dl.dropboxusercontent.com/scl/fi/5qa8dmcj8nmubc3q5zh4w/116525-af.jpg?rlkey=5tkh1fhpf2993xhby4ufozk6e&amp;dl=0","Click to download Image")</f>
      </c>
      <c r="B1032" s="0">
        <f>HYPERLINK("https://dl.dropboxusercontent.com/scl/fi/xlstdimhapsxd4wcwmg52/womens-polo-size-chartsgloria.jpg?rlkey=ty61hfaoe5brtb8q3ysrhz5v4&amp;dl=0","Click to download SizeChart")</f>
      </c>
      <c r="C1032" s="0" t="inlineStr">
        <is>
          <t>Gloria Women's Polo</t>
        </is>
      </c>
      <c r="D1032" s="0" t="inlineStr">
        <is>
          <t>'116525</t>
        </is>
      </c>
      <c r="E1032" s="0" t="inlineStr">
        <is>
          <t>ISU GLORIA W GREY:116525F-3XL</t>
        </is>
      </c>
      <c r="F1032" s="0" t="inlineStr">
        <is>
          <t>'801116525094</t>
        </is>
      </c>
      <c r="G1032" s="0" t="inlineStr">
        <is>
          <t>WOMENS</t>
        </is>
      </c>
      <c r="H1032" s="0" t="inlineStr">
        <is>
          <t>3XL</t>
        </is>
      </c>
      <c r="I1032" s="0">
        <v>49.99</v>
      </c>
      <c r="J1032" s="0">
        <v>1</v>
      </c>
    </row>
    <row r="1033" spans="1:10" customHeight="0">
      <c r="A1033" s="0">
        <f>HYPERLINK("https://dl.dropboxusercontent.com/scl/fi/5qa8dmcj8nmubc3q5zh4w/116525-af.jpg?rlkey=5tkh1fhpf2993xhby4ufozk6e&amp;dl=0","Click to download Image")</f>
      </c>
      <c r="B1033" s="0">
        <f>HYPERLINK("https://dl.dropboxusercontent.com/scl/fi/xlstdimhapsxd4wcwmg52/womens-polo-size-chartsgloria.jpg?rlkey=ty61hfaoe5brtb8q3ysrhz5v4&amp;dl=0","Click to download SizeChart")</f>
      </c>
      <c r="C1033" s="0" t="inlineStr">
        <is>
          <t>Gloria Women's Polo</t>
        </is>
      </c>
      <c r="D1033" s="0" t="inlineStr">
        <is>
          <t>'116525</t>
        </is>
      </c>
      <c r="E1033" s="0" t="inlineStr">
        <is>
          <t>ISU GLORIA W GREY 12 PACK:116525Z-12PK</t>
        </is>
      </c>
      <c r="F1033" s="0" t="inlineStr">
        <is>
          <t>'801116525995</t>
        </is>
      </c>
      <c r="G1033" s="0" t="inlineStr">
        <is>
          <t>WOMENS</t>
        </is>
      </c>
      <c r="H1033" s="0" t="inlineStr">
        <is>
          <t>12 PACK</t>
        </is>
      </c>
      <c r="I1033" s="0">
        <v>49.99</v>
      </c>
      <c r="J1033" s="0">
        <v>1</v>
      </c>
    </row>
    <row r="1034" spans="1:10" customHeight="0">
      <c r="A1034" s="0">
        <f>HYPERLINK("https://dl.dropboxusercontent.com/scl/fi/y6o9r1gs6ru2ca0ol7o2p/116524-af.jpg?rlkey=pmwnxo6ofalvzogsjksmys60w&amp;dl=0","Click to download Image")</f>
      </c>
      <c r="B1034" s="0">
        <f>HYPERLINK("https://dl.dropboxusercontent.com/scl/fi/xlstdimhapsxd4wcwmg52/womens-polo-size-chartsgloria.jpg?rlkey=ty61hfaoe5brtb8q3ysrhz5v4&amp;dl=0","Click to download SizeChart")</f>
      </c>
      <c r="C1034" s="0" t="inlineStr">
        <is>
          <t>Gloria Women's Polo</t>
        </is>
      </c>
      <c r="D1034" s="0" t="inlineStr">
        <is>
          <t>'116524</t>
        </is>
      </c>
      <c r="E1034" s="0" t="inlineStr">
        <is>
          <t>IOWA GLORIA W GREY:116524A-S</t>
        </is>
      </c>
      <c r="F1034" s="0" t="inlineStr">
        <is>
          <t>'800116524045</t>
        </is>
      </c>
      <c r="G1034" s="0" t="inlineStr">
        <is>
          <t>WOMENS</t>
        </is>
      </c>
      <c r="H1034" s="0" t="inlineStr">
        <is>
          <t>S</t>
        </is>
      </c>
      <c r="I1034" s="0">
        <v>49.99</v>
      </c>
      <c r="J1034" s="0">
        <v>4</v>
      </c>
    </row>
    <row r="1035" spans="1:10" customHeight="0">
      <c r="A1035" s="0">
        <f>HYPERLINK("https://dl.dropboxusercontent.com/scl/fi/y6o9r1gs6ru2ca0ol7o2p/116524-af.jpg?rlkey=pmwnxo6ofalvzogsjksmys60w&amp;dl=0","Click to download Image")</f>
      </c>
      <c r="B1035" s="0">
        <f>HYPERLINK("https://dl.dropboxusercontent.com/scl/fi/xlstdimhapsxd4wcwmg52/womens-polo-size-chartsgloria.jpg?rlkey=ty61hfaoe5brtb8q3ysrhz5v4&amp;dl=0","Click to download SizeChart")</f>
      </c>
      <c r="C1035" s="0" t="inlineStr">
        <is>
          <t>Gloria Women's Polo</t>
        </is>
      </c>
      <c r="D1035" s="0" t="inlineStr">
        <is>
          <t>'116524</t>
        </is>
      </c>
      <c r="E1035" s="0" t="inlineStr">
        <is>
          <t>IOWA GLORIA W GREY:116524B-M</t>
        </is>
      </c>
      <c r="F1035" s="0" t="inlineStr">
        <is>
          <t>'800116524052</t>
        </is>
      </c>
      <c r="G1035" s="0" t="inlineStr">
        <is>
          <t>WOMENS</t>
        </is>
      </c>
      <c r="H1035" s="0" t="inlineStr">
        <is>
          <t>M</t>
        </is>
      </c>
      <c r="I1035" s="0">
        <v>49.99</v>
      </c>
      <c r="J1035" s="0">
        <v>5</v>
      </c>
    </row>
    <row r="1036" spans="1:10" customHeight="0">
      <c r="A1036" s="0">
        <f>HYPERLINK("https://dl.dropboxusercontent.com/scl/fi/y6o9r1gs6ru2ca0ol7o2p/116524-af.jpg?rlkey=pmwnxo6ofalvzogsjksmys60w&amp;dl=0","Click to download Image")</f>
      </c>
      <c r="B1036" s="0">
        <f>HYPERLINK("https://dl.dropboxusercontent.com/scl/fi/xlstdimhapsxd4wcwmg52/womens-polo-size-chartsgloria.jpg?rlkey=ty61hfaoe5brtb8q3ysrhz5v4&amp;dl=0","Click to download SizeChart")</f>
      </c>
      <c r="C1036" s="0" t="inlineStr">
        <is>
          <t>Gloria Women's Polo</t>
        </is>
      </c>
      <c r="D1036" s="0" t="inlineStr">
        <is>
          <t>'116524</t>
        </is>
      </c>
      <c r="E1036" s="0" t="inlineStr">
        <is>
          <t>IOWA GLORIA W GREY:116524C-L</t>
        </is>
      </c>
      <c r="F1036" s="0" t="inlineStr">
        <is>
          <t>'800116524069</t>
        </is>
      </c>
      <c r="G1036" s="0" t="inlineStr">
        <is>
          <t>WOMENS</t>
        </is>
      </c>
      <c r="H1036" s="0" t="inlineStr">
        <is>
          <t>L</t>
        </is>
      </c>
      <c r="I1036" s="0">
        <v>49.99</v>
      </c>
      <c r="J1036" s="0">
        <v>8</v>
      </c>
    </row>
    <row r="1037" spans="1:10" customHeight="0">
      <c r="A1037" s="0">
        <f>HYPERLINK("https://dl.dropboxusercontent.com/scl/fi/y6o9r1gs6ru2ca0ol7o2p/116524-af.jpg?rlkey=pmwnxo6ofalvzogsjksmys60w&amp;dl=0","Click to download Image")</f>
      </c>
      <c r="B1037" s="0">
        <f>HYPERLINK("https://dl.dropboxusercontent.com/scl/fi/xlstdimhapsxd4wcwmg52/womens-polo-size-chartsgloria.jpg?rlkey=ty61hfaoe5brtb8q3ysrhz5v4&amp;dl=0","Click to download SizeChart")</f>
      </c>
      <c r="C1037" s="0" t="inlineStr">
        <is>
          <t>Gloria Women's Polo</t>
        </is>
      </c>
      <c r="D1037" s="0" t="inlineStr">
        <is>
          <t>'116524</t>
        </is>
      </c>
      <c r="E1037" s="0" t="inlineStr">
        <is>
          <t>IOWA GLORIA W GREY:116524D-XL</t>
        </is>
      </c>
      <c r="F1037" s="0" t="inlineStr">
        <is>
          <t>'800116524076</t>
        </is>
      </c>
      <c r="G1037" s="0" t="inlineStr">
        <is>
          <t>WOMENS</t>
        </is>
      </c>
      <c r="H1037" s="0" t="inlineStr">
        <is>
          <t>XL</t>
        </is>
      </c>
      <c r="I1037" s="0">
        <v>49.99</v>
      </c>
      <c r="J1037" s="0">
        <v>2</v>
      </c>
    </row>
    <row r="1038" spans="1:10" customHeight="0">
      <c r="A1038" s="0">
        <f>HYPERLINK("https://dl.dropboxusercontent.com/scl/fi/y6o9r1gs6ru2ca0ol7o2p/116524-af.jpg?rlkey=pmwnxo6ofalvzogsjksmys60w&amp;dl=0","Click to download Image")</f>
      </c>
      <c r="B1038" s="0">
        <f>HYPERLINK("https://dl.dropboxusercontent.com/scl/fi/xlstdimhapsxd4wcwmg52/womens-polo-size-chartsgloria.jpg?rlkey=ty61hfaoe5brtb8q3ysrhz5v4&amp;dl=0","Click to download SizeChart")</f>
      </c>
      <c r="C1038" s="0" t="inlineStr">
        <is>
          <t>Gloria Women's Polo</t>
        </is>
      </c>
      <c r="D1038" s="0" t="inlineStr">
        <is>
          <t>'116524</t>
        </is>
      </c>
      <c r="E1038" s="0" t="inlineStr">
        <is>
          <t>IOWA GLORIA W GREY:116524E-2XL</t>
        </is>
      </c>
      <c r="F1038" s="0" t="inlineStr">
        <is>
          <t>'800116524083</t>
        </is>
      </c>
      <c r="G1038" s="0" t="inlineStr">
        <is>
          <t>WOMENS</t>
        </is>
      </c>
      <c r="H1038" s="0" t="inlineStr">
        <is>
          <t>2XL</t>
        </is>
      </c>
      <c r="I1038" s="0">
        <v>49.99</v>
      </c>
      <c r="J1038" s="0">
        <v>2</v>
      </c>
    </row>
    <row r="1039" spans="1:10" customHeight="0">
      <c r="A1039" s="0">
        <f>HYPERLINK("https://dl.dropboxusercontent.com/scl/fi/y6o9r1gs6ru2ca0ol7o2p/116524-af.jpg?rlkey=pmwnxo6ofalvzogsjksmys60w&amp;dl=0","Click to download Image")</f>
      </c>
      <c r="B1039" s="0">
        <f>HYPERLINK("https://dl.dropboxusercontent.com/scl/fi/xlstdimhapsxd4wcwmg52/womens-polo-size-chartsgloria.jpg?rlkey=ty61hfaoe5brtb8q3ysrhz5v4&amp;dl=0","Click to download SizeChart")</f>
      </c>
      <c r="C1039" s="0" t="inlineStr">
        <is>
          <t>Gloria Women's Polo</t>
        </is>
      </c>
      <c r="D1039" s="0" t="inlineStr">
        <is>
          <t>'116524</t>
        </is>
      </c>
      <c r="E1039" s="0" t="inlineStr">
        <is>
          <t>IOWA GLORIA W GREY:116524F-3XL</t>
        </is>
      </c>
      <c r="F1039" s="0" t="inlineStr">
        <is>
          <t>'800116524090</t>
        </is>
      </c>
      <c r="G1039" s="0" t="inlineStr">
        <is>
          <t>WOMENS</t>
        </is>
      </c>
      <c r="H1039" s="0" t="inlineStr">
        <is>
          <t>3XL</t>
        </is>
      </c>
      <c r="I1039" s="0">
        <v>49.99</v>
      </c>
      <c r="J1039" s="0">
        <v>0</v>
      </c>
    </row>
    <row r="1040" spans="1:10" customHeight="0">
      <c r="A1040" s="0">
        <f>HYPERLINK("https://dl.dropboxusercontent.com/scl/fi/y6o9r1gs6ru2ca0ol7o2p/116524-af.jpg?rlkey=pmwnxo6ofalvzogsjksmys60w&amp;dl=0","Click to download Image")</f>
      </c>
      <c r="B1040" s="0">
        <f>HYPERLINK("https://dl.dropboxusercontent.com/scl/fi/xlstdimhapsxd4wcwmg52/womens-polo-size-chartsgloria.jpg?rlkey=ty61hfaoe5brtb8q3ysrhz5v4&amp;dl=0","Click to download SizeChart")</f>
      </c>
      <c r="C1040" s="0" t="inlineStr">
        <is>
          <t>Gloria Women's Polo</t>
        </is>
      </c>
      <c r="D1040" s="0" t="inlineStr">
        <is>
          <t>'116524</t>
        </is>
      </c>
      <c r="E1040" s="0" t="inlineStr">
        <is>
          <t>IOWA GLORIA W GREY 12 PACK:116524Z-12PK</t>
        </is>
      </c>
      <c r="F1040" s="0" t="inlineStr">
        <is>
          <t>'800116524991</t>
        </is>
      </c>
      <c r="G1040" s="0" t="inlineStr">
        <is>
          <t>WOMENS</t>
        </is>
      </c>
      <c r="H1040" s="0" t="inlineStr">
        <is>
          <t>12 PACK</t>
        </is>
      </c>
      <c r="I1040" s="0">
        <v>49.99</v>
      </c>
      <c r="J1040" s="0">
        <v>1</v>
      </c>
    </row>
    <row r="1041" spans="1:10" customHeight="0">
      <c r="A1041" s="0">
        <f>HYPERLINK("https://dl.dropboxusercontent.com/scl/fi/zuk0oas2l2tj216wpp4hd/116062-af.jpg?rlkey=ov4qymyto4ml5kmfgjhb6buvw&amp;dl=0","Click to download Image")</f>
      </c>
      <c r="B1041" s="0">
        <f>HYPERLINK("https://dl.dropboxusercontent.com/scl/fi/77e95qdenpr8o5j4kels5/womens-short-sleeve-size-chartstilly.jpg?rlkey=7x7vx1b6tw5mghwxj8x0l7u1p&amp;dl=0","Click to download SizeChart")</f>
      </c>
      <c r="C1041" s="0" t="inlineStr">
        <is>
          <t>Tilly Women's Blouse</t>
        </is>
      </c>
      <c r="D1041" s="0" t="inlineStr">
        <is>
          <t>'116062</t>
        </is>
      </c>
      <c r="E1041" s="0" t="inlineStr">
        <is>
          <t>UNI TILLY W PURPLE:116062A-S</t>
        </is>
      </c>
      <c r="F1041" s="0" t="inlineStr">
        <is>
          <t>'802116062046</t>
        </is>
      </c>
      <c r="G1041" s="0" t="inlineStr">
        <is>
          <t>WOMENS</t>
        </is>
      </c>
      <c r="H1041" s="0" t="inlineStr">
        <is>
          <t>S</t>
        </is>
      </c>
      <c r="I1041" s="0">
        <v>49.99</v>
      </c>
      <c r="J1041" s="0">
        <v>3</v>
      </c>
    </row>
    <row r="1042" spans="1:10" customHeight="0">
      <c r="A1042" s="0">
        <f>HYPERLINK("https://dl.dropboxusercontent.com/scl/fi/zuk0oas2l2tj216wpp4hd/116062-af.jpg?rlkey=ov4qymyto4ml5kmfgjhb6buvw&amp;dl=0","Click to download Image")</f>
      </c>
      <c r="B1042" s="0">
        <f>HYPERLINK("https://dl.dropboxusercontent.com/scl/fi/77e95qdenpr8o5j4kels5/womens-short-sleeve-size-chartstilly.jpg?rlkey=7x7vx1b6tw5mghwxj8x0l7u1p&amp;dl=0","Click to download SizeChart")</f>
      </c>
      <c r="C1042" s="0" t="inlineStr">
        <is>
          <t>Tilly Women's Blouse</t>
        </is>
      </c>
      <c r="D1042" s="0" t="inlineStr">
        <is>
          <t>'116062</t>
        </is>
      </c>
      <c r="E1042" s="0" t="inlineStr">
        <is>
          <t>UNI TILLY W PURPLE:116062B-M</t>
        </is>
      </c>
      <c r="F1042" s="0" t="inlineStr">
        <is>
          <t>'802116062053</t>
        </is>
      </c>
      <c r="G1042" s="0" t="inlineStr">
        <is>
          <t>WOMENS</t>
        </is>
      </c>
      <c r="H1042" s="0" t="inlineStr">
        <is>
          <t>M</t>
        </is>
      </c>
      <c r="I1042" s="0">
        <v>49.99</v>
      </c>
      <c r="J1042" s="0">
        <v>2</v>
      </c>
    </row>
    <row r="1043" spans="1:10" customHeight="0">
      <c r="A1043" s="0">
        <f>HYPERLINK("https://dl.dropboxusercontent.com/scl/fi/zuk0oas2l2tj216wpp4hd/116062-af.jpg?rlkey=ov4qymyto4ml5kmfgjhb6buvw&amp;dl=0","Click to download Image")</f>
      </c>
      <c r="B1043" s="0">
        <f>HYPERLINK("https://dl.dropboxusercontent.com/scl/fi/77e95qdenpr8o5j4kels5/womens-short-sleeve-size-chartstilly.jpg?rlkey=7x7vx1b6tw5mghwxj8x0l7u1p&amp;dl=0","Click to download SizeChart")</f>
      </c>
      <c r="C1043" s="0" t="inlineStr">
        <is>
          <t>Tilly Women's Blouse</t>
        </is>
      </c>
      <c r="D1043" s="0" t="inlineStr">
        <is>
          <t>'116062</t>
        </is>
      </c>
      <c r="E1043" s="0" t="inlineStr">
        <is>
          <t>UNI TILLY W PURPLE:116062C-L</t>
        </is>
      </c>
      <c r="F1043" s="0" t="inlineStr">
        <is>
          <t>'802116062060</t>
        </is>
      </c>
      <c r="G1043" s="0" t="inlineStr">
        <is>
          <t>WOMENS</t>
        </is>
      </c>
      <c r="H1043" s="0" t="inlineStr">
        <is>
          <t>L</t>
        </is>
      </c>
      <c r="I1043" s="0">
        <v>49.99</v>
      </c>
      <c r="J1043" s="0">
        <v>3</v>
      </c>
    </row>
    <row r="1044" spans="1:10" customHeight="0">
      <c r="A1044" s="0">
        <f>HYPERLINK("https://dl.dropboxusercontent.com/scl/fi/zuk0oas2l2tj216wpp4hd/116062-af.jpg?rlkey=ov4qymyto4ml5kmfgjhb6buvw&amp;dl=0","Click to download Image")</f>
      </c>
      <c r="B1044" s="0">
        <f>HYPERLINK("https://dl.dropboxusercontent.com/scl/fi/77e95qdenpr8o5j4kels5/womens-short-sleeve-size-chartstilly.jpg?rlkey=7x7vx1b6tw5mghwxj8x0l7u1p&amp;dl=0","Click to download SizeChart")</f>
      </c>
      <c r="C1044" s="0" t="inlineStr">
        <is>
          <t>Tilly Women's Blouse</t>
        </is>
      </c>
      <c r="D1044" s="0" t="inlineStr">
        <is>
          <t>'116062</t>
        </is>
      </c>
      <c r="E1044" s="0" t="inlineStr">
        <is>
          <t>UNI TILLY W PURPLE:116062D-XL</t>
        </is>
      </c>
      <c r="F1044" s="0" t="inlineStr">
        <is>
          <t>'802116062077</t>
        </is>
      </c>
      <c r="G1044" s="0" t="inlineStr">
        <is>
          <t>WOMENS</t>
        </is>
      </c>
      <c r="H1044" s="0" t="inlineStr">
        <is>
          <t>XL</t>
        </is>
      </c>
      <c r="I1044" s="0">
        <v>49.99</v>
      </c>
      <c r="J1044" s="0">
        <v>2</v>
      </c>
    </row>
    <row r="1045" spans="1:10" customHeight="0">
      <c r="A1045" s="0">
        <f>HYPERLINK("https://dl.dropboxusercontent.com/scl/fi/zuk0oas2l2tj216wpp4hd/116062-af.jpg?rlkey=ov4qymyto4ml5kmfgjhb6buvw&amp;dl=0","Click to download Image")</f>
      </c>
      <c r="B1045" s="0">
        <f>HYPERLINK("https://dl.dropboxusercontent.com/scl/fi/77e95qdenpr8o5j4kels5/womens-short-sleeve-size-chartstilly.jpg?rlkey=7x7vx1b6tw5mghwxj8x0l7u1p&amp;dl=0","Click to download SizeChart")</f>
      </c>
      <c r="C1045" s="0" t="inlineStr">
        <is>
          <t>Tilly Women's Blouse</t>
        </is>
      </c>
      <c r="D1045" s="0" t="inlineStr">
        <is>
          <t>'116062</t>
        </is>
      </c>
      <c r="E1045" s="0" t="inlineStr">
        <is>
          <t>UNI TILLY W PURPLE:116062E-2XL</t>
        </is>
      </c>
      <c r="F1045" s="0" t="inlineStr">
        <is>
          <t>'802116062084</t>
        </is>
      </c>
      <c r="G1045" s="0" t="inlineStr">
        <is>
          <t>WOMENS</t>
        </is>
      </c>
      <c r="H1045" s="0" t="inlineStr">
        <is>
          <t>2XL</t>
        </is>
      </c>
      <c r="I1045" s="0">
        <v>51.99</v>
      </c>
      <c r="J1045" s="0">
        <v>1</v>
      </c>
    </row>
    <row r="1046" spans="1:10" customHeight="0">
      <c r="A1046" s="0">
        <f>HYPERLINK("https://dl.dropboxusercontent.com/scl/fi/zuk0oas2l2tj216wpp4hd/116062-af.jpg?rlkey=ov4qymyto4ml5kmfgjhb6buvw&amp;dl=0","Click to download Image")</f>
      </c>
      <c r="B1046" s="0">
        <f>HYPERLINK("https://dl.dropboxusercontent.com/scl/fi/77e95qdenpr8o5j4kels5/womens-short-sleeve-size-chartstilly.jpg?rlkey=7x7vx1b6tw5mghwxj8x0l7u1p&amp;dl=0","Click to download SizeChart")</f>
      </c>
      <c r="C1046" s="0" t="inlineStr">
        <is>
          <t>Tilly Women's Blouse</t>
        </is>
      </c>
      <c r="D1046" s="0" t="inlineStr">
        <is>
          <t>'116062</t>
        </is>
      </c>
      <c r="E1046" s="0" t="inlineStr">
        <is>
          <t>UNI TILLY W PURPLE:116062F-3XL</t>
        </is>
      </c>
      <c r="F1046" s="0" t="inlineStr">
        <is>
          <t>'802116062091</t>
        </is>
      </c>
      <c r="G1046" s="0" t="inlineStr">
        <is>
          <t>WOMENS</t>
        </is>
      </c>
      <c r="H1046" s="0" t="inlineStr">
        <is>
          <t>3XL</t>
        </is>
      </c>
      <c r="I1046" s="0">
        <v>51.99</v>
      </c>
      <c r="J1046" s="0">
        <v>1</v>
      </c>
    </row>
    <row r="1047" spans="1:10" customHeight="0">
      <c r="A1047" s="0">
        <f>HYPERLINK("https://dl.dropboxusercontent.com/scl/fi/zuk0oas2l2tj216wpp4hd/116062-af.jpg?rlkey=ov4qymyto4ml5kmfgjhb6buvw&amp;dl=0","Click to download Image")</f>
      </c>
      <c r="B1047" s="0">
        <f>HYPERLINK("https://dl.dropboxusercontent.com/scl/fi/77e95qdenpr8o5j4kels5/womens-short-sleeve-size-chartstilly.jpg?rlkey=7x7vx1b6tw5mghwxj8x0l7u1p&amp;dl=0","Click to download SizeChart")</f>
      </c>
      <c r="C1047" s="0" t="inlineStr">
        <is>
          <t>Tilly Women's Blouse</t>
        </is>
      </c>
      <c r="D1047" s="0" t="inlineStr">
        <is>
          <t>'116062</t>
        </is>
      </c>
      <c r="E1047" s="0" t="inlineStr">
        <is>
          <t>UNI TILLY W PURPLE 12 PACK:116062Z-12PK</t>
        </is>
      </c>
      <c r="F1047" s="0" t="inlineStr">
        <is>
          <t>'802116062992</t>
        </is>
      </c>
      <c r="G1047" s="0" t="inlineStr">
        <is>
          <t>WOMENS</t>
        </is>
      </c>
      <c r="H1047" s="0" t="inlineStr">
        <is>
          <t>12 PACK</t>
        </is>
      </c>
      <c r="I1047" s="0">
        <v>479.76</v>
      </c>
      <c r="J1047" s="0">
        <v>0</v>
      </c>
    </row>
    <row r="1048" spans="1:10" customHeight="0">
      <c r="A1048" s="0">
        <f>HYPERLINK("https://dl.dropboxusercontent.com/scl/fi/6ufzak8kkp6sj0oo6ft82/127946-af.jpg?rlkey=vaqfbp5d3hutsctc6k2osw2kh&amp;dl=0","Click to download Image")</f>
      </c>
      <c r="B1048" s="0">
        <f>HYPERLINK("https://dl.dropboxusercontent.com/scl/fi/77e95qdenpr8o5j4kels5/womens-short-sleeve-size-chartstilly.jpg?rlkey=7x7vx1b6tw5mghwxj8x0l7u1p&amp;dl=0","Click to download SizeChart")</f>
      </c>
      <c r="C1048" s="0" t="inlineStr">
        <is>
          <t>Tilly Women's Blouse</t>
        </is>
      </c>
      <c r="D1048" s="0" t="inlineStr">
        <is>
          <t>'127946</t>
        </is>
      </c>
      <c r="E1048" s="0" t="inlineStr">
        <is>
          <t>DRK TILLY W RL:127946A-S</t>
        </is>
      </c>
      <c r="F1048" s="0" t="inlineStr">
        <is>
          <t>'817127946049</t>
        </is>
      </c>
      <c r="G1048" s="0" t="inlineStr">
        <is>
          <t>WOMENS</t>
        </is>
      </c>
      <c r="H1048" s="0" t="inlineStr">
        <is>
          <t>S</t>
        </is>
      </c>
      <c r="I1048" s="0">
        <v>49.99</v>
      </c>
      <c r="J1048" s="0">
        <v>2</v>
      </c>
    </row>
    <row r="1049" spans="1:10" customHeight="0">
      <c r="A1049" s="0">
        <f>HYPERLINK("https://dl.dropboxusercontent.com/scl/fi/6ufzak8kkp6sj0oo6ft82/127946-af.jpg?rlkey=vaqfbp5d3hutsctc6k2osw2kh&amp;dl=0","Click to download Image")</f>
      </c>
      <c r="B1049" s="0">
        <f>HYPERLINK("https://dl.dropboxusercontent.com/scl/fi/77e95qdenpr8o5j4kels5/womens-short-sleeve-size-chartstilly.jpg?rlkey=7x7vx1b6tw5mghwxj8x0l7u1p&amp;dl=0","Click to download SizeChart")</f>
      </c>
      <c r="C1049" s="0" t="inlineStr">
        <is>
          <t>Tilly Women's Blouse</t>
        </is>
      </c>
      <c r="D1049" s="0" t="inlineStr">
        <is>
          <t>'127946</t>
        </is>
      </c>
      <c r="E1049" s="0" t="inlineStr">
        <is>
          <t>DRK TILLY W RL:127946B-M</t>
        </is>
      </c>
      <c r="F1049" s="0" t="inlineStr">
        <is>
          <t>'817127946056</t>
        </is>
      </c>
      <c r="G1049" s="0" t="inlineStr">
        <is>
          <t>WOMENS</t>
        </is>
      </c>
      <c r="H1049" s="0" t="inlineStr">
        <is>
          <t>M</t>
        </is>
      </c>
      <c r="I1049" s="0">
        <v>49.99</v>
      </c>
      <c r="J1049" s="0">
        <v>4</v>
      </c>
    </row>
    <row r="1050" spans="1:10" customHeight="0">
      <c r="A1050" s="0">
        <f>HYPERLINK("https://dl.dropboxusercontent.com/scl/fi/6ufzak8kkp6sj0oo6ft82/127946-af.jpg?rlkey=vaqfbp5d3hutsctc6k2osw2kh&amp;dl=0","Click to download Image")</f>
      </c>
      <c r="B1050" s="0">
        <f>HYPERLINK("https://dl.dropboxusercontent.com/scl/fi/77e95qdenpr8o5j4kels5/womens-short-sleeve-size-chartstilly.jpg?rlkey=7x7vx1b6tw5mghwxj8x0l7u1p&amp;dl=0","Click to download SizeChart")</f>
      </c>
      <c r="C1050" s="0" t="inlineStr">
        <is>
          <t>Tilly Women's Blouse</t>
        </is>
      </c>
      <c r="D1050" s="0" t="inlineStr">
        <is>
          <t>'127946</t>
        </is>
      </c>
      <c r="E1050" s="0" t="inlineStr">
        <is>
          <t>DRK TILLY W RL:127946C-L</t>
        </is>
      </c>
      <c r="F1050" s="0" t="inlineStr">
        <is>
          <t>'817127946063</t>
        </is>
      </c>
      <c r="G1050" s="0" t="inlineStr">
        <is>
          <t>WOMENS</t>
        </is>
      </c>
      <c r="H1050" s="0" t="inlineStr">
        <is>
          <t>L</t>
        </is>
      </c>
      <c r="I1050" s="0">
        <v>49.99</v>
      </c>
      <c r="J1050" s="0">
        <v>6</v>
      </c>
    </row>
    <row r="1051" spans="1:10" customHeight="0">
      <c r="A1051" s="0">
        <f>HYPERLINK("https://dl.dropboxusercontent.com/scl/fi/6ufzak8kkp6sj0oo6ft82/127946-af.jpg?rlkey=vaqfbp5d3hutsctc6k2osw2kh&amp;dl=0","Click to download Image")</f>
      </c>
      <c r="B1051" s="0">
        <f>HYPERLINK("https://dl.dropboxusercontent.com/scl/fi/77e95qdenpr8o5j4kels5/womens-short-sleeve-size-chartstilly.jpg?rlkey=7x7vx1b6tw5mghwxj8x0l7u1p&amp;dl=0","Click to download SizeChart")</f>
      </c>
      <c r="C1051" s="0" t="inlineStr">
        <is>
          <t>Tilly Women's Blouse</t>
        </is>
      </c>
      <c r="D1051" s="0" t="inlineStr">
        <is>
          <t>'127946</t>
        </is>
      </c>
      <c r="E1051" s="0" t="inlineStr">
        <is>
          <t>DRK TILLY W RL:127946D-XL</t>
        </is>
      </c>
      <c r="F1051" s="0" t="inlineStr">
        <is>
          <t>'817127946070</t>
        </is>
      </c>
      <c r="G1051" s="0" t="inlineStr">
        <is>
          <t>WOMENS</t>
        </is>
      </c>
      <c r="H1051" s="0" t="inlineStr">
        <is>
          <t>XL</t>
        </is>
      </c>
      <c r="I1051" s="0">
        <v>49.99</v>
      </c>
      <c r="J1051" s="0">
        <v>6</v>
      </c>
    </row>
    <row r="1052" spans="1:10" customHeight="0">
      <c r="A1052" s="0">
        <f>HYPERLINK("https://dl.dropboxusercontent.com/scl/fi/6ufzak8kkp6sj0oo6ft82/127946-af.jpg?rlkey=vaqfbp5d3hutsctc6k2osw2kh&amp;dl=0","Click to download Image")</f>
      </c>
      <c r="B1052" s="0">
        <f>HYPERLINK("https://dl.dropboxusercontent.com/scl/fi/77e95qdenpr8o5j4kels5/womens-short-sleeve-size-chartstilly.jpg?rlkey=7x7vx1b6tw5mghwxj8x0l7u1p&amp;dl=0","Click to download SizeChart")</f>
      </c>
      <c r="C1052" s="0" t="inlineStr">
        <is>
          <t>Tilly Women's Blouse</t>
        </is>
      </c>
      <c r="D1052" s="0" t="inlineStr">
        <is>
          <t>'127946</t>
        </is>
      </c>
      <c r="E1052" s="0" t="inlineStr">
        <is>
          <t>DRK TILLY W RL:127946E-2XL</t>
        </is>
      </c>
      <c r="F1052" s="0" t="inlineStr">
        <is>
          <t>'817127946087</t>
        </is>
      </c>
      <c r="G1052" s="0" t="inlineStr">
        <is>
          <t>WOMENS</t>
        </is>
      </c>
      <c r="H1052" s="0" t="inlineStr">
        <is>
          <t>2XL</t>
        </is>
      </c>
      <c r="I1052" s="0">
        <v>49.99</v>
      </c>
      <c r="J1052" s="0">
        <v>4</v>
      </c>
    </row>
    <row r="1053" spans="1:10" customHeight="0">
      <c r="A1053" s="0">
        <f>HYPERLINK("https://dl.dropboxusercontent.com/scl/fi/6ufzak8kkp6sj0oo6ft82/127946-af.jpg?rlkey=vaqfbp5d3hutsctc6k2osw2kh&amp;dl=0","Click to download Image")</f>
      </c>
      <c r="B1053" s="0">
        <f>HYPERLINK("https://dl.dropboxusercontent.com/scl/fi/77e95qdenpr8o5j4kels5/womens-short-sleeve-size-chartstilly.jpg?rlkey=7x7vx1b6tw5mghwxj8x0l7u1p&amp;dl=0","Click to download SizeChart")</f>
      </c>
      <c r="C1053" s="0" t="inlineStr">
        <is>
          <t>Tilly Women's Blouse</t>
        </is>
      </c>
      <c r="D1053" s="0" t="inlineStr">
        <is>
          <t>'127946</t>
        </is>
      </c>
      <c r="E1053" s="0" t="inlineStr">
        <is>
          <t>DRK TILLY W RL:127946F-3XL</t>
        </is>
      </c>
      <c r="F1053" s="0" t="inlineStr">
        <is>
          <t>'817127946094</t>
        </is>
      </c>
      <c r="G1053" s="0" t="inlineStr">
        <is>
          <t>WOMENS</t>
        </is>
      </c>
      <c r="H1053" s="0" t="inlineStr">
        <is>
          <t>3XL</t>
        </is>
      </c>
      <c r="I1053" s="0">
        <v>49.99</v>
      </c>
      <c r="J1053" s="0">
        <v>2</v>
      </c>
    </row>
    <row r="1054" spans="1:10" customHeight="0">
      <c r="A1054" s="0">
        <f>HYPERLINK("https://dl.dropboxusercontent.com/scl/fi/6ufzak8kkp6sj0oo6ft82/127946-af.jpg?rlkey=vaqfbp5d3hutsctc6k2osw2kh&amp;dl=0","Click to download Image")</f>
      </c>
      <c r="B1054" s="0">
        <f>HYPERLINK("https://dl.dropboxusercontent.com/scl/fi/77e95qdenpr8o5j4kels5/womens-short-sleeve-size-chartstilly.jpg?rlkey=7x7vx1b6tw5mghwxj8x0l7u1p&amp;dl=0","Click to download SizeChart")</f>
      </c>
      <c r="C1054" s="0" t="inlineStr">
        <is>
          <t>Tilly Women's Blouse</t>
        </is>
      </c>
      <c r="D1054" s="0" t="inlineStr">
        <is>
          <t>'127946</t>
        </is>
      </c>
      <c r="E1054" s="0" t="inlineStr">
        <is>
          <t>DRK TILLY W RL:127946Z-12PK</t>
        </is>
      </c>
      <c r="F1054" s="0" t="inlineStr">
        <is>
          <t>'817127946995</t>
        </is>
      </c>
      <c r="G1054" s="0" t="inlineStr">
        <is>
          <t>WOMENS</t>
        </is>
      </c>
      <c r="H1054" s="0" t="inlineStr">
        <is>
          <t>12 PACK</t>
        </is>
      </c>
      <c r="I1054" s="0">
        <v>479.76</v>
      </c>
      <c r="J1054" s="0">
        <v>1</v>
      </c>
    </row>
    <row r="1055" spans="1:10" customHeight="0">
      <c r="A1055" s="0">
        <f>HYPERLINK("https://dl.dropboxusercontent.com/scl/fi/4hjg84hi1wp0cbvnn682s/121182-af.jpg?rlkey=egu4xypp2eiihay146k4hjfum&amp;dl=0","Click to download Image")</f>
      </c>
      <c r="B1055" s="0">
        <f>HYPERLINK("https://dl.dropboxusercontent.com/scl/fi/czhfy9xi4mc1t6tehcc5w/mens-hoodie-size-chartsluther.jpg?rlkey=dgkrt0urmalxqlojbxd5zliy7&amp;dl=0","Click to download SizeChart")</f>
      </c>
      <c r="C1055" s="0" t="inlineStr">
        <is>
          <t>Luther Men's Lightweight Hoodie</t>
        </is>
      </c>
      <c r="D1055" s="0" t="inlineStr">
        <is>
          <t>'121182</t>
        </is>
      </c>
      <c r="E1055" s="0" t="inlineStr">
        <is>
          <t>UNO LUTHER M CARDINAL:121182A-S</t>
        </is>
      </c>
      <c r="F1055" s="0" t="inlineStr">
        <is>
          <t>'809121182042</t>
        </is>
      </c>
      <c r="G1055" s="0" t="inlineStr">
        <is>
          <t>MENS</t>
        </is>
      </c>
      <c r="H1055" s="0" t="inlineStr">
        <is>
          <t>S</t>
        </is>
      </c>
      <c r="I1055" s="0">
        <v>39.99</v>
      </c>
      <c r="J1055" s="0">
        <v>2</v>
      </c>
    </row>
    <row r="1056" spans="1:10" customHeight="0">
      <c r="A1056" s="0">
        <f>HYPERLINK("https://dl.dropboxusercontent.com/scl/fi/4hjg84hi1wp0cbvnn682s/121182-af.jpg?rlkey=egu4xypp2eiihay146k4hjfum&amp;dl=0","Click to download Image")</f>
      </c>
      <c r="B1056" s="0">
        <f>HYPERLINK("https://dl.dropboxusercontent.com/scl/fi/czhfy9xi4mc1t6tehcc5w/mens-hoodie-size-chartsluther.jpg?rlkey=dgkrt0urmalxqlojbxd5zliy7&amp;dl=0","Click to download SizeChart")</f>
      </c>
      <c r="C1056" s="0" t="inlineStr">
        <is>
          <t>Luther Men's Lightweight Hoodie</t>
        </is>
      </c>
      <c r="D1056" s="0" t="inlineStr">
        <is>
          <t>'121182</t>
        </is>
      </c>
      <c r="E1056" s="0" t="inlineStr">
        <is>
          <t>UNO LUTHER M CARDINAL:121182B-M</t>
        </is>
      </c>
      <c r="F1056" s="0" t="inlineStr">
        <is>
          <t>'809121182059</t>
        </is>
      </c>
      <c r="G1056" s="0" t="inlineStr">
        <is>
          <t>MENS</t>
        </is>
      </c>
      <c r="H1056" s="0" t="inlineStr">
        <is>
          <t>M</t>
        </is>
      </c>
      <c r="I1056" s="0">
        <v>39.99</v>
      </c>
      <c r="J1056" s="0">
        <v>3</v>
      </c>
    </row>
    <row r="1057" spans="1:10" customHeight="0">
      <c r="A1057" s="0">
        <f>HYPERLINK("https://dl.dropboxusercontent.com/scl/fi/4hjg84hi1wp0cbvnn682s/121182-af.jpg?rlkey=egu4xypp2eiihay146k4hjfum&amp;dl=0","Click to download Image")</f>
      </c>
      <c r="B1057" s="0">
        <f>HYPERLINK("https://dl.dropboxusercontent.com/scl/fi/czhfy9xi4mc1t6tehcc5w/mens-hoodie-size-chartsluther.jpg?rlkey=dgkrt0urmalxqlojbxd5zliy7&amp;dl=0","Click to download SizeChart")</f>
      </c>
      <c r="C1057" s="0" t="inlineStr">
        <is>
          <t>Luther Men's Lightweight Hoodie</t>
        </is>
      </c>
      <c r="D1057" s="0" t="inlineStr">
        <is>
          <t>'121182</t>
        </is>
      </c>
      <c r="E1057" s="0" t="inlineStr">
        <is>
          <t>UNO LUTHER M CARDINAL:121182C-L</t>
        </is>
      </c>
      <c r="F1057" s="0" t="inlineStr">
        <is>
          <t>'809121182066</t>
        </is>
      </c>
      <c r="G1057" s="0" t="inlineStr">
        <is>
          <t>MENS</t>
        </is>
      </c>
      <c r="H1057" s="0" t="inlineStr">
        <is>
          <t>L</t>
        </is>
      </c>
      <c r="I1057" s="0">
        <v>39.99</v>
      </c>
      <c r="J1057" s="0">
        <v>6</v>
      </c>
    </row>
    <row r="1058" spans="1:10" customHeight="0">
      <c r="A1058" s="0">
        <f>HYPERLINK("https://dl.dropboxusercontent.com/scl/fi/4hjg84hi1wp0cbvnn682s/121182-af.jpg?rlkey=egu4xypp2eiihay146k4hjfum&amp;dl=0","Click to download Image")</f>
      </c>
      <c r="B1058" s="0">
        <f>HYPERLINK("https://dl.dropboxusercontent.com/scl/fi/czhfy9xi4mc1t6tehcc5w/mens-hoodie-size-chartsluther.jpg?rlkey=dgkrt0urmalxqlojbxd5zliy7&amp;dl=0","Click to download SizeChart")</f>
      </c>
      <c r="C1058" s="0" t="inlineStr">
        <is>
          <t>Luther Men's Lightweight Hoodie</t>
        </is>
      </c>
      <c r="D1058" s="0" t="inlineStr">
        <is>
          <t>'121182</t>
        </is>
      </c>
      <c r="E1058" s="0" t="inlineStr">
        <is>
          <t>UNO LUTHER M CARDINAL:121182D-XL</t>
        </is>
      </c>
      <c r="F1058" s="0" t="inlineStr">
        <is>
          <t>'809121182073</t>
        </is>
      </c>
      <c r="G1058" s="0" t="inlineStr">
        <is>
          <t>MENS</t>
        </is>
      </c>
      <c r="H1058" s="0" t="inlineStr">
        <is>
          <t>XL</t>
        </is>
      </c>
      <c r="I1058" s="0">
        <v>39.99</v>
      </c>
      <c r="J1058" s="0">
        <v>5</v>
      </c>
    </row>
    <row r="1059" spans="1:10" customHeight="0">
      <c r="A1059" s="0">
        <f>HYPERLINK("https://dl.dropboxusercontent.com/scl/fi/4hjg84hi1wp0cbvnn682s/121182-af.jpg?rlkey=egu4xypp2eiihay146k4hjfum&amp;dl=0","Click to download Image")</f>
      </c>
      <c r="B1059" s="0">
        <f>HYPERLINK("https://dl.dropboxusercontent.com/scl/fi/czhfy9xi4mc1t6tehcc5w/mens-hoodie-size-chartsluther.jpg?rlkey=dgkrt0urmalxqlojbxd5zliy7&amp;dl=0","Click to download SizeChart")</f>
      </c>
      <c r="C1059" s="0" t="inlineStr">
        <is>
          <t>Luther Men's Lightweight Hoodie</t>
        </is>
      </c>
      <c r="D1059" s="0" t="inlineStr">
        <is>
          <t>'121182</t>
        </is>
      </c>
      <c r="E1059" s="0" t="inlineStr">
        <is>
          <t>UNO LUTHER M CARDINAL:121182E-2XL</t>
        </is>
      </c>
      <c r="F1059" s="0" t="inlineStr">
        <is>
          <t>'809121182080</t>
        </is>
      </c>
      <c r="G1059" s="0" t="inlineStr">
        <is>
          <t>MENS</t>
        </is>
      </c>
      <c r="H1059" s="0" t="inlineStr">
        <is>
          <t>2XL</t>
        </is>
      </c>
      <c r="I1059" s="0">
        <v>41.99</v>
      </c>
      <c r="J1059" s="0">
        <v>3</v>
      </c>
    </row>
    <row r="1060" spans="1:10" customHeight="0">
      <c r="A1060" s="0">
        <f>HYPERLINK("https://dl.dropboxusercontent.com/scl/fi/4hjg84hi1wp0cbvnn682s/121182-af.jpg?rlkey=egu4xypp2eiihay146k4hjfum&amp;dl=0","Click to download Image")</f>
      </c>
      <c r="B1060" s="0">
        <f>HYPERLINK("https://dl.dropboxusercontent.com/scl/fi/czhfy9xi4mc1t6tehcc5w/mens-hoodie-size-chartsluther.jpg?rlkey=dgkrt0urmalxqlojbxd5zliy7&amp;dl=0","Click to download SizeChart")</f>
      </c>
      <c r="C1060" s="0" t="inlineStr">
        <is>
          <t>Luther Men's Lightweight Hoodie</t>
        </is>
      </c>
      <c r="D1060" s="0" t="inlineStr">
        <is>
          <t>'121182</t>
        </is>
      </c>
      <c r="E1060" s="0" t="inlineStr">
        <is>
          <t>UNO LUTHER M CARDINAL:121182F-3XL</t>
        </is>
      </c>
      <c r="F1060" s="0" t="inlineStr">
        <is>
          <t>'809121182097</t>
        </is>
      </c>
      <c r="G1060" s="0" t="inlineStr">
        <is>
          <t>MENS</t>
        </is>
      </c>
      <c r="H1060" s="0" t="inlineStr">
        <is>
          <t>3XL</t>
        </is>
      </c>
      <c r="I1060" s="0">
        <v>41.99</v>
      </c>
      <c r="J1060" s="0">
        <v>3</v>
      </c>
    </row>
    <row r="1061" spans="1:10" customHeight="0">
      <c r="A1061" s="0">
        <f>HYPERLINK("https://dl.dropboxusercontent.com/scl/fi/4hjg84hi1wp0cbvnn682s/121182-af.jpg?rlkey=egu4xypp2eiihay146k4hjfum&amp;dl=0","Click to download Image")</f>
      </c>
      <c r="B1061" s="0">
        <f>HYPERLINK("https://dl.dropboxusercontent.com/scl/fi/czhfy9xi4mc1t6tehcc5w/mens-hoodie-size-chartsluther.jpg?rlkey=dgkrt0urmalxqlojbxd5zliy7&amp;dl=0","Click to download SizeChart")</f>
      </c>
      <c r="C1061" s="0" t="inlineStr">
        <is>
          <t>Luther Men's Lightweight Hoodie</t>
        </is>
      </c>
      <c r="D1061" s="0" t="inlineStr">
        <is>
          <t>'121182</t>
        </is>
      </c>
      <c r="E1061" s="0" t="inlineStr">
        <is>
          <t>UNO LUTHER M CARDINAL 12 PACK:121182Z-12PK</t>
        </is>
      </c>
      <c r="F1061" s="0" t="inlineStr">
        <is>
          <t>'809121182998</t>
        </is>
      </c>
      <c r="G1061" s="0" t="inlineStr">
        <is>
          <t>MENS</t>
        </is>
      </c>
      <c r="H1061" s="0" t="inlineStr">
        <is>
          <t>12 PACK</t>
        </is>
      </c>
      <c r="I1061" s="0">
        <v>383.76</v>
      </c>
      <c r="J1061" s="0">
        <v>1</v>
      </c>
    </row>
    <row r="1062" spans="1:10" customHeight="0">
      <c r="A1062" s="0">
        <f>HYPERLINK("https://dl.dropboxusercontent.com/scl/fi/4wumw8k2tbjelrje7omxw/116448-af.jpg?rlkey=o5j2bqlj8wtajdokbhuyzrsg1&amp;dl=0","Click to download Image")</f>
      </c>
      <c r="B1062" s="0">
        <f>HYPERLINK("https://dl.dropboxusercontent.com/scl/fi/czhfy9xi4mc1t6tehcc5w/mens-hoodie-size-chartsluther.jpg?rlkey=dgkrt0urmalxqlojbxd5zliy7&amp;dl=0","Click to download SizeChart")</f>
      </c>
      <c r="C1062" s="0" t="inlineStr">
        <is>
          <t>Luther Men's Lightweight Hoodie</t>
        </is>
      </c>
      <c r="D1062" s="0" t="inlineStr">
        <is>
          <t>'116448</t>
        </is>
      </c>
      <c r="E1062" s="0" t="inlineStr">
        <is>
          <t>ISU LUTHER M CARDINAL:116448A - S</t>
        </is>
      </c>
      <c r="F1062" s="0" t="inlineStr">
        <is>
          <t>'000000000000</t>
        </is>
      </c>
      <c r="G1062" s="0" t="inlineStr">
        <is>
          <t>MENS</t>
        </is>
      </c>
      <c r="H1062" s="0" t="inlineStr">
        <is>
          <t>S</t>
        </is>
      </c>
      <c r="I1062" s="0">
        <v>39.99</v>
      </c>
      <c r="J1062" s="0">
        <v>1</v>
      </c>
    </row>
    <row r="1063" spans="1:10" customHeight="0">
      <c r="A1063" s="0">
        <f>HYPERLINK("https://dl.dropboxusercontent.com/scl/fi/4wumw8k2tbjelrje7omxw/116448-af.jpg?rlkey=o5j2bqlj8wtajdokbhuyzrsg1&amp;dl=0","Click to download Image")</f>
      </c>
      <c r="B1063" s="0">
        <f>HYPERLINK("https://dl.dropboxusercontent.com/scl/fi/czhfy9xi4mc1t6tehcc5w/mens-hoodie-size-chartsluther.jpg?rlkey=dgkrt0urmalxqlojbxd5zliy7&amp;dl=0","Click to download SizeChart")</f>
      </c>
      <c r="C1063" s="0" t="inlineStr">
        <is>
          <t>Luther Men's Lightweight Hoodie</t>
        </is>
      </c>
      <c r="D1063" s="0" t="inlineStr">
        <is>
          <t>'116448</t>
        </is>
      </c>
      <c r="E1063" s="0" t="inlineStr">
        <is>
          <t>ISU LUTHER M CARDINAL:116448B - M</t>
        </is>
      </c>
      <c r="F1063" s="0" t="inlineStr">
        <is>
          <t>'000000000000</t>
        </is>
      </c>
      <c r="G1063" s="0" t="inlineStr">
        <is>
          <t>MENS</t>
        </is>
      </c>
      <c r="H1063" s="0" t="inlineStr">
        <is>
          <t>M</t>
        </is>
      </c>
      <c r="I1063" s="0">
        <v>39.99</v>
      </c>
      <c r="J1063" s="0">
        <v>0</v>
      </c>
    </row>
    <row r="1064" spans="1:10" customHeight="0">
      <c r="A1064" s="0">
        <f>HYPERLINK("https://dl.dropboxusercontent.com/scl/fi/4wumw8k2tbjelrje7omxw/116448-af.jpg?rlkey=o5j2bqlj8wtajdokbhuyzrsg1&amp;dl=0","Click to download Image")</f>
      </c>
      <c r="B1064" s="0">
        <f>HYPERLINK("https://dl.dropboxusercontent.com/scl/fi/czhfy9xi4mc1t6tehcc5w/mens-hoodie-size-chartsluther.jpg?rlkey=dgkrt0urmalxqlojbxd5zliy7&amp;dl=0","Click to download SizeChart")</f>
      </c>
      <c r="C1064" s="0" t="inlineStr">
        <is>
          <t>Luther Men's Lightweight Hoodie</t>
        </is>
      </c>
      <c r="D1064" s="0" t="inlineStr">
        <is>
          <t>'116448</t>
        </is>
      </c>
      <c r="E1064" s="0" t="inlineStr">
        <is>
          <t>ISU LUTHER M CARDINAL:116448C - L</t>
        </is>
      </c>
      <c r="F1064" s="0" t="inlineStr">
        <is>
          <t>'000000000000</t>
        </is>
      </c>
      <c r="G1064" s="0" t="inlineStr">
        <is>
          <t>MENS</t>
        </is>
      </c>
      <c r="H1064" s="0" t="inlineStr">
        <is>
          <t>L</t>
        </is>
      </c>
      <c r="I1064" s="0">
        <v>39.99</v>
      </c>
      <c r="J1064" s="0">
        <v>5</v>
      </c>
    </row>
    <row r="1065" spans="1:10" customHeight="0">
      <c r="A1065" s="0">
        <f>HYPERLINK("https://dl.dropboxusercontent.com/scl/fi/4wumw8k2tbjelrje7omxw/116448-af.jpg?rlkey=o5j2bqlj8wtajdokbhuyzrsg1&amp;dl=0","Click to download Image")</f>
      </c>
      <c r="B1065" s="0">
        <f>HYPERLINK("https://dl.dropboxusercontent.com/scl/fi/czhfy9xi4mc1t6tehcc5w/mens-hoodie-size-chartsluther.jpg?rlkey=dgkrt0urmalxqlojbxd5zliy7&amp;dl=0","Click to download SizeChart")</f>
      </c>
      <c r="C1065" s="0" t="inlineStr">
        <is>
          <t>Luther Men's Lightweight Hoodie</t>
        </is>
      </c>
      <c r="D1065" s="0" t="inlineStr">
        <is>
          <t>'116448</t>
        </is>
      </c>
      <c r="E1065" s="0" t="inlineStr">
        <is>
          <t>ISU LUTHER M CARDINAL:116448D - XL</t>
        </is>
      </c>
      <c r="F1065" s="0" t="inlineStr">
        <is>
          <t>'000000000000</t>
        </is>
      </c>
      <c r="G1065" s="0" t="inlineStr">
        <is>
          <t>MENS</t>
        </is>
      </c>
      <c r="H1065" s="0" t="inlineStr">
        <is>
          <t>XL</t>
        </is>
      </c>
      <c r="I1065" s="0">
        <v>39.99</v>
      </c>
      <c r="J1065" s="0">
        <v>7</v>
      </c>
    </row>
    <row r="1066" spans="1:10" customHeight="0">
      <c r="A1066" s="0">
        <f>HYPERLINK("https://dl.dropboxusercontent.com/scl/fi/4wumw8k2tbjelrje7omxw/116448-af.jpg?rlkey=o5j2bqlj8wtajdokbhuyzrsg1&amp;dl=0","Click to download Image")</f>
      </c>
      <c r="B1066" s="0">
        <f>HYPERLINK("https://dl.dropboxusercontent.com/scl/fi/czhfy9xi4mc1t6tehcc5w/mens-hoodie-size-chartsluther.jpg?rlkey=dgkrt0urmalxqlojbxd5zliy7&amp;dl=0","Click to download SizeChart")</f>
      </c>
      <c r="C1066" s="0" t="inlineStr">
        <is>
          <t>Luther Men's Lightweight Hoodie</t>
        </is>
      </c>
      <c r="D1066" s="0" t="inlineStr">
        <is>
          <t>'116448</t>
        </is>
      </c>
      <c r="E1066" s="0" t="inlineStr">
        <is>
          <t>ISU LUTHER M CARDINAL:116448E - 2XL</t>
        </is>
      </c>
      <c r="F1066" s="0" t="inlineStr">
        <is>
          <t>'000000000000</t>
        </is>
      </c>
      <c r="G1066" s="0" t="inlineStr">
        <is>
          <t>MENS</t>
        </is>
      </c>
      <c r="H1066" s="0" t="inlineStr">
        <is>
          <t>2XL</t>
        </is>
      </c>
      <c r="I1066" s="0">
        <v>39.99</v>
      </c>
      <c r="J1066" s="0">
        <v>4</v>
      </c>
    </row>
    <row r="1067" spans="1:10" customHeight="0">
      <c r="A1067" s="0">
        <f>HYPERLINK("https://dl.dropboxusercontent.com/scl/fi/4wumw8k2tbjelrje7omxw/116448-af.jpg?rlkey=o5j2bqlj8wtajdokbhuyzrsg1&amp;dl=0","Click to download Image")</f>
      </c>
      <c r="B1067" s="0">
        <f>HYPERLINK("https://dl.dropboxusercontent.com/scl/fi/czhfy9xi4mc1t6tehcc5w/mens-hoodie-size-chartsluther.jpg?rlkey=dgkrt0urmalxqlojbxd5zliy7&amp;dl=0","Click to download SizeChart")</f>
      </c>
      <c r="C1067" s="0" t="inlineStr">
        <is>
          <t>Luther Men's Lightweight Hoodie</t>
        </is>
      </c>
      <c r="D1067" s="0" t="inlineStr">
        <is>
          <t>'116448</t>
        </is>
      </c>
      <c r="E1067" s="0" t="inlineStr">
        <is>
          <t>ISU LUTHER M CARDINAL:116448F - 3XL</t>
        </is>
      </c>
      <c r="F1067" s="0" t="inlineStr">
        <is>
          <t>'000000000000</t>
        </is>
      </c>
      <c r="G1067" s="0" t="inlineStr">
        <is>
          <t>MENS</t>
        </is>
      </c>
      <c r="H1067" s="0" t="inlineStr">
        <is>
          <t>3XL</t>
        </is>
      </c>
      <c r="I1067" s="0">
        <v>39.99</v>
      </c>
      <c r="J1067" s="0">
        <v>3</v>
      </c>
    </row>
    <row r="1068" spans="1:10" customHeight="0">
      <c r="A1068" s="0">
        <f>HYPERLINK("https://dl.dropboxusercontent.com/scl/fi/4wumw8k2tbjelrje7omxw/116448-af.jpg?rlkey=o5j2bqlj8wtajdokbhuyzrsg1&amp;dl=0","Click to download Image")</f>
      </c>
      <c r="B1068" s="0">
        <f>HYPERLINK("https://dl.dropboxusercontent.com/scl/fi/czhfy9xi4mc1t6tehcc5w/mens-hoodie-size-chartsluther.jpg?rlkey=dgkrt0urmalxqlojbxd5zliy7&amp;dl=0","Click to download SizeChart")</f>
      </c>
      <c r="C1068" s="0" t="inlineStr">
        <is>
          <t>Luther Men's Lightweight Hoodie</t>
        </is>
      </c>
      <c r="D1068" s="0" t="inlineStr">
        <is>
          <t>'116448</t>
        </is>
      </c>
      <c r="E1068" s="0" t="inlineStr">
        <is>
          <t>ISU LUTHER M CARDINAL (116448)</t>
        </is>
      </c>
      <c r="F1068" s="0" t="inlineStr">
        <is>
          <t>'000000000000</t>
        </is>
      </c>
      <c r="G1068" s="0" t="inlineStr">
        <is>
          <t>MENS</t>
        </is>
      </c>
      <c r="H1068" s="0" t="inlineStr">
        <is>
          <t>12 PACK</t>
        </is>
      </c>
      <c r="I1068" s="0">
        <v>383.76</v>
      </c>
      <c r="J1068" s="0">
        <v>0</v>
      </c>
    </row>
    <row r="1069" spans="1:10" customHeight="0">
      <c r="A1069" s="0">
        <f>HYPERLINK("https://dl.dropboxusercontent.com/scl/fi/clauy4cw3dub91jkzzp9d/116449af.jpg?rlkey=l87rjwxp6lfmwmv9kt7rk2pzh&amp;dl=0","Click to download Image")</f>
      </c>
      <c r="B1069" s="0">
        <f>HYPERLINK("https://dl.dropboxusercontent.com/scl/fi/czhfy9xi4mc1t6tehcc5w/mens-hoodie-size-chartsluther.jpg?rlkey=dgkrt0urmalxqlojbxd5zliy7&amp;dl=0","Click to download SizeChart")</f>
      </c>
      <c r="C1069" s="0" t="inlineStr">
        <is>
          <t>Luther Men's Lightweight Hoodie</t>
        </is>
      </c>
      <c r="D1069" s="0" t="inlineStr">
        <is>
          <t>'116449</t>
        </is>
      </c>
      <c r="E1069" s="0" t="inlineStr">
        <is>
          <t>UNI LUTHER M PURPLE:116449A - S</t>
        </is>
      </c>
      <c r="F1069" s="0" t="inlineStr">
        <is>
          <t>'000000000000</t>
        </is>
      </c>
      <c r="G1069" s="0" t="inlineStr">
        <is>
          <t>MENS</t>
        </is>
      </c>
      <c r="H1069" s="0" t="inlineStr">
        <is>
          <t>S</t>
        </is>
      </c>
      <c r="I1069" s="0">
        <v>39.99</v>
      </c>
      <c r="J1069" s="0">
        <v>2</v>
      </c>
    </row>
    <row r="1070" spans="1:10" customHeight="0">
      <c r="A1070" s="0">
        <f>HYPERLINK("https://dl.dropboxusercontent.com/scl/fi/clauy4cw3dub91jkzzp9d/116449af.jpg?rlkey=l87rjwxp6lfmwmv9kt7rk2pzh&amp;dl=0","Click to download Image")</f>
      </c>
      <c r="B1070" s="0">
        <f>HYPERLINK("https://dl.dropboxusercontent.com/scl/fi/czhfy9xi4mc1t6tehcc5w/mens-hoodie-size-chartsluther.jpg?rlkey=dgkrt0urmalxqlojbxd5zliy7&amp;dl=0","Click to download SizeChart")</f>
      </c>
      <c r="C1070" s="0" t="inlineStr">
        <is>
          <t>Luther Men's Lightweight Hoodie</t>
        </is>
      </c>
      <c r="D1070" s="0" t="inlineStr">
        <is>
          <t>'116449</t>
        </is>
      </c>
      <c r="E1070" s="0" t="inlineStr">
        <is>
          <t>UNI LUTHER M PURPLE:116449B - M</t>
        </is>
      </c>
      <c r="F1070" s="0" t="inlineStr">
        <is>
          <t>'000000000000</t>
        </is>
      </c>
      <c r="G1070" s="0" t="inlineStr">
        <is>
          <t>MENS</t>
        </is>
      </c>
      <c r="H1070" s="0" t="inlineStr">
        <is>
          <t>M</t>
        </is>
      </c>
      <c r="I1070" s="0">
        <v>39.99</v>
      </c>
      <c r="J1070" s="0">
        <v>4</v>
      </c>
    </row>
    <row r="1071" spans="1:10" customHeight="0">
      <c r="A1071" s="0">
        <f>HYPERLINK("https://dl.dropboxusercontent.com/scl/fi/clauy4cw3dub91jkzzp9d/116449af.jpg?rlkey=l87rjwxp6lfmwmv9kt7rk2pzh&amp;dl=0","Click to download Image")</f>
      </c>
      <c r="B1071" s="0">
        <f>HYPERLINK("https://dl.dropboxusercontent.com/scl/fi/czhfy9xi4mc1t6tehcc5w/mens-hoodie-size-chartsluther.jpg?rlkey=dgkrt0urmalxqlojbxd5zliy7&amp;dl=0","Click to download SizeChart")</f>
      </c>
      <c r="C1071" s="0" t="inlineStr">
        <is>
          <t>Luther Men's Lightweight Hoodie</t>
        </is>
      </c>
      <c r="D1071" s="0" t="inlineStr">
        <is>
          <t>'116449</t>
        </is>
      </c>
      <c r="E1071" s="0" t="inlineStr">
        <is>
          <t>UNI LUTHER M PURPLE:116449C - L</t>
        </is>
      </c>
      <c r="F1071" s="0" t="inlineStr">
        <is>
          <t>'000000000000</t>
        </is>
      </c>
      <c r="G1071" s="0" t="inlineStr">
        <is>
          <t>MENS</t>
        </is>
      </c>
      <c r="H1071" s="0" t="inlineStr">
        <is>
          <t>L</t>
        </is>
      </c>
      <c r="I1071" s="0">
        <v>39.99</v>
      </c>
      <c r="J1071" s="0">
        <v>4</v>
      </c>
    </row>
    <row r="1072" spans="1:10" customHeight="0">
      <c r="A1072" s="0">
        <f>HYPERLINK("https://dl.dropboxusercontent.com/scl/fi/clauy4cw3dub91jkzzp9d/116449af.jpg?rlkey=l87rjwxp6lfmwmv9kt7rk2pzh&amp;dl=0","Click to download Image")</f>
      </c>
      <c r="B1072" s="0">
        <f>HYPERLINK("https://dl.dropboxusercontent.com/scl/fi/czhfy9xi4mc1t6tehcc5w/mens-hoodie-size-chartsluther.jpg?rlkey=dgkrt0urmalxqlojbxd5zliy7&amp;dl=0","Click to download SizeChart")</f>
      </c>
      <c r="C1072" s="0" t="inlineStr">
        <is>
          <t>Luther Men's Lightweight Hoodie</t>
        </is>
      </c>
      <c r="D1072" s="0" t="inlineStr">
        <is>
          <t>'116449</t>
        </is>
      </c>
      <c r="E1072" s="0" t="inlineStr">
        <is>
          <t>UNI LUTHER M PURPLE:116449D - XL</t>
        </is>
      </c>
      <c r="F1072" s="0" t="inlineStr">
        <is>
          <t>'000000000000</t>
        </is>
      </c>
      <c r="G1072" s="0" t="inlineStr">
        <is>
          <t>MENS</t>
        </is>
      </c>
      <c r="H1072" s="0" t="inlineStr">
        <is>
          <t>XL</t>
        </is>
      </c>
      <c r="I1072" s="0">
        <v>39.99</v>
      </c>
      <c r="J1072" s="0">
        <v>6</v>
      </c>
    </row>
    <row r="1073" spans="1:10" customHeight="0">
      <c r="A1073" s="0">
        <f>HYPERLINK("https://dl.dropboxusercontent.com/scl/fi/clauy4cw3dub91jkzzp9d/116449af.jpg?rlkey=l87rjwxp6lfmwmv9kt7rk2pzh&amp;dl=0","Click to download Image")</f>
      </c>
      <c r="B1073" s="0">
        <f>HYPERLINK("https://dl.dropboxusercontent.com/scl/fi/czhfy9xi4mc1t6tehcc5w/mens-hoodie-size-chartsluther.jpg?rlkey=dgkrt0urmalxqlojbxd5zliy7&amp;dl=0","Click to download SizeChart")</f>
      </c>
      <c r="C1073" s="0" t="inlineStr">
        <is>
          <t>Luther Men's Lightweight Hoodie</t>
        </is>
      </c>
      <c r="D1073" s="0" t="inlineStr">
        <is>
          <t>'116449</t>
        </is>
      </c>
      <c r="E1073" s="0" t="inlineStr">
        <is>
          <t>UNI LUTHER M PURPLE:116449E - 2XL</t>
        </is>
      </c>
      <c r="F1073" s="0" t="inlineStr">
        <is>
          <t>'000000000000</t>
        </is>
      </c>
      <c r="G1073" s="0" t="inlineStr">
        <is>
          <t>MENS</t>
        </is>
      </c>
      <c r="H1073" s="0" t="inlineStr">
        <is>
          <t>2XL</t>
        </is>
      </c>
      <c r="I1073" s="0">
        <v>39.99</v>
      </c>
      <c r="J1073" s="0">
        <v>4</v>
      </c>
    </row>
    <row r="1074" spans="1:10" customHeight="0">
      <c r="A1074" s="0">
        <f>HYPERLINK("https://dl.dropboxusercontent.com/scl/fi/clauy4cw3dub91jkzzp9d/116449af.jpg?rlkey=l87rjwxp6lfmwmv9kt7rk2pzh&amp;dl=0","Click to download Image")</f>
      </c>
      <c r="B1074" s="0">
        <f>HYPERLINK("https://dl.dropboxusercontent.com/scl/fi/czhfy9xi4mc1t6tehcc5w/mens-hoodie-size-chartsluther.jpg?rlkey=dgkrt0urmalxqlojbxd5zliy7&amp;dl=0","Click to download SizeChart")</f>
      </c>
      <c r="C1074" s="0" t="inlineStr">
        <is>
          <t>Luther Men's Lightweight Hoodie</t>
        </is>
      </c>
      <c r="D1074" s="0" t="inlineStr">
        <is>
          <t>'116449</t>
        </is>
      </c>
      <c r="E1074" s="0" t="inlineStr">
        <is>
          <t>UNI LUTHER M PURPLE:116449F - 3XL</t>
        </is>
      </c>
      <c r="F1074" s="0" t="inlineStr">
        <is>
          <t>'000000000000</t>
        </is>
      </c>
      <c r="G1074" s="0" t="inlineStr">
        <is>
          <t>MENS</t>
        </is>
      </c>
      <c r="H1074" s="0" t="inlineStr">
        <is>
          <t>3XL</t>
        </is>
      </c>
      <c r="I1074" s="0">
        <v>39.99</v>
      </c>
      <c r="J1074" s="0">
        <v>2</v>
      </c>
    </row>
    <row r="1075" spans="1:10" customHeight="0">
      <c r="A1075" s="0">
        <f>HYPERLINK("https://dl.dropboxusercontent.com/scl/fi/clauy4cw3dub91jkzzp9d/116449af.jpg?rlkey=l87rjwxp6lfmwmv9kt7rk2pzh&amp;dl=0","Click to download Image")</f>
      </c>
      <c r="B1075" s="0">
        <f>HYPERLINK("https://dl.dropboxusercontent.com/scl/fi/czhfy9xi4mc1t6tehcc5w/mens-hoodie-size-chartsluther.jpg?rlkey=dgkrt0urmalxqlojbxd5zliy7&amp;dl=0","Click to download SizeChart")</f>
      </c>
      <c r="C1075" s="0" t="inlineStr">
        <is>
          <t>Luther Men's Lightweight Hoodie</t>
        </is>
      </c>
      <c r="D1075" s="0" t="inlineStr">
        <is>
          <t>'116449</t>
        </is>
      </c>
      <c r="E1075" s="0" t="inlineStr">
        <is>
          <t>UNI LUTHER M PURPLE 12 PACK (116449)</t>
        </is>
      </c>
      <c r="F1075" s="0" t="inlineStr">
        <is>
          <t>'000000000000</t>
        </is>
      </c>
      <c r="G1075" s="0" t="inlineStr">
        <is>
          <t>MENS</t>
        </is>
      </c>
      <c r="H1075" s="0" t="inlineStr">
        <is>
          <t>12 PACK</t>
        </is>
      </c>
      <c r="I1075" s="0">
        <v>383.76</v>
      </c>
      <c r="J1075" s="0">
        <v>1</v>
      </c>
    </row>
    <row r="1076" spans="1:10" customHeight="0">
      <c r="A1076" s="0">
        <f>HYPERLINK("https://dl.dropboxusercontent.com/scl/fi/wolwnj2ip7mo1lpxc2h48/121669-af.jpg?rlkey=qzgkou9woi4gfxbm4fsvgnvc5&amp;dl=0","Click to download Image")</f>
      </c>
      <c r="B1076" s="0">
        <f>HYPERLINK("https://dl.dropboxusercontent.com/scl/fi/8c3n428539x1mxn6pxrsi/graphic-update22022-toddler.jpg?rlkey=qndr3rqwgfxmu6eanu199rq4d&amp;dl=0","Click to download SizeChart")</f>
      </c>
      <c r="C1076" s="0" t="inlineStr">
        <is>
          <t>Hera Youth Long Sleeve Shirt</t>
        </is>
      </c>
      <c r="D1076" s="0" t="inlineStr">
        <is>
          <t>'121699</t>
        </is>
      </c>
      <c r="E1076" s="0" t="inlineStr">
        <is>
          <t>KSU HERA Y GREY:121699B-YS</t>
        </is>
      </c>
      <c r="F1076" s="0" t="inlineStr">
        <is>
          <t>'805121699016</t>
        </is>
      </c>
      <c r="G1076" s="0" t="inlineStr">
        <is>
          <t>YOUTH</t>
        </is>
      </c>
      <c r="H1076" s="0" t="inlineStr">
        <is>
          <t>YS</t>
        </is>
      </c>
      <c r="I1076" s="0">
        <v>39.99</v>
      </c>
      <c r="J1076" s="0">
        <v>10</v>
      </c>
    </row>
    <row r="1077" spans="1:10" customHeight="0">
      <c r="A1077" s="0">
        <f>HYPERLINK("https://dl.dropboxusercontent.com/scl/fi/wolwnj2ip7mo1lpxc2h48/121669-af.jpg?rlkey=qzgkou9woi4gfxbm4fsvgnvc5&amp;dl=0","Click to download Image")</f>
      </c>
      <c r="B1077" s="0">
        <f>HYPERLINK("https://dl.dropboxusercontent.com/scl/fi/8c3n428539x1mxn6pxrsi/graphic-update22022-toddler.jpg?rlkey=qndr3rqwgfxmu6eanu199rq4d&amp;dl=0","Click to download SizeChart")</f>
      </c>
      <c r="C1077" s="0" t="inlineStr">
        <is>
          <t>Hera Youth Long Sleeve Shirt</t>
        </is>
      </c>
      <c r="D1077" s="0" t="inlineStr">
        <is>
          <t>'121699</t>
        </is>
      </c>
      <c r="E1077" s="0" t="inlineStr">
        <is>
          <t>KSU HERA Y GREY:121699C-YM</t>
        </is>
      </c>
      <c r="F1077" s="0" t="inlineStr">
        <is>
          <t>'805121699023</t>
        </is>
      </c>
      <c r="G1077" s="0" t="inlineStr">
        <is>
          <t>YOUTH</t>
        </is>
      </c>
      <c r="H1077" s="0" t="inlineStr">
        <is>
          <t>YM</t>
        </is>
      </c>
      <c r="I1077" s="0">
        <v>39.99</v>
      </c>
      <c r="J1077" s="0">
        <v>7</v>
      </c>
    </row>
    <row r="1078" spans="1:10" customHeight="0">
      <c r="A1078" s="0">
        <f>HYPERLINK("https://dl.dropboxusercontent.com/scl/fi/wolwnj2ip7mo1lpxc2h48/121669-af.jpg?rlkey=qzgkou9woi4gfxbm4fsvgnvc5&amp;dl=0","Click to download Image")</f>
      </c>
      <c r="B1078" s="0">
        <f>HYPERLINK("https://dl.dropboxusercontent.com/scl/fi/8c3n428539x1mxn6pxrsi/graphic-update22022-toddler.jpg?rlkey=qndr3rqwgfxmu6eanu199rq4d&amp;dl=0","Click to download SizeChart")</f>
      </c>
      <c r="C1078" s="0" t="inlineStr">
        <is>
          <t>Hera Youth Long Sleeve Shirt</t>
        </is>
      </c>
      <c r="D1078" s="0" t="inlineStr">
        <is>
          <t>'121699</t>
        </is>
      </c>
      <c r="E1078" s="0" t="inlineStr">
        <is>
          <t>KSU HERA Y GREY:121699D-YL</t>
        </is>
      </c>
      <c r="F1078" s="0" t="inlineStr">
        <is>
          <t>'805121699030</t>
        </is>
      </c>
      <c r="G1078" s="0" t="inlineStr">
        <is>
          <t>YOUTH</t>
        </is>
      </c>
      <c r="H1078" s="0" t="inlineStr">
        <is>
          <t>YL</t>
        </is>
      </c>
      <c r="I1078" s="0">
        <v>39.99</v>
      </c>
      <c r="J1078" s="0">
        <v>8</v>
      </c>
    </row>
    <row r="1079" spans="1:10" customHeight="0">
      <c r="A1079" s="0">
        <f>HYPERLINK("https://dl.dropboxusercontent.com/scl/fi/wolwnj2ip7mo1lpxc2h48/121669-af.jpg?rlkey=qzgkou9woi4gfxbm4fsvgnvc5&amp;dl=0","Click to download Image")</f>
      </c>
      <c r="B1079" s="0">
        <f>HYPERLINK("https://dl.dropboxusercontent.com/scl/fi/8c3n428539x1mxn6pxrsi/graphic-update22022-toddler.jpg?rlkey=qndr3rqwgfxmu6eanu199rq4d&amp;dl=0","Click to download SizeChart")</f>
      </c>
      <c r="C1079" s="0" t="inlineStr">
        <is>
          <t>Hera Youth Long Sleeve Shirt</t>
        </is>
      </c>
      <c r="D1079" s="0" t="inlineStr">
        <is>
          <t>'121699</t>
        </is>
      </c>
      <c r="E1079" s="0" t="inlineStr">
        <is>
          <t>KSU HERA Y GREY:121699E-YXL</t>
        </is>
      </c>
      <c r="F1079" s="0" t="inlineStr">
        <is>
          <t>'805121699047</t>
        </is>
      </c>
      <c r="G1079" s="0" t="inlineStr">
        <is>
          <t>YOUTH</t>
        </is>
      </c>
      <c r="H1079" s="0" t="inlineStr">
        <is>
          <t>YXL</t>
        </is>
      </c>
      <c r="I1079" s="0">
        <v>39.99</v>
      </c>
      <c r="J1079" s="0">
        <v>6</v>
      </c>
    </row>
    <row r="1080" spans="1:10" customHeight="0">
      <c r="A1080" s="0">
        <f>HYPERLINK("https://dl.dropboxusercontent.com/scl/fi/wolwnj2ip7mo1lpxc2h48/121669-af.jpg?rlkey=qzgkou9woi4gfxbm4fsvgnvc5&amp;dl=0","Click to download Image")</f>
      </c>
      <c r="B1080" s="0">
        <f>HYPERLINK("https://dl.dropboxusercontent.com/scl/fi/8c3n428539x1mxn6pxrsi/graphic-update22022-toddler.jpg?rlkey=qndr3rqwgfxmu6eanu199rq4d&amp;dl=0","Click to download SizeChart")</f>
      </c>
      <c r="C1080" s="0" t="inlineStr">
        <is>
          <t>Hera Youth Long Sleeve Shirt</t>
        </is>
      </c>
      <c r="D1080" s="0" t="inlineStr">
        <is>
          <t>'121699</t>
        </is>
      </c>
      <c r="E1080" s="0" t="inlineStr">
        <is>
          <t>KSU HERA Y GREY 12PK:121699Z-12PK</t>
        </is>
      </c>
      <c r="F1080" s="0" t="inlineStr">
        <is>
          <t>'805121699993</t>
        </is>
      </c>
      <c r="G1080" s="0" t="inlineStr">
        <is>
          <t>YOUTH</t>
        </is>
      </c>
      <c r="H1080" s="0" t="inlineStr">
        <is>
          <t>12 PACK</t>
        </is>
      </c>
      <c r="I1080" s="0">
        <v>407.89</v>
      </c>
      <c r="J1080" s="0">
        <v>2</v>
      </c>
    </row>
    <row r="1081" spans="1:10" customHeight="0">
      <c r="A1081" s="0">
        <f>HYPERLINK("https://dl.dropboxusercontent.com/scl/fi/71cqzsi7w8689txq829po/121664-af.jpg?rlkey=k60jhnyokxzdkr7zsv4ffz9cl&amp;dl=0","Click to download Image")</f>
      </c>
      <c r="B1081" s="0">
        <f>HYPERLINK("https://dl.dropboxusercontent.com/scl/fi/xode8vqi1okxwst7hizta/january-20205toddler.jpg?rlkey=oyvb476gk6ea3asfnkolfynqf&amp;dl=0","Click to download SizeChart")</f>
      </c>
      <c r="C1081" s="0" t="inlineStr">
        <is>
          <t>Jagger Toddler Long Sleeve Shirt</t>
        </is>
      </c>
      <c r="D1081" s="0" t="inlineStr">
        <is>
          <t>'121664</t>
        </is>
      </c>
      <c r="E1081" s="0" t="inlineStr">
        <is>
          <t>MU JAGGER T BK:121664A-2T</t>
        </is>
      </c>
      <c r="F1081" s="0" t="inlineStr">
        <is>
          <t>'803121664089</t>
        </is>
      </c>
      <c r="G1081" s="0" t="inlineStr">
        <is>
          <t>TODDLER</t>
        </is>
      </c>
      <c r="H1081" s="0" t="inlineStr">
        <is>
          <t>2T</t>
        </is>
      </c>
      <c r="I1081" s="0">
        <v>24.99</v>
      </c>
      <c r="J1081" s="0">
        <v>6</v>
      </c>
    </row>
    <row r="1082" spans="1:10" customHeight="0">
      <c r="A1082" s="0">
        <f>HYPERLINK("https://dl.dropboxusercontent.com/scl/fi/71cqzsi7w8689txq829po/121664-af.jpg?rlkey=k60jhnyokxzdkr7zsv4ffz9cl&amp;dl=0","Click to download Image")</f>
      </c>
      <c r="B1082" s="0">
        <f>HYPERLINK("https://dl.dropboxusercontent.com/scl/fi/xode8vqi1okxwst7hizta/january-20205toddler.jpg?rlkey=oyvb476gk6ea3asfnkolfynqf&amp;dl=0","Click to download SizeChart")</f>
      </c>
      <c r="C1082" s="0" t="inlineStr">
        <is>
          <t>Jagger Toddler Long Sleeve Shirt</t>
        </is>
      </c>
      <c r="D1082" s="0" t="inlineStr">
        <is>
          <t>'121664</t>
        </is>
      </c>
      <c r="E1082" s="0" t="inlineStr">
        <is>
          <t>MU JAGGER T BK:121664B-3T</t>
        </is>
      </c>
      <c r="F1082" s="0" t="inlineStr">
        <is>
          <t>'803121664096</t>
        </is>
      </c>
      <c r="G1082" s="0" t="inlineStr">
        <is>
          <t>TODDLER</t>
        </is>
      </c>
      <c r="H1082" s="0" t="inlineStr">
        <is>
          <t>3T</t>
        </is>
      </c>
      <c r="I1082" s="0">
        <v>24.99</v>
      </c>
      <c r="J1082" s="0">
        <v>6</v>
      </c>
    </row>
    <row r="1083" spans="1:10" customHeight="0">
      <c r="A1083" s="0">
        <f>HYPERLINK("https://dl.dropboxusercontent.com/scl/fi/71cqzsi7w8689txq829po/121664-af.jpg?rlkey=k60jhnyokxzdkr7zsv4ffz9cl&amp;dl=0","Click to download Image")</f>
      </c>
      <c r="B1083" s="0">
        <f>HYPERLINK("https://dl.dropboxusercontent.com/scl/fi/xode8vqi1okxwst7hizta/january-20205toddler.jpg?rlkey=oyvb476gk6ea3asfnkolfynqf&amp;dl=0","Click to download SizeChart")</f>
      </c>
      <c r="C1083" s="0" t="inlineStr">
        <is>
          <t>Jagger Toddler Long Sleeve Shirt</t>
        </is>
      </c>
      <c r="D1083" s="0" t="inlineStr">
        <is>
          <t>'121664</t>
        </is>
      </c>
      <c r="E1083" s="0" t="inlineStr">
        <is>
          <t>MU JAGGER T BK:121664C-4T</t>
        </is>
      </c>
      <c r="F1083" s="0" t="inlineStr">
        <is>
          <t>'803121664102</t>
        </is>
      </c>
      <c r="G1083" s="0" t="inlineStr">
        <is>
          <t>TODDLER</t>
        </is>
      </c>
      <c r="H1083" s="0" t="inlineStr">
        <is>
          <t>4T</t>
        </is>
      </c>
      <c r="I1083" s="0">
        <v>24.99</v>
      </c>
      <c r="J1083" s="0">
        <v>6</v>
      </c>
    </row>
    <row r="1084" spans="1:10" customHeight="0">
      <c r="A1084" s="0">
        <f>HYPERLINK("https://dl.dropboxusercontent.com/scl/fi/71cqzsi7w8689txq829po/121664-af.jpg?rlkey=k60jhnyokxzdkr7zsv4ffz9cl&amp;dl=0","Click to download Image")</f>
      </c>
      <c r="B1084" s="0">
        <f>HYPERLINK("https://dl.dropboxusercontent.com/scl/fi/xode8vqi1okxwst7hizta/january-20205toddler.jpg?rlkey=oyvb476gk6ea3asfnkolfynqf&amp;dl=0","Click to download SizeChart")</f>
      </c>
      <c r="C1084" s="0" t="inlineStr">
        <is>
          <t>Jagger Toddler Long Sleeve Shirt</t>
        </is>
      </c>
      <c r="D1084" s="0" t="inlineStr">
        <is>
          <t>'121664</t>
        </is>
      </c>
      <c r="E1084" s="0" t="inlineStr">
        <is>
          <t>MU JAGGER T BK:121664D-5T</t>
        </is>
      </c>
      <c r="F1084" s="0" t="inlineStr">
        <is>
          <t>'803121664119</t>
        </is>
      </c>
      <c r="G1084" s="0" t="inlineStr">
        <is>
          <t>TODDLER</t>
        </is>
      </c>
      <c r="H1084" s="0" t="inlineStr">
        <is>
          <t>5T</t>
        </is>
      </c>
      <c r="I1084" s="0">
        <v>24.99</v>
      </c>
      <c r="J1084" s="0">
        <v>7</v>
      </c>
    </row>
    <row r="1085" spans="1:10" customHeight="0">
      <c r="A1085" s="0">
        <f>HYPERLINK("https://dl.dropboxusercontent.com/scl/fi/71cqzsi7w8689txq829po/121664-af.jpg?rlkey=k60jhnyokxzdkr7zsv4ffz9cl&amp;dl=0","Click to download Image")</f>
      </c>
      <c r="B1085" s="0">
        <f>HYPERLINK("https://dl.dropboxusercontent.com/scl/fi/xode8vqi1okxwst7hizta/january-20205toddler.jpg?rlkey=oyvb476gk6ea3asfnkolfynqf&amp;dl=0","Click to download SizeChart")</f>
      </c>
      <c r="C1085" s="0" t="inlineStr">
        <is>
          <t>Jagger Toddler Long Sleeve Shirt</t>
        </is>
      </c>
      <c r="D1085" s="0" t="inlineStr">
        <is>
          <t>'121664</t>
        </is>
      </c>
      <c r="E1085" s="0" t="inlineStr">
        <is>
          <t>MU JAGGER T BK 12PK:121664Z-12PK</t>
        </is>
      </c>
      <c r="F1085" s="0" t="inlineStr">
        <is>
          <t>'803121664997</t>
        </is>
      </c>
      <c r="G1085" s="0" t="inlineStr">
        <is>
          <t>TODDLER</t>
        </is>
      </c>
      <c r="H1085" s="0" t="inlineStr">
        <is>
          <t>12 PACK</t>
        </is>
      </c>
      <c r="I1085" s="0">
        <v>239.76</v>
      </c>
      <c r="J1085" s="0">
        <v>2</v>
      </c>
    </row>
    <row r="1086" spans="1:10" customHeight="0">
      <c r="A1086" s="0">
        <f>HYPERLINK("https://dl.dropboxusercontent.com/scl/fi/n8tugeamno4fhzfh01wa5/120882f81934.jpg?rlkey=ip8eqvk8qvv34d199k12e321q&amp;dl=0","Click to download Image")</f>
      </c>
      <c r="B1086" s="0">
        <f>HYPERLINK("https://dl.dropboxusercontent.com/scl/fi/xode8vqi1okxwst7hizta/january-20205toddler.jpg?rlkey=oyvb476gk6ea3asfnkolfynqf&amp;dl=0","Click to download SizeChart")</f>
      </c>
      <c r="C1086" s="0" t="inlineStr">
        <is>
          <t>Jagger Toddler Long Sleeve Shirt</t>
        </is>
      </c>
      <c r="D1086" s="0" t="inlineStr">
        <is>
          <t>'121662</t>
        </is>
      </c>
      <c r="E1086" s="0" t="inlineStr">
        <is>
          <t>UNI JAGGER T PE:121662A-2T</t>
        </is>
      </c>
      <c r="F1086" s="0" t="inlineStr">
        <is>
          <t>'000000000000</t>
        </is>
      </c>
      <c r="G1086" s="0" t="inlineStr">
        <is>
          <t>TODDLER</t>
        </is>
      </c>
      <c r="H1086" s="0" t="inlineStr">
        <is>
          <t>2T</t>
        </is>
      </c>
      <c r="I1086" s="0">
        <v>24.99</v>
      </c>
      <c r="J1086" s="0">
        <v>1</v>
      </c>
    </row>
    <row r="1087" spans="1:10" customHeight="0">
      <c r="A1087" s="0">
        <f>HYPERLINK("https://dl.dropboxusercontent.com/scl/fi/n8tugeamno4fhzfh01wa5/120882f81934.jpg?rlkey=ip8eqvk8qvv34d199k12e321q&amp;dl=0","Click to download Image")</f>
      </c>
      <c r="B1087" s="0">
        <f>HYPERLINK("https://dl.dropboxusercontent.com/scl/fi/xode8vqi1okxwst7hizta/january-20205toddler.jpg?rlkey=oyvb476gk6ea3asfnkolfynqf&amp;dl=0","Click to download SizeChart")</f>
      </c>
      <c r="C1087" s="0" t="inlineStr">
        <is>
          <t>Jagger Toddler Long Sleeve Shirt</t>
        </is>
      </c>
      <c r="D1087" s="0" t="inlineStr">
        <is>
          <t>'121662</t>
        </is>
      </c>
      <c r="E1087" s="0" t="inlineStr">
        <is>
          <t>UNI JAGGER T PE:121662B-3T</t>
        </is>
      </c>
      <c r="F1087" s="0" t="inlineStr">
        <is>
          <t>'000000000000</t>
        </is>
      </c>
      <c r="G1087" s="0" t="inlineStr">
        <is>
          <t>TODDLER</t>
        </is>
      </c>
      <c r="H1087" s="0" t="inlineStr">
        <is>
          <t>3T</t>
        </is>
      </c>
      <c r="I1087" s="0">
        <v>24.99</v>
      </c>
      <c r="J1087" s="0">
        <v>3</v>
      </c>
    </row>
    <row r="1088" spans="1:10" customHeight="0">
      <c r="A1088" s="0">
        <f>HYPERLINK("https://dl.dropboxusercontent.com/scl/fi/n8tugeamno4fhzfh01wa5/120882f81934.jpg?rlkey=ip8eqvk8qvv34d199k12e321q&amp;dl=0","Click to download Image")</f>
      </c>
      <c r="B1088" s="0">
        <f>HYPERLINK("https://dl.dropboxusercontent.com/scl/fi/xode8vqi1okxwst7hizta/january-20205toddler.jpg?rlkey=oyvb476gk6ea3asfnkolfynqf&amp;dl=0","Click to download SizeChart")</f>
      </c>
      <c r="C1088" s="0" t="inlineStr">
        <is>
          <t>Jagger Toddler Long Sleeve Shirt</t>
        </is>
      </c>
      <c r="D1088" s="0" t="inlineStr">
        <is>
          <t>'121662</t>
        </is>
      </c>
      <c r="E1088" s="0" t="inlineStr">
        <is>
          <t>UNI JAGGER T PE:121662C-4T</t>
        </is>
      </c>
      <c r="F1088" s="0" t="inlineStr">
        <is>
          <t>'000000000000</t>
        </is>
      </c>
      <c r="G1088" s="0" t="inlineStr">
        <is>
          <t>TODDLER</t>
        </is>
      </c>
      <c r="H1088" s="0" t="inlineStr">
        <is>
          <t>4T</t>
        </is>
      </c>
      <c r="I1088" s="0">
        <v>24.99</v>
      </c>
      <c r="J1088" s="0">
        <v>2</v>
      </c>
    </row>
    <row r="1089" spans="1:10" customHeight="0">
      <c r="A1089" s="0">
        <f>HYPERLINK("https://dl.dropboxusercontent.com/scl/fi/n8tugeamno4fhzfh01wa5/120882f81934.jpg?rlkey=ip8eqvk8qvv34d199k12e321q&amp;dl=0","Click to download Image")</f>
      </c>
      <c r="B1089" s="0">
        <f>HYPERLINK("https://dl.dropboxusercontent.com/scl/fi/xode8vqi1okxwst7hizta/january-20205toddler.jpg?rlkey=oyvb476gk6ea3asfnkolfynqf&amp;dl=0","Click to download SizeChart")</f>
      </c>
      <c r="C1089" s="0" t="inlineStr">
        <is>
          <t>Jagger Toddler Long Sleeve Shirt</t>
        </is>
      </c>
      <c r="D1089" s="0" t="inlineStr">
        <is>
          <t>'121662</t>
        </is>
      </c>
      <c r="E1089" s="0" t="inlineStr">
        <is>
          <t>UNI JAGGER T PE:121662D-5T</t>
        </is>
      </c>
      <c r="F1089" s="0" t="inlineStr">
        <is>
          <t>'000000000000</t>
        </is>
      </c>
      <c r="G1089" s="0" t="inlineStr">
        <is>
          <t>TODDLER</t>
        </is>
      </c>
      <c r="H1089" s="0" t="inlineStr">
        <is>
          <t>5T</t>
        </is>
      </c>
      <c r="I1089" s="0">
        <v>24.99</v>
      </c>
      <c r="J1089" s="0">
        <v>1</v>
      </c>
    </row>
    <row r="1090" spans="1:10" customHeight="0">
      <c r="A1090" s="0">
        <f>HYPERLINK("https://dl.dropboxusercontent.com/scl/fi/n8tugeamno4fhzfh01wa5/120882f81934.jpg?rlkey=ip8eqvk8qvv34d199k12e321q&amp;dl=0","Click to download Image")</f>
      </c>
      <c r="B1090" s="0">
        <f>HYPERLINK("https://dl.dropboxusercontent.com/scl/fi/xode8vqi1okxwst7hizta/january-20205toddler.jpg?rlkey=oyvb476gk6ea3asfnkolfynqf&amp;dl=0","Click to download SizeChart")</f>
      </c>
      <c r="C1090" s="0" t="inlineStr">
        <is>
          <t>Jagger Toddler Long Sleeve Shirt</t>
        </is>
      </c>
      <c r="D1090" s="0" t="inlineStr">
        <is>
          <t>'121662</t>
        </is>
      </c>
      <c r="E1090" s="0" t="inlineStr">
        <is>
          <t>UNI JAGGER T PE 12PK 121662</t>
        </is>
      </c>
      <c r="F1090" s="0" t="inlineStr">
        <is>
          <t>'000000000000</t>
        </is>
      </c>
      <c r="G1090" s="0" t="inlineStr">
        <is>
          <t>TODDLER</t>
        </is>
      </c>
      <c r="H1090" s="0" t="inlineStr">
        <is>
          <t>12 PACK</t>
        </is>
      </c>
      <c r="I1090" s="0">
        <v>239.76</v>
      </c>
      <c r="J1090" s="0">
        <v>0</v>
      </c>
    </row>
    <row r="1091" spans="1:10" customHeight="0">
      <c r="A1091" s="0">
        <f>HYPERLINK("https://dl.dropboxusercontent.com/scl/fi/16mt5mx1s9x7n0mibwio3/129623t.jpg?rlkey=hmcmus6wro3n4eu61adrfc4g7&amp;dl=0","Click to download Image")</f>
      </c>
      <c r="C1091" s="0" t="inlineStr">
        <is>
          <t>Irma Youth T-shirt</t>
        </is>
      </c>
      <c r="D1091" s="0" t="inlineStr">
        <is>
          <t>'129623</t>
        </is>
      </c>
      <c r="E1091" s="0" t="inlineStr">
        <is>
          <t>IND IRMA Y GY:129623B-YS</t>
        </is>
      </c>
      <c r="F1091" s="0" t="inlineStr">
        <is>
          <t>'806129623010</t>
        </is>
      </c>
      <c r="G1091" s="0" t="inlineStr">
        <is>
          <t>YOUTH</t>
        </is>
      </c>
      <c r="H1091" s="0" t="inlineStr">
        <is>
          <t>YS</t>
        </is>
      </c>
      <c r="I1091" s="0">
        <v>29.99</v>
      </c>
      <c r="J1091" s="0">
        <v>0</v>
      </c>
    </row>
    <row r="1092" spans="1:10" customHeight="0">
      <c r="A1092" s="0">
        <f>HYPERLINK("https://dl.dropboxusercontent.com/scl/fi/16mt5mx1s9x7n0mibwio3/129623t.jpg?rlkey=hmcmus6wro3n4eu61adrfc4g7&amp;dl=0","Click to download Image")</f>
      </c>
      <c r="C1092" s="0" t="inlineStr">
        <is>
          <t>Irma Youth T-shirt</t>
        </is>
      </c>
      <c r="D1092" s="0" t="inlineStr">
        <is>
          <t>'129623</t>
        </is>
      </c>
      <c r="E1092" s="0" t="inlineStr">
        <is>
          <t>IND IRMA Y GY:129623C-YM</t>
        </is>
      </c>
      <c r="F1092" s="0" t="inlineStr">
        <is>
          <t>'806129623027</t>
        </is>
      </c>
      <c r="G1092" s="0" t="inlineStr">
        <is>
          <t>YOUTH</t>
        </is>
      </c>
      <c r="H1092" s="0" t="inlineStr">
        <is>
          <t>YM</t>
        </is>
      </c>
      <c r="I1092" s="0">
        <v>29.99</v>
      </c>
      <c r="J1092" s="0">
        <v>0</v>
      </c>
    </row>
    <row r="1093" spans="1:10" customHeight="0">
      <c r="A1093" s="0">
        <f>HYPERLINK("https://dl.dropboxusercontent.com/scl/fi/16mt5mx1s9x7n0mibwio3/129623t.jpg?rlkey=hmcmus6wro3n4eu61adrfc4g7&amp;dl=0","Click to download Image")</f>
      </c>
      <c r="C1093" s="0" t="inlineStr">
        <is>
          <t>Irma Youth T-shirt</t>
        </is>
      </c>
      <c r="D1093" s="0" t="inlineStr">
        <is>
          <t>'129623</t>
        </is>
      </c>
      <c r="E1093" s="0" t="inlineStr">
        <is>
          <t>IND IRMA Y GY:129623D-YL</t>
        </is>
      </c>
      <c r="F1093" s="0" t="inlineStr">
        <is>
          <t>'806129623034</t>
        </is>
      </c>
      <c r="G1093" s="0" t="inlineStr">
        <is>
          <t>YOUTH</t>
        </is>
      </c>
      <c r="H1093" s="0" t="inlineStr">
        <is>
          <t>YL</t>
        </is>
      </c>
      <c r="I1093" s="0">
        <v>29.99</v>
      </c>
      <c r="J1093" s="0">
        <v>0</v>
      </c>
    </row>
    <row r="1094" spans="1:10" customHeight="0">
      <c r="A1094" s="0">
        <f>HYPERLINK("https://dl.dropboxusercontent.com/scl/fi/16mt5mx1s9x7n0mibwio3/129623t.jpg?rlkey=hmcmus6wro3n4eu61adrfc4g7&amp;dl=0","Click to download Image")</f>
      </c>
      <c r="C1094" s="0" t="inlineStr">
        <is>
          <t>Irma Youth T-shirt</t>
        </is>
      </c>
      <c r="D1094" s="0" t="inlineStr">
        <is>
          <t>'129623</t>
        </is>
      </c>
      <c r="E1094" s="0" t="inlineStr">
        <is>
          <t>IND IRMA Y GY:129623E-YXL</t>
        </is>
      </c>
      <c r="F1094" s="0" t="inlineStr">
        <is>
          <t>'806129623041</t>
        </is>
      </c>
      <c r="G1094" s="0" t="inlineStr">
        <is>
          <t>YOUTH</t>
        </is>
      </c>
      <c r="H1094" s="0" t="inlineStr">
        <is>
          <t>YXL</t>
        </is>
      </c>
      <c r="I1094" s="0">
        <v>29.99</v>
      </c>
      <c r="J1094" s="0">
        <v>1</v>
      </c>
    </row>
    <row r="1095" spans="1:10" customHeight="0">
      <c r="A1095" s="0">
        <f>HYPERLINK("https://dl.dropboxusercontent.com/scl/fi/16mt5mx1s9x7n0mibwio3/129623t.jpg?rlkey=hmcmus6wro3n4eu61adrfc4g7&amp;dl=0","Click to download Image")</f>
      </c>
      <c r="C1095" s="0" t="inlineStr">
        <is>
          <t>Irma Youth T-shirt</t>
        </is>
      </c>
      <c r="D1095" s="0" t="inlineStr">
        <is>
          <t>'129623</t>
        </is>
      </c>
      <c r="E1095" s="0" t="inlineStr">
        <is>
          <t>IND IRMA Y GY 12PK:129623Z-12PK</t>
        </is>
      </c>
      <c r="F1095" s="0" t="inlineStr">
        <is>
          <t>'806129623997</t>
        </is>
      </c>
      <c r="G1095" s="0" t="inlineStr">
        <is>
          <t>YOUTH</t>
        </is>
      </c>
      <c r="H1095" s="0" t="inlineStr">
        <is>
          <t>12 PACK</t>
        </is>
      </c>
      <c r="I1095" s="0">
        <v>288</v>
      </c>
      <c r="J1095" s="0">
        <v>0</v>
      </c>
    </row>
    <row r="1096" spans="1:10" customHeight="0">
      <c r="A1096" s="0">
        <f>HYPERLINK("https://dl.dropboxusercontent.com/scl/fi/j4b6r4vmr4a1j3k7y9i50/129638t.jpg?rlkey=ahq6ww5lr49isa4f8t4lb4com&amp;dl=0","Click to download Image")</f>
      </c>
      <c r="C1096" s="0" t="inlineStr">
        <is>
          <t>Reta Youth Shirt</t>
        </is>
      </c>
      <c r="D1096" s="0" t="inlineStr">
        <is>
          <t>'129638</t>
        </is>
      </c>
      <c r="E1096" s="0" t="inlineStr">
        <is>
          <t>WCH RETA Y BK:129638B-YS</t>
        </is>
      </c>
      <c r="F1096" s="0" t="inlineStr">
        <is>
          <t>'808129638018</t>
        </is>
      </c>
      <c r="G1096" s="0" t="inlineStr">
        <is>
          <t>YOUTH</t>
        </is>
      </c>
      <c r="H1096" s="0" t="inlineStr">
        <is>
          <t>YS</t>
        </is>
      </c>
      <c r="I1096" s="0">
        <v>29.99</v>
      </c>
      <c r="J1096" s="0">
        <v>1</v>
      </c>
    </row>
    <row r="1097" spans="1:10" customHeight="0">
      <c r="A1097" s="0">
        <f>HYPERLINK("https://dl.dropboxusercontent.com/scl/fi/j4b6r4vmr4a1j3k7y9i50/129638t.jpg?rlkey=ahq6ww5lr49isa4f8t4lb4com&amp;dl=0","Click to download Image")</f>
      </c>
      <c r="C1097" s="0" t="inlineStr">
        <is>
          <t>Reta Youth Shirt</t>
        </is>
      </c>
      <c r="D1097" s="0" t="inlineStr">
        <is>
          <t>'129638</t>
        </is>
      </c>
      <c r="E1097" s="0" t="inlineStr">
        <is>
          <t>WCH RETA Y BK:129638C-YM</t>
        </is>
      </c>
      <c r="F1097" s="0" t="inlineStr">
        <is>
          <t>'808129638025</t>
        </is>
      </c>
      <c r="G1097" s="0" t="inlineStr">
        <is>
          <t>YOUTH</t>
        </is>
      </c>
      <c r="H1097" s="0" t="inlineStr">
        <is>
          <t>YM</t>
        </is>
      </c>
      <c r="I1097" s="0">
        <v>29.99</v>
      </c>
      <c r="J1097" s="0">
        <v>0</v>
      </c>
    </row>
    <row r="1098" spans="1:10" customHeight="0">
      <c r="A1098" s="0">
        <f>HYPERLINK("https://dl.dropboxusercontent.com/scl/fi/j4b6r4vmr4a1j3k7y9i50/129638t.jpg?rlkey=ahq6ww5lr49isa4f8t4lb4com&amp;dl=0","Click to download Image")</f>
      </c>
      <c r="C1098" s="0" t="inlineStr">
        <is>
          <t>Reta Youth Shirt</t>
        </is>
      </c>
      <c r="D1098" s="0" t="inlineStr">
        <is>
          <t>'129638</t>
        </is>
      </c>
      <c r="E1098" s="0" t="inlineStr">
        <is>
          <t>WCH RETA Y BK:129638D-YL</t>
        </is>
      </c>
      <c r="F1098" s="0" t="inlineStr">
        <is>
          <t>'808129638032</t>
        </is>
      </c>
      <c r="G1098" s="0" t="inlineStr">
        <is>
          <t>YOUTH</t>
        </is>
      </c>
      <c r="H1098" s="0" t="inlineStr">
        <is>
          <t>YL</t>
        </is>
      </c>
      <c r="I1098" s="0">
        <v>29.99</v>
      </c>
      <c r="J1098" s="0">
        <v>0</v>
      </c>
    </row>
    <row r="1099" spans="1:10" customHeight="0">
      <c r="A1099" s="0">
        <f>HYPERLINK("https://dl.dropboxusercontent.com/scl/fi/j4b6r4vmr4a1j3k7y9i50/129638t.jpg?rlkey=ahq6ww5lr49isa4f8t4lb4com&amp;dl=0","Click to download Image")</f>
      </c>
      <c r="C1099" s="0" t="inlineStr">
        <is>
          <t>Reta Youth Shirt</t>
        </is>
      </c>
      <c r="D1099" s="0" t="inlineStr">
        <is>
          <t>'129638</t>
        </is>
      </c>
      <c r="E1099" s="0" t="inlineStr">
        <is>
          <t>WCH RETA Y BK:129638E-YXL</t>
        </is>
      </c>
      <c r="F1099" s="0" t="inlineStr">
        <is>
          <t>'808129638049</t>
        </is>
      </c>
      <c r="G1099" s="0" t="inlineStr">
        <is>
          <t>YOUTH</t>
        </is>
      </c>
      <c r="H1099" s="0" t="inlineStr">
        <is>
          <t>YXL</t>
        </is>
      </c>
      <c r="I1099" s="0">
        <v>29.99</v>
      </c>
      <c r="J1099" s="0">
        <v>0</v>
      </c>
    </row>
    <row r="1100" spans="1:10" customHeight="0">
      <c r="A1100" s="0">
        <f>HYPERLINK("https://dl.dropboxusercontent.com/scl/fi/j4b6r4vmr4a1j3k7y9i50/129638t.jpg?rlkey=ahq6ww5lr49isa4f8t4lb4com&amp;dl=0","Click to download Image")</f>
      </c>
      <c r="C1100" s="0" t="inlineStr">
        <is>
          <t>Reta Youth Shirt</t>
        </is>
      </c>
      <c r="D1100" s="0" t="inlineStr">
        <is>
          <t>'129638</t>
        </is>
      </c>
      <c r="E1100" s="0" t="inlineStr">
        <is>
          <t>WCH RETA Y BK 12PK:129638Z-12PK</t>
        </is>
      </c>
      <c r="F1100" s="0" t="inlineStr">
        <is>
          <t>'808129638995</t>
        </is>
      </c>
      <c r="G1100" s="0" t="inlineStr">
        <is>
          <t>YOUTH</t>
        </is>
      </c>
      <c r="H1100" s="0" t="inlineStr">
        <is>
          <t>12 PACK</t>
        </is>
      </c>
      <c r="I1100" s="0">
        <v>288</v>
      </c>
      <c r="J1100" s="0">
        <v>0</v>
      </c>
    </row>
    <row r="1101" spans="1:10" customHeight="0">
      <c r="A1101" s="0">
        <f>HYPERLINK("https://dl.dropboxusercontent.com/scl/fi/jleq9avbdy7m204yjo4vl/129684t.jpg?rlkey=uo11d1se1uvsh4efk9sda46iu&amp;dl=0","Click to download Image")</f>
      </c>
      <c r="C1101" s="0" t="inlineStr">
        <is>
          <t>Susan Youth Hoodie</t>
        </is>
      </c>
      <c r="D1101" s="0" t="inlineStr">
        <is>
          <t>'129684</t>
        </is>
      </c>
      <c r="E1101" s="0" t="inlineStr">
        <is>
          <t>MU SUSAN Y RE:129684B-YS</t>
        </is>
      </c>
      <c r="F1101" s="0" t="inlineStr">
        <is>
          <t>'803129684010</t>
        </is>
      </c>
      <c r="G1101" s="0" t="inlineStr">
        <is>
          <t>YOUTH</t>
        </is>
      </c>
      <c r="H1101" s="0" t="inlineStr">
        <is>
          <t>YS</t>
        </is>
      </c>
      <c r="I1101" s="0">
        <v>39.99</v>
      </c>
      <c r="J1101" s="0">
        <v>3</v>
      </c>
    </row>
    <row r="1102" spans="1:10" customHeight="0">
      <c r="A1102" s="0">
        <f>HYPERLINK("https://dl.dropboxusercontent.com/scl/fi/jleq9avbdy7m204yjo4vl/129684t.jpg?rlkey=uo11d1se1uvsh4efk9sda46iu&amp;dl=0","Click to download Image")</f>
      </c>
      <c r="C1102" s="0" t="inlineStr">
        <is>
          <t>Susan Youth Hoodie</t>
        </is>
      </c>
      <c r="D1102" s="0" t="inlineStr">
        <is>
          <t>'129684</t>
        </is>
      </c>
      <c r="E1102" s="0" t="inlineStr">
        <is>
          <t>MU SUSAN Y RE:129684C-YM</t>
        </is>
      </c>
      <c r="F1102" s="0" t="inlineStr">
        <is>
          <t>'803129684027</t>
        </is>
      </c>
      <c r="G1102" s="0" t="inlineStr">
        <is>
          <t>YOUTH</t>
        </is>
      </c>
      <c r="H1102" s="0" t="inlineStr">
        <is>
          <t>YM</t>
        </is>
      </c>
      <c r="I1102" s="0">
        <v>39.99</v>
      </c>
      <c r="J1102" s="0">
        <v>0</v>
      </c>
    </row>
    <row r="1103" spans="1:10" customHeight="0">
      <c r="A1103" s="0">
        <f>HYPERLINK("https://dl.dropboxusercontent.com/scl/fi/jleq9avbdy7m204yjo4vl/129684t.jpg?rlkey=uo11d1se1uvsh4efk9sda46iu&amp;dl=0","Click to download Image")</f>
      </c>
      <c r="C1103" s="0" t="inlineStr">
        <is>
          <t>Susan Youth Hoodie</t>
        </is>
      </c>
      <c r="D1103" s="0" t="inlineStr">
        <is>
          <t>'129684</t>
        </is>
      </c>
      <c r="E1103" s="0" t="inlineStr">
        <is>
          <t>MU SUSAN Y RE:129684D-YL</t>
        </is>
      </c>
      <c r="F1103" s="0" t="inlineStr">
        <is>
          <t>'803129684034</t>
        </is>
      </c>
      <c r="G1103" s="0" t="inlineStr">
        <is>
          <t>YOUTH</t>
        </is>
      </c>
      <c r="H1103" s="0" t="inlineStr">
        <is>
          <t>YL</t>
        </is>
      </c>
      <c r="I1103" s="0">
        <v>39.99</v>
      </c>
      <c r="J1103" s="0">
        <v>3</v>
      </c>
    </row>
    <row r="1104" spans="1:10" customHeight="0">
      <c r="A1104" s="0">
        <f>HYPERLINK("https://dl.dropboxusercontent.com/scl/fi/jleq9avbdy7m204yjo4vl/129684t.jpg?rlkey=uo11d1se1uvsh4efk9sda46iu&amp;dl=0","Click to download Image")</f>
      </c>
      <c r="C1104" s="0" t="inlineStr">
        <is>
          <t>Susan Youth Hoodie</t>
        </is>
      </c>
      <c r="D1104" s="0" t="inlineStr">
        <is>
          <t>'129684</t>
        </is>
      </c>
      <c r="E1104" s="0" t="inlineStr">
        <is>
          <t>MU SUSAN Y RE:129684E-YXL</t>
        </is>
      </c>
      <c r="F1104" s="0" t="inlineStr">
        <is>
          <t>'803129684041</t>
        </is>
      </c>
      <c r="G1104" s="0" t="inlineStr">
        <is>
          <t>YOUTH</t>
        </is>
      </c>
      <c r="H1104" s="0" t="inlineStr">
        <is>
          <t>YXL</t>
        </is>
      </c>
      <c r="I1104" s="0">
        <v>39.99</v>
      </c>
      <c r="J1104" s="0">
        <v>3</v>
      </c>
    </row>
    <row r="1105" spans="1:10" customHeight="0">
      <c r="A1105" s="0">
        <f>HYPERLINK("https://dl.dropboxusercontent.com/scl/fi/jleq9avbdy7m204yjo4vl/129684t.jpg?rlkey=uo11d1se1uvsh4efk9sda46iu&amp;dl=0","Click to download Image")</f>
      </c>
      <c r="C1105" s="0" t="inlineStr">
        <is>
          <t>Susan Youth Hoodie</t>
        </is>
      </c>
      <c r="D1105" s="0" t="inlineStr">
        <is>
          <t>'129684</t>
        </is>
      </c>
      <c r="E1105" s="0" t="inlineStr">
        <is>
          <t>MU SUSAN Y RE 12PK:129684Z-12PK</t>
        </is>
      </c>
      <c r="F1105" s="0" t="inlineStr">
        <is>
          <t>'803129684997</t>
        </is>
      </c>
      <c r="G1105" s="0" t="inlineStr">
        <is>
          <t>YOUTH</t>
        </is>
      </c>
      <c r="H1105" s="0" t="inlineStr">
        <is>
          <t>12 PACK</t>
        </is>
      </c>
      <c r="I1105" s="0">
        <v>384</v>
      </c>
      <c r="J1105" s="0">
        <v>0</v>
      </c>
    </row>
    <row r="1106" spans="1:10" customHeight="0">
      <c r="A1106" s="0">
        <f>HYPERLINK("https://dl.dropboxusercontent.com/scl/fi/3vzio6y4wxhjjk8yqfyvk/128297-af.jpg?rlkey=uwj5skyu4swqbrkmsifr15s22&amp;dl=0","Click to download Image")</f>
      </c>
      <c r="C1106" s="0" t="inlineStr">
        <is>
          <t>Dawne Toddler Cap</t>
        </is>
      </c>
      <c r="D1106" s="0" t="inlineStr">
        <is>
          <t>'128305</t>
        </is>
      </c>
      <c r="E1106" s="0" t="inlineStr">
        <is>
          <t>CU DAWNE T GY:128305</t>
        </is>
      </c>
      <c r="F1106" s="0" t="inlineStr">
        <is>
          <t>'710128305047</t>
        </is>
      </c>
      <c r="G1106" s="0" t="inlineStr">
        <is>
          <t>TODDLER</t>
        </is>
      </c>
      <c r="H1106" s="0" t="inlineStr">
        <is>
          <t>TODDLER</t>
        </is>
      </c>
      <c r="I1106" s="0">
        <v>22.99</v>
      </c>
      <c r="J1106" s="0">
        <v>12</v>
      </c>
    </row>
    <row r="1107" spans="1:10" customHeight="0">
      <c r="A1107" s="0">
        <f>HYPERLINK("https://dl.dropboxusercontent.com/scl/fi/5l56s83efdn9ynist896c/125037-af.jpg?rlkey=2qgghp6mnu6qvbsojd65nbrlx&amp;dl=0","Click to download Image")</f>
      </c>
      <c r="C1107" s="0" t="inlineStr">
        <is>
          <t>Ryker Infant Bucket Hat</t>
        </is>
      </c>
      <c r="D1107" s="0" t="inlineStr">
        <is>
          <t>'125037</t>
        </is>
      </c>
      <c r="E1107" s="0" t="inlineStr">
        <is>
          <t>UNI RYKER I GD:125037</t>
        </is>
      </c>
      <c r="F1107" s="0" t="inlineStr">
        <is>
          <t>'702125037052</t>
        </is>
      </c>
      <c r="H1107" s="0" t="inlineStr">
        <is>
          <t>BUCKET:42CM</t>
        </is>
      </c>
      <c r="I1107" s="0">
        <v>24.99</v>
      </c>
      <c r="J1107" s="0">
        <v>2</v>
      </c>
    </row>
    <row r="1108" spans="1:10" customHeight="0">
      <c r="A1108" s="0">
        <f>HYPERLINK("https://dl.dropboxusercontent.com/scl/fi/fkuw3ul374ik4l42ylr8u/124692t.jpg?rlkey=acqp539jnz1sks7qrzslril0r&amp;dl=0","Click to download Image")</f>
      </c>
      <c r="C1108" s="0" t="inlineStr">
        <is>
          <t>Skip Toddler T-shirt</t>
        </is>
      </c>
      <c r="D1108" s="0" t="inlineStr">
        <is>
          <t>'124692</t>
        </is>
      </c>
      <c r="E1108" s="0" t="inlineStr">
        <is>
          <t>ISU SKIP T CL:124692A-2T</t>
        </is>
      </c>
      <c r="F1108" s="0" t="inlineStr">
        <is>
          <t>'801124692085</t>
        </is>
      </c>
      <c r="G1108" s="0" t="inlineStr">
        <is>
          <t>TODDLER</t>
        </is>
      </c>
      <c r="H1108" s="0" t="inlineStr">
        <is>
          <t>2T</t>
        </is>
      </c>
      <c r="I1108" s="0">
        <v>29.99</v>
      </c>
      <c r="J1108" s="0">
        <v>0</v>
      </c>
    </row>
    <row r="1109" spans="1:10" customHeight="0">
      <c r="A1109" s="0">
        <f>HYPERLINK("https://dl.dropboxusercontent.com/scl/fi/fkuw3ul374ik4l42ylr8u/124692t.jpg?rlkey=acqp539jnz1sks7qrzslril0r&amp;dl=0","Click to download Image")</f>
      </c>
      <c r="C1109" s="0" t="inlineStr">
        <is>
          <t>Skip Toddler T-shirt</t>
        </is>
      </c>
      <c r="D1109" s="0" t="inlineStr">
        <is>
          <t>'124692</t>
        </is>
      </c>
      <c r="E1109" s="0" t="inlineStr">
        <is>
          <t>ISU SKIP T CL:124692B-3T</t>
        </is>
      </c>
      <c r="F1109" s="0" t="inlineStr">
        <is>
          <t>'801124692092</t>
        </is>
      </c>
      <c r="G1109" s="0" t="inlineStr">
        <is>
          <t>TODDLER</t>
        </is>
      </c>
      <c r="H1109" s="0" t="inlineStr">
        <is>
          <t>3T</t>
        </is>
      </c>
      <c r="I1109" s="0">
        <v>29.99</v>
      </c>
      <c r="J1109" s="0">
        <v>1</v>
      </c>
    </row>
    <row r="1110" spans="1:10" customHeight="0">
      <c r="A1110" s="0">
        <f>HYPERLINK("https://dl.dropboxusercontent.com/scl/fi/fkuw3ul374ik4l42ylr8u/124692t.jpg?rlkey=acqp539jnz1sks7qrzslril0r&amp;dl=0","Click to download Image")</f>
      </c>
      <c r="C1110" s="0" t="inlineStr">
        <is>
          <t>Skip Toddler T-shirt</t>
        </is>
      </c>
      <c r="D1110" s="0" t="inlineStr">
        <is>
          <t>'124692</t>
        </is>
      </c>
      <c r="E1110" s="0" t="inlineStr">
        <is>
          <t>ISU SKIP T CL:124692C-4T</t>
        </is>
      </c>
      <c r="F1110" s="0" t="inlineStr">
        <is>
          <t>'801124692108</t>
        </is>
      </c>
      <c r="G1110" s="0" t="inlineStr">
        <is>
          <t>TODDLER</t>
        </is>
      </c>
      <c r="H1110" s="0" t="inlineStr">
        <is>
          <t>4T</t>
        </is>
      </c>
      <c r="I1110" s="0">
        <v>29.99</v>
      </c>
      <c r="J1110" s="0">
        <v>0</v>
      </c>
    </row>
    <row r="1111" spans="1:10" customHeight="0">
      <c r="A1111" s="0">
        <f>HYPERLINK("https://dl.dropboxusercontent.com/scl/fi/fkuw3ul374ik4l42ylr8u/124692t.jpg?rlkey=acqp539jnz1sks7qrzslril0r&amp;dl=0","Click to download Image")</f>
      </c>
      <c r="C1111" s="0" t="inlineStr">
        <is>
          <t>Skip Toddler T-shirt</t>
        </is>
      </c>
      <c r="D1111" s="0" t="inlineStr">
        <is>
          <t>'124692</t>
        </is>
      </c>
      <c r="E1111" s="0" t="inlineStr">
        <is>
          <t>ISU SKIP T CL:124692D-5T</t>
        </is>
      </c>
      <c r="F1111" s="0" t="inlineStr">
        <is>
          <t>'801124692115</t>
        </is>
      </c>
      <c r="G1111" s="0" t="inlineStr">
        <is>
          <t>TODDLER</t>
        </is>
      </c>
      <c r="H1111" s="0" t="inlineStr">
        <is>
          <t>5T</t>
        </is>
      </c>
      <c r="I1111" s="0">
        <v>29.99</v>
      </c>
      <c r="J1111" s="0">
        <v>0</v>
      </c>
    </row>
    <row r="1112" spans="1:10" customHeight="0">
      <c r="A1112" s="0">
        <f>HYPERLINK("https://dl.dropboxusercontent.com/scl/fi/fkuw3ul374ik4l42ylr8u/124692t.jpg?rlkey=acqp539jnz1sks7qrzslril0r&amp;dl=0","Click to download Image")</f>
      </c>
      <c r="C1112" s="0" t="inlineStr">
        <is>
          <t>Skip Toddler T-shirt</t>
        </is>
      </c>
      <c r="D1112" s="0" t="inlineStr">
        <is>
          <t>'124692</t>
        </is>
      </c>
      <c r="E1112" s="0" t="inlineStr">
        <is>
          <t>ISU SKIP T CL 12PK:124692Z-12PK</t>
        </is>
      </c>
      <c r="F1112" s="0" t="inlineStr">
        <is>
          <t>'801124692993</t>
        </is>
      </c>
      <c r="G1112" s="0" t="inlineStr">
        <is>
          <t>TODDLER</t>
        </is>
      </c>
      <c r="H1112" s="0" t="inlineStr">
        <is>
          <t>12 PACK</t>
        </is>
      </c>
      <c r="I1112" s="0">
        <v>288</v>
      </c>
      <c r="J1112" s="0">
        <v>0</v>
      </c>
    </row>
    <row r="1113" spans="1:10" customHeight="0">
      <c r="A1113" s="0">
        <f>HYPERLINK("https://dl.dropboxusercontent.com/scl/fi/anjza8nn6j2m0mlvr7ktf/127367-af.jpg?rlkey=mgutwf6yk9dh07gwz5p7cd3lm&amp;dl=0","Click to download Image")</f>
      </c>
      <c r="C1113" s="0" t="inlineStr">
        <is>
          <t>Rosco Infant Cap</t>
        </is>
      </c>
      <c r="D1113" s="0" t="inlineStr">
        <is>
          <t>'127367</t>
        </is>
      </c>
      <c r="E1113" s="0" t="inlineStr">
        <is>
          <t>KSU ROSCO I PE:127367</t>
        </is>
      </c>
      <c r="F1113" s="0" t="inlineStr">
        <is>
          <t>'705127367059</t>
        </is>
      </c>
      <c r="G1113" s="0" t="inlineStr">
        <is>
          <t>INFANT</t>
        </is>
      </c>
      <c r="H1113" s="0" t="inlineStr">
        <is>
          <t>INFANT</t>
        </is>
      </c>
      <c r="I1113" s="0">
        <v>22.99</v>
      </c>
      <c r="J1113" s="0">
        <v>4</v>
      </c>
    </row>
    <row r="1114" spans="1:10" customHeight="0">
      <c r="A1114" s="0">
        <f>HYPERLINK("https://dl.dropboxusercontent.com/scl/fi/xv4i5pg2jj1vok84q3s03/vrtl-ia-fleet-m-bk-v1-0299109.jpg?rlkey=n4tk0fobgoerdif3dh9ci1izi&amp;dl=0","Click to download Image")</f>
      </c>
      <c r="B1114" s="0">
        <f>HYPERLINK("https://dl.dropboxusercontent.com/scl/fi/8iw3zaohw83ttg3pegqea/mens-polo-size-chartsfleet.jpg?rlkey=vswpw97ecdncmzqswqlvuv3w9&amp;dl=0","Click to download SizeChart")</f>
      </c>
      <c r="C1114" s="0" t="inlineStr">
        <is>
          <t>Fleet Men's Polo - Small Only</t>
        </is>
      </c>
      <c r="D1114" s="0" t="inlineStr">
        <is>
          <t>'153964</t>
        </is>
      </c>
      <c r="E1114" s="0" t="inlineStr">
        <is>
          <t>IOWA FLEET M BK:153964A-S</t>
        </is>
      </c>
      <c r="F1114" s="0" t="inlineStr">
        <is>
          <t>'800153964040</t>
        </is>
      </c>
      <c r="G1114" s="0" t="inlineStr">
        <is>
          <t>MENS</t>
        </is>
      </c>
      <c r="H1114" s="0" t="inlineStr">
        <is>
          <t>S</t>
        </is>
      </c>
      <c r="I1114" s="0">
        <v>54.99</v>
      </c>
      <c r="J1114" s="0">
        <v>1</v>
      </c>
    </row>
    <row r="1115" spans="1:10" customHeight="0">
      <c r="A1115" s="0">
        <f>HYPERLINK("https://dl.dropboxusercontent.com/scl/fi/xv4i5pg2jj1vok84q3s03/vrtl-ia-fleet-m-bk-v1-0299109.jpg?rlkey=n4tk0fobgoerdif3dh9ci1izi&amp;dl=0","Click to download Image")</f>
      </c>
      <c r="B1115" s="0">
        <f>HYPERLINK("https://dl.dropboxusercontent.com/scl/fi/8iw3zaohw83ttg3pegqea/mens-polo-size-chartsfleet.jpg?rlkey=vswpw97ecdncmzqswqlvuv3w9&amp;dl=0","Click to download SizeChart")</f>
      </c>
      <c r="C1115" s="0" t="inlineStr">
        <is>
          <t>Fleet Men's Polo - Small Only</t>
        </is>
      </c>
      <c r="D1115" s="0" t="inlineStr">
        <is>
          <t>'153964</t>
        </is>
      </c>
      <c r="E1115" s="0" t="inlineStr">
        <is>
          <t>IOWA FLEET M BK:153964B-M</t>
        </is>
      </c>
      <c r="F1115" s="0" t="inlineStr">
        <is>
          <t>'800153964057</t>
        </is>
      </c>
      <c r="G1115" s="0" t="inlineStr">
        <is>
          <t>MENS</t>
        </is>
      </c>
      <c r="H1115" s="0" t="inlineStr">
        <is>
          <t>M</t>
        </is>
      </c>
      <c r="I1115" s="0">
        <v>54.99</v>
      </c>
      <c r="J1115" s="0">
        <v>0</v>
      </c>
    </row>
    <row r="1116" spans="1:10" customHeight="0">
      <c r="A1116" s="0">
        <f>HYPERLINK("https://dl.dropboxusercontent.com/scl/fi/xv4i5pg2jj1vok84q3s03/vrtl-ia-fleet-m-bk-v1-0299109.jpg?rlkey=n4tk0fobgoerdif3dh9ci1izi&amp;dl=0","Click to download Image")</f>
      </c>
      <c r="B1116" s="0">
        <f>HYPERLINK("https://dl.dropboxusercontent.com/scl/fi/8iw3zaohw83ttg3pegqea/mens-polo-size-chartsfleet.jpg?rlkey=vswpw97ecdncmzqswqlvuv3w9&amp;dl=0","Click to download SizeChart")</f>
      </c>
      <c r="C1116" s="0" t="inlineStr">
        <is>
          <t>Fleet Men's Polo - Small Only</t>
        </is>
      </c>
      <c r="D1116" s="0" t="inlineStr">
        <is>
          <t>'153964</t>
        </is>
      </c>
      <c r="E1116" s="0" t="inlineStr">
        <is>
          <t>IOWA FLEET M BK:153964C-L</t>
        </is>
      </c>
      <c r="F1116" s="0" t="inlineStr">
        <is>
          <t>'800153964064</t>
        </is>
      </c>
      <c r="G1116" s="0" t="inlineStr">
        <is>
          <t>MENS</t>
        </is>
      </c>
      <c r="H1116" s="0" t="inlineStr">
        <is>
          <t>L</t>
        </is>
      </c>
      <c r="I1116" s="0">
        <v>54.99</v>
      </c>
      <c r="J1116" s="0">
        <v>0</v>
      </c>
    </row>
    <row r="1117" spans="1:10" customHeight="0">
      <c r="A1117" s="0">
        <f>HYPERLINK("https://dl.dropboxusercontent.com/scl/fi/xv4i5pg2jj1vok84q3s03/vrtl-ia-fleet-m-bk-v1-0299109.jpg?rlkey=n4tk0fobgoerdif3dh9ci1izi&amp;dl=0","Click to download Image")</f>
      </c>
      <c r="B1117" s="0">
        <f>HYPERLINK("https://dl.dropboxusercontent.com/scl/fi/8iw3zaohw83ttg3pegqea/mens-polo-size-chartsfleet.jpg?rlkey=vswpw97ecdncmzqswqlvuv3w9&amp;dl=0","Click to download SizeChart")</f>
      </c>
      <c r="C1117" s="0" t="inlineStr">
        <is>
          <t>Fleet Men's Polo - Small Only</t>
        </is>
      </c>
      <c r="D1117" s="0" t="inlineStr">
        <is>
          <t>'153964</t>
        </is>
      </c>
      <c r="E1117" s="0" t="inlineStr">
        <is>
          <t>IOWA FLEET M BK:153964D-XL</t>
        </is>
      </c>
      <c r="F1117" s="0" t="inlineStr">
        <is>
          <t>'800153964071</t>
        </is>
      </c>
      <c r="G1117" s="0" t="inlineStr">
        <is>
          <t>MENS</t>
        </is>
      </c>
      <c r="H1117" s="0" t="inlineStr">
        <is>
          <t>XL</t>
        </is>
      </c>
      <c r="I1117" s="0">
        <v>54.99</v>
      </c>
      <c r="J1117" s="0">
        <v>0</v>
      </c>
    </row>
    <row r="1118" spans="1:10" customHeight="0">
      <c r="A1118" s="0">
        <f>HYPERLINK("https://dl.dropboxusercontent.com/scl/fi/xv4i5pg2jj1vok84q3s03/vrtl-ia-fleet-m-bk-v1-0299109.jpg?rlkey=n4tk0fobgoerdif3dh9ci1izi&amp;dl=0","Click to download Image")</f>
      </c>
      <c r="B1118" s="0">
        <f>HYPERLINK("https://dl.dropboxusercontent.com/scl/fi/8iw3zaohw83ttg3pegqea/mens-polo-size-chartsfleet.jpg?rlkey=vswpw97ecdncmzqswqlvuv3w9&amp;dl=0","Click to download SizeChart")</f>
      </c>
      <c r="C1118" s="0" t="inlineStr">
        <is>
          <t>Fleet Men's Polo - Small Only</t>
        </is>
      </c>
      <c r="D1118" s="0" t="inlineStr">
        <is>
          <t>'153964</t>
        </is>
      </c>
      <c r="E1118" s="0" t="inlineStr">
        <is>
          <t>IOWA FLEET M BK:153964E-2XL</t>
        </is>
      </c>
      <c r="F1118" s="0" t="inlineStr">
        <is>
          <t>'800153964088</t>
        </is>
      </c>
      <c r="G1118" s="0" t="inlineStr">
        <is>
          <t>MENS</t>
        </is>
      </c>
      <c r="H1118" s="0" t="inlineStr">
        <is>
          <t>2XL</t>
        </is>
      </c>
      <c r="I1118" s="0">
        <v>54.99</v>
      </c>
      <c r="J1118" s="0">
        <v>0</v>
      </c>
    </row>
    <row r="1119" spans="1:10" customHeight="0">
      <c r="A1119" s="0">
        <f>HYPERLINK("https://dl.dropboxusercontent.com/scl/fi/xv4i5pg2jj1vok84q3s03/vrtl-ia-fleet-m-bk-v1-0299109.jpg?rlkey=n4tk0fobgoerdif3dh9ci1izi&amp;dl=0","Click to download Image")</f>
      </c>
      <c r="B1119" s="0">
        <f>HYPERLINK("https://dl.dropboxusercontent.com/scl/fi/8iw3zaohw83ttg3pegqea/mens-polo-size-chartsfleet.jpg?rlkey=vswpw97ecdncmzqswqlvuv3w9&amp;dl=0","Click to download SizeChart")</f>
      </c>
      <c r="C1119" s="0" t="inlineStr">
        <is>
          <t>Fleet Men's Polo - Small Only</t>
        </is>
      </c>
      <c r="D1119" s="0" t="inlineStr">
        <is>
          <t>'153964</t>
        </is>
      </c>
      <c r="E1119" s="0" t="inlineStr">
        <is>
          <t>IOWA FLEET M BK:153964F-3XL</t>
        </is>
      </c>
      <c r="F1119" s="0" t="inlineStr">
        <is>
          <t>'800153964095</t>
        </is>
      </c>
      <c r="G1119" s="0" t="inlineStr">
        <is>
          <t>MENS</t>
        </is>
      </c>
      <c r="H1119" s="0" t="inlineStr">
        <is>
          <t>3XL</t>
        </is>
      </c>
      <c r="I1119" s="0">
        <v>54.99</v>
      </c>
      <c r="J1119" s="0">
        <v>0</v>
      </c>
    </row>
    <row r="1120" spans="1:10" customHeight="0">
      <c r="A1120" s="0">
        <f>HYPERLINK("https://dl.dropboxusercontent.com/scl/fi/2dvjuj816kbqt40yfj2jx/alan-153577-f.jpg?rlkey=1kgcytatt3pnetq4h7kvmtfax&amp;dl=0","Click to download Image")</f>
      </c>
      <c r="B1120" s="0">
        <f>HYPERLINK("https://dl.dropboxusercontent.com/scl/fi/6qol7vb5etcu5spzsgvqu/mens-hoodie-size-chartsalan-hoodie.jpg?rlkey=ne3rynigh0mhlfsykj4lp87lc&amp;dl=0","Click to download SizeChart")</f>
      </c>
      <c r="C1120" s="0" t="inlineStr">
        <is>
          <t>Alan Men's Hoodie</t>
        </is>
      </c>
      <c r="D1120" s="0" t="inlineStr">
        <is>
          <t>'153577</t>
        </is>
      </c>
      <c r="E1120" s="0" t="inlineStr">
        <is>
          <t>IOWA ALAN M OE:153577A-S</t>
        </is>
      </c>
      <c r="F1120" s="0" t="inlineStr">
        <is>
          <t>'800153577042</t>
        </is>
      </c>
      <c r="G1120" s="0" t="inlineStr">
        <is>
          <t>MENS</t>
        </is>
      </c>
      <c r="H1120" s="0" t="inlineStr">
        <is>
          <t>S</t>
        </is>
      </c>
      <c r="I1120" s="0">
        <v>39.99</v>
      </c>
      <c r="J1120" s="0">
        <v>5</v>
      </c>
    </row>
    <row r="1121" spans="1:10" customHeight="0">
      <c r="A1121" s="0">
        <f>HYPERLINK("https://dl.dropboxusercontent.com/scl/fi/2dvjuj816kbqt40yfj2jx/alan-153577-f.jpg?rlkey=1kgcytatt3pnetq4h7kvmtfax&amp;dl=0","Click to download Image")</f>
      </c>
      <c r="B1121" s="0">
        <f>HYPERLINK("https://dl.dropboxusercontent.com/scl/fi/6qol7vb5etcu5spzsgvqu/mens-hoodie-size-chartsalan-hoodie.jpg?rlkey=ne3rynigh0mhlfsykj4lp87lc&amp;dl=0","Click to download SizeChart")</f>
      </c>
      <c r="C1121" s="0" t="inlineStr">
        <is>
          <t>Alan Men's Hoodie</t>
        </is>
      </c>
      <c r="D1121" s="0" t="inlineStr">
        <is>
          <t>'153577</t>
        </is>
      </c>
      <c r="E1121" s="0" t="inlineStr">
        <is>
          <t>IOWA ALAN M OE:153577B-M</t>
        </is>
      </c>
      <c r="F1121" s="0" t="inlineStr">
        <is>
          <t>'800153577059</t>
        </is>
      </c>
      <c r="G1121" s="0" t="inlineStr">
        <is>
          <t>MENS</t>
        </is>
      </c>
      <c r="H1121" s="0" t="inlineStr">
        <is>
          <t>M</t>
        </is>
      </c>
      <c r="I1121" s="0">
        <v>39.99</v>
      </c>
      <c r="J1121" s="0">
        <v>0</v>
      </c>
    </row>
    <row r="1122" spans="1:10" customHeight="0">
      <c r="A1122" s="0">
        <f>HYPERLINK("https://dl.dropboxusercontent.com/scl/fi/2dvjuj816kbqt40yfj2jx/alan-153577-f.jpg?rlkey=1kgcytatt3pnetq4h7kvmtfax&amp;dl=0","Click to download Image")</f>
      </c>
      <c r="B1122" s="0">
        <f>HYPERLINK("https://dl.dropboxusercontent.com/scl/fi/6qol7vb5etcu5spzsgvqu/mens-hoodie-size-chartsalan-hoodie.jpg?rlkey=ne3rynigh0mhlfsykj4lp87lc&amp;dl=0","Click to download SizeChart")</f>
      </c>
      <c r="C1122" s="0" t="inlineStr">
        <is>
          <t>Alan Men's Hoodie</t>
        </is>
      </c>
      <c r="D1122" s="0" t="inlineStr">
        <is>
          <t>'153577</t>
        </is>
      </c>
      <c r="E1122" s="0" t="inlineStr">
        <is>
          <t>IOWA ALAN M OE:153577C-L</t>
        </is>
      </c>
      <c r="F1122" s="0" t="inlineStr">
        <is>
          <t>'800153577066</t>
        </is>
      </c>
      <c r="G1122" s="0" t="inlineStr">
        <is>
          <t>MENS</t>
        </is>
      </c>
      <c r="H1122" s="0" t="inlineStr">
        <is>
          <t>L</t>
        </is>
      </c>
      <c r="I1122" s="0">
        <v>39.99</v>
      </c>
      <c r="J1122" s="0">
        <v>0</v>
      </c>
    </row>
    <row r="1123" spans="1:10" customHeight="0">
      <c r="A1123" s="0">
        <f>HYPERLINK("https://dl.dropboxusercontent.com/scl/fi/2dvjuj816kbqt40yfj2jx/alan-153577-f.jpg?rlkey=1kgcytatt3pnetq4h7kvmtfax&amp;dl=0","Click to download Image")</f>
      </c>
      <c r="B1123" s="0">
        <f>HYPERLINK("https://dl.dropboxusercontent.com/scl/fi/6qol7vb5etcu5spzsgvqu/mens-hoodie-size-chartsalan-hoodie.jpg?rlkey=ne3rynigh0mhlfsykj4lp87lc&amp;dl=0","Click to download SizeChart")</f>
      </c>
      <c r="C1123" s="0" t="inlineStr">
        <is>
          <t>Alan Men's Hoodie</t>
        </is>
      </c>
      <c r="D1123" s="0" t="inlineStr">
        <is>
          <t>'153577</t>
        </is>
      </c>
      <c r="E1123" s="0" t="inlineStr">
        <is>
          <t>IOWA ALAN M OE:153577D-XL</t>
        </is>
      </c>
      <c r="F1123" s="0" t="inlineStr">
        <is>
          <t>'800153577073</t>
        </is>
      </c>
      <c r="G1123" s="0" t="inlineStr">
        <is>
          <t>MENS</t>
        </is>
      </c>
      <c r="H1123" s="0" t="inlineStr">
        <is>
          <t>XL</t>
        </is>
      </c>
      <c r="I1123" s="0">
        <v>39.99</v>
      </c>
      <c r="J1123" s="0">
        <v>0</v>
      </c>
    </row>
    <row r="1124" spans="1:10" customHeight="0">
      <c r="A1124" s="0">
        <f>HYPERLINK("https://dl.dropboxusercontent.com/scl/fi/2dvjuj816kbqt40yfj2jx/alan-153577-f.jpg?rlkey=1kgcytatt3pnetq4h7kvmtfax&amp;dl=0","Click to download Image")</f>
      </c>
      <c r="B1124" s="0">
        <f>HYPERLINK("https://dl.dropboxusercontent.com/scl/fi/6qol7vb5etcu5spzsgvqu/mens-hoodie-size-chartsalan-hoodie.jpg?rlkey=ne3rynigh0mhlfsykj4lp87lc&amp;dl=0","Click to download SizeChart")</f>
      </c>
      <c r="C1124" s="0" t="inlineStr">
        <is>
          <t>Alan Men's Hoodie</t>
        </is>
      </c>
      <c r="D1124" s="0" t="inlineStr">
        <is>
          <t>'153577</t>
        </is>
      </c>
      <c r="E1124" s="0" t="inlineStr">
        <is>
          <t>IOWA ALAN M OE:153577E-2XL</t>
        </is>
      </c>
      <c r="F1124" s="0" t="inlineStr">
        <is>
          <t>'800153577080</t>
        </is>
      </c>
      <c r="G1124" s="0" t="inlineStr">
        <is>
          <t>MENS</t>
        </is>
      </c>
      <c r="H1124" s="0" t="inlineStr">
        <is>
          <t>2XL</t>
        </is>
      </c>
      <c r="I1124" s="0">
        <v>39.99</v>
      </c>
      <c r="J1124" s="0">
        <v>0</v>
      </c>
    </row>
    <row r="1125" spans="1:10" customHeight="0">
      <c r="A1125" s="0">
        <f>HYPERLINK("https://dl.dropboxusercontent.com/scl/fi/2dvjuj816kbqt40yfj2jx/alan-153577-f.jpg?rlkey=1kgcytatt3pnetq4h7kvmtfax&amp;dl=0","Click to download Image")</f>
      </c>
      <c r="B1125" s="0">
        <f>HYPERLINK("https://dl.dropboxusercontent.com/scl/fi/6qol7vb5etcu5spzsgvqu/mens-hoodie-size-chartsalan-hoodie.jpg?rlkey=ne3rynigh0mhlfsykj4lp87lc&amp;dl=0","Click to download SizeChart")</f>
      </c>
      <c r="C1125" s="0" t="inlineStr">
        <is>
          <t>Alan Men's Hoodie</t>
        </is>
      </c>
      <c r="D1125" s="0" t="inlineStr">
        <is>
          <t>'153577</t>
        </is>
      </c>
      <c r="E1125" s="0" t="inlineStr">
        <is>
          <t>IOWA ALAN M OE:153577F-3XL</t>
        </is>
      </c>
      <c r="F1125" s="0" t="inlineStr">
        <is>
          <t>'800153577097</t>
        </is>
      </c>
      <c r="G1125" s="0" t="inlineStr">
        <is>
          <t>MENS</t>
        </is>
      </c>
      <c r="H1125" s="0" t="inlineStr">
        <is>
          <t>3XL</t>
        </is>
      </c>
      <c r="I1125" s="0">
        <v>39.99</v>
      </c>
      <c r="J1125" s="0">
        <v>0</v>
      </c>
    </row>
    <row r="1126" spans="1:10" customHeight="0">
      <c r="A1126" s="0">
        <f>HYPERLINK("https://dl.dropboxusercontent.com/scl/fi/6op29axuyfgib9w9wf0qn/113514-af.jpg?rlkey=gl3xuphaja4s6lszl58s51l9q&amp;dl=0","Click to download Image")</f>
      </c>
      <c r="C1126" s="0" t="inlineStr">
        <is>
          <t>Bex Mens Canvas Cap</t>
        </is>
      </c>
      <c r="D1126" s="0" t="inlineStr">
        <is>
          <t>'113514</t>
        </is>
      </c>
      <c r="E1126" s="0" t="inlineStr">
        <is>
          <t>ISU BEX:113514</t>
        </is>
      </c>
      <c r="F1126" s="0" t="inlineStr">
        <is>
          <t>'701113514001</t>
        </is>
      </c>
      <c r="G1126" s="0" t="inlineStr">
        <is>
          <t>MENS</t>
        </is>
      </c>
      <c r="H1126" s="0" t="inlineStr">
        <is>
          <t>STANDARD:58CM</t>
        </is>
      </c>
      <c r="I1126" s="0">
        <v>19.99</v>
      </c>
      <c r="J1126" s="0">
        <v>93</v>
      </c>
    </row>
    <row r="1127" spans="1:10" customHeight="0">
      <c r="A1127" s="0">
        <f>HYPERLINK("https://dl.dropboxusercontent.com/scl/fi/mp0xq72nb6b57f8308wtz/123473-af.jpg?rlkey=gnnjlwfk7i8zn3wywst9l790u&amp;dl=0","Click to download Image")</f>
      </c>
      <c r="C1127" s="0" t="inlineStr">
        <is>
          <t>Bex Mens Canvas Cap</t>
        </is>
      </c>
      <c r="D1127" s="0" t="inlineStr">
        <is>
          <t>'123473</t>
        </is>
      </c>
      <c r="E1127" s="0" t="inlineStr">
        <is>
          <t>NDSU BEX BK:123473</t>
        </is>
      </c>
      <c r="F1127" s="0" t="inlineStr">
        <is>
          <t>'713123473001</t>
        </is>
      </c>
      <c r="G1127" s="0" t="inlineStr">
        <is>
          <t>MENS</t>
        </is>
      </c>
      <c r="H1127" s="0" t="inlineStr">
        <is>
          <t>STANDARD:58CM</t>
        </is>
      </c>
      <c r="I1127" s="0">
        <v>19.99</v>
      </c>
      <c r="J1127" s="0">
        <v>40</v>
      </c>
    </row>
    <row r="1128" spans="1:10" customHeight="0">
      <c r="A1128" s="0">
        <f>HYPERLINK("https://dl.dropboxusercontent.com/scl/fi/ncuhknyaal4rcr65dmmji/123477-af.jpg?rlkey=3blk821isrlw46wvfle6a095e&amp;dl=0","Click to download Image")</f>
      </c>
      <c r="C1128" s="0" t="inlineStr">
        <is>
          <t>Bex Mens Canvas Cap</t>
        </is>
      </c>
      <c r="D1128" s="0" t="inlineStr">
        <is>
          <t>'123477</t>
        </is>
      </c>
      <c r="E1128" s="0" t="inlineStr">
        <is>
          <t>UNI BEX BK:123477</t>
        </is>
      </c>
      <c r="F1128" s="0" t="inlineStr">
        <is>
          <t>'702123477003</t>
        </is>
      </c>
      <c r="G1128" s="0" t="inlineStr">
        <is>
          <t>MENS</t>
        </is>
      </c>
      <c r="H1128" s="0" t="inlineStr">
        <is>
          <t>STANDARD:58CM</t>
        </is>
      </c>
      <c r="I1128" s="0">
        <v>19.99</v>
      </c>
      <c r="J1128" s="0">
        <v>22</v>
      </c>
    </row>
    <row r="1129" spans="1:10" customHeight="0">
      <c r="A1129" s="0">
        <f>HYPERLINK("https://dl.dropboxusercontent.com/scl/fi/m2pju65ef3avmrsbj36g1/124750-af.jpg?rlkey=0nfekj4az8x0beyt7eqvxqezl&amp;dl=0","Click to download Image")</f>
      </c>
      <c r="C1129" s="0" t="inlineStr">
        <is>
          <t>Bex Mens Canvas Cap</t>
        </is>
      </c>
      <c r="D1129" s="0" t="inlineStr">
        <is>
          <t>'124750</t>
        </is>
      </c>
      <c r="E1129" s="0" t="inlineStr">
        <is>
          <t>CU BEX A BK:124750</t>
        </is>
      </c>
      <c r="F1129" s="0" t="inlineStr">
        <is>
          <t>'710124750001</t>
        </is>
      </c>
      <c r="G1129" s="0" t="inlineStr">
        <is>
          <t>MENS</t>
        </is>
      </c>
      <c r="H1129" s="0" t="inlineStr">
        <is>
          <t>STANDARD:58CM</t>
        </is>
      </c>
      <c r="I1129" s="0">
        <v>19.99</v>
      </c>
      <c r="J1129" s="0">
        <v>27</v>
      </c>
    </row>
    <row r="1130" spans="1:10" customHeight="0">
      <c r="A1130" s="0">
        <f>HYPERLINK("https://dl.dropboxusercontent.com/scl/fi/rv8oav19fn4hfipz2f4cy/112829-af.jpg?rlkey=d4bytplbbg65sdwhf26moxb9l&amp;dl=0","Click to download Image")</f>
      </c>
      <c r="C1130" s="0" t="inlineStr">
        <is>
          <t>Archer Jacquard Knit Scarf</t>
        </is>
      </c>
      <c r="D1130" s="0" t="inlineStr">
        <is>
          <t>'112829</t>
        </is>
      </c>
      <c r="E1130" s="0" t="inlineStr">
        <is>
          <t>ISU ARCHER CARDINAL:112829</t>
        </is>
      </c>
      <c r="F1130" s="0" t="inlineStr">
        <is>
          <t>'701112829014</t>
        </is>
      </c>
      <c r="H1130" s="0" t="inlineStr">
        <is>
          <t>OS</t>
        </is>
      </c>
      <c r="I1130" s="0">
        <v>19.99</v>
      </c>
      <c r="J1130" s="0">
        <v>236</v>
      </c>
    </row>
    <row r="1131" spans="1:10" customHeight="0">
      <c r="A1131" s="0">
        <f>HYPERLINK("https://dl.dropboxusercontent.com/scl/fi/67esntkv74jcifsvxh34x/123392.jpg?rlkey=6dtqbcau1e5yydrhy8qis1xpp&amp;dl=0","Click to download Image")</f>
      </c>
      <c r="C1131" s="0" t="inlineStr">
        <is>
          <t>Archer Jacquard Knit Scarf</t>
        </is>
      </c>
      <c r="D1131" s="0" t="inlineStr">
        <is>
          <t>'123392</t>
        </is>
      </c>
      <c r="E1131" s="0" t="inlineStr">
        <is>
          <t>UNI ARCHER PE:123392</t>
        </is>
      </c>
      <c r="F1131" s="0" t="inlineStr">
        <is>
          <t>'702123392016</t>
        </is>
      </c>
      <c r="H1131" s="0" t="inlineStr">
        <is>
          <t>OS</t>
        </is>
      </c>
      <c r="I1131" s="0">
        <v>19.99</v>
      </c>
      <c r="J1131" s="0">
        <v>13</v>
      </c>
    </row>
    <row r="1132" spans="1:10" customHeight="0">
      <c r="A1132" s="0">
        <f>HYPERLINK("https://dl.dropboxusercontent.com/scl/fi/sk4y08wnj79kthbzqqw2p/123475.jpg?rlkey=lrdy2f5bdr9getal07bma67td&amp;dl=0","Click to download Image")</f>
      </c>
      <c r="C1132" s="0" t="inlineStr">
        <is>
          <t>Archer Jacquard Knit Scarf</t>
        </is>
      </c>
      <c r="D1132" s="0" t="inlineStr">
        <is>
          <t>'123475</t>
        </is>
      </c>
      <c r="E1132" s="0" t="inlineStr">
        <is>
          <t>NDSU ARCHER GN:123475</t>
        </is>
      </c>
      <c r="F1132" s="0" t="inlineStr">
        <is>
          <t>'713123475012</t>
        </is>
      </c>
      <c r="H1132" s="0" t="inlineStr">
        <is>
          <t>OS</t>
        </is>
      </c>
      <c r="I1132" s="0">
        <v>19.99</v>
      </c>
      <c r="J1132" s="0">
        <v>56</v>
      </c>
    </row>
    <row r="1133" spans="1:10" customHeight="0">
      <c r="A1133" s="0">
        <f>HYPERLINK("https://dl.dropboxusercontent.com/scl/fi/mslzaaygj0gepj47k10du/125220.jpg?rlkey=cnrcbl5s7talt2s7s7yylb31d&amp;dl=0","Click to download Image")</f>
      </c>
      <c r="C1133" s="0" t="inlineStr">
        <is>
          <t>Archer Jacquard Knit Scarf</t>
        </is>
      </c>
      <c r="D1133" s="0" t="inlineStr">
        <is>
          <t>'125220</t>
        </is>
      </c>
      <c r="E1133" s="0" t="inlineStr">
        <is>
          <t>UNO ARCHER RD:125220</t>
        </is>
      </c>
      <c r="F1133" s="0" t="inlineStr">
        <is>
          <t>'709125220019</t>
        </is>
      </c>
      <c r="H1133" s="0" t="inlineStr">
        <is>
          <t>OS</t>
        </is>
      </c>
      <c r="I1133" s="0">
        <v>19.99</v>
      </c>
      <c r="J1133" s="0">
        <v>47</v>
      </c>
    </row>
    <row r="1134" spans="1:10" customHeight="0">
      <c r="A1134" s="0">
        <f>HYPERLINK("https://dl.dropboxusercontent.com/scl/fi/3e5d7pxnb1e3jpwbfrmig/113502-af.jpg?rlkey=g1cai87ex79um7u1p7z1jg5jw&amp;dl=0","Click to download Image")</f>
      </c>
      <c r="C1134" s="0" t="inlineStr">
        <is>
          <t>Baxter Men's Cap</t>
        </is>
      </c>
      <c r="D1134" s="0" t="inlineStr">
        <is>
          <t>'113502</t>
        </is>
      </c>
      <c r="E1134" s="0" t="inlineStr">
        <is>
          <t>ISU BAXTER:113502</t>
        </is>
      </c>
      <c r="F1134" s="0" t="inlineStr">
        <is>
          <t>'701113502008</t>
        </is>
      </c>
      <c r="G1134" s="0" t="inlineStr">
        <is>
          <t>MENS</t>
        </is>
      </c>
      <c r="H1134" s="0" t="inlineStr">
        <is>
          <t>STANDARD:58CM</t>
        </is>
      </c>
      <c r="I1134" s="0">
        <v>19.99</v>
      </c>
      <c r="J1134" s="0">
        <v>4</v>
      </c>
    </row>
    <row r="1135" spans="1:10" customHeight="0">
      <c r="A1135" s="0">
        <f>HYPERLINK("https://dl.dropboxusercontent.com/scl/fi/62mmcx9tujdhz6p54pvfm/123483-af.jpg?rlkey=3anmu8luigpdwj0u9061142l6&amp;dl=0","Click to download Image")</f>
      </c>
      <c r="C1135" s="0" t="inlineStr">
        <is>
          <t>Baxter Men's Cap</t>
        </is>
      </c>
      <c r="D1135" s="0" t="inlineStr">
        <is>
          <t>'123483</t>
        </is>
      </c>
      <c r="E1135" s="0" t="inlineStr">
        <is>
          <t>NDSU BAXTER KY:123483</t>
        </is>
      </c>
      <c r="F1135" s="0" t="inlineStr">
        <is>
          <t>'713123483000</t>
        </is>
      </c>
      <c r="G1135" s="0" t="inlineStr">
        <is>
          <t>MENS</t>
        </is>
      </c>
      <c r="H1135" s="0" t="inlineStr">
        <is>
          <t>STANDARD:58CM</t>
        </is>
      </c>
      <c r="I1135" s="0">
        <v>19.99</v>
      </c>
      <c r="J1135" s="0">
        <v>41</v>
      </c>
    </row>
    <row r="1136" spans="1:10" customHeight="0">
      <c r="A1136" s="0">
        <f>HYPERLINK("https://dl.dropboxusercontent.com/scl/fi/ewovs23paqc2brwi56i3u/112895-f.jpg?rlkey=shoj5vdifvefb3qk4fp26iju9&amp;dl=0","Click to download Image")</f>
      </c>
      <c r="C1136" s="0" t="inlineStr">
        <is>
          <t>Anise Women's Beanie</t>
        </is>
      </c>
      <c r="D1136" s="0" t="inlineStr">
        <is>
          <t>'112895</t>
        </is>
      </c>
      <c r="E1136" s="0" t="inlineStr">
        <is>
          <t>ISU ANISE GREY:112895</t>
        </is>
      </c>
      <c r="F1136" s="0" t="inlineStr">
        <is>
          <t>'701112895019</t>
        </is>
      </c>
      <c r="G1136" s="0" t="inlineStr">
        <is>
          <t>WOMENS</t>
        </is>
      </c>
      <c r="H1136" s="0" t="inlineStr">
        <is>
          <t>8IN W X 11IN H, 2. 5IN CUFF</t>
        </is>
      </c>
      <c r="I1136" s="0">
        <v>24.99</v>
      </c>
      <c r="J1136" s="0">
        <v>8</v>
      </c>
    </row>
    <row r="1137" spans="1:10" customHeight="0">
      <c r="A1137" s="0">
        <f>HYPERLINK("https://dl.dropboxusercontent.com/scl/fi/zx0c8hkllzgqbomgi5v0x/ansie-124060-f.jpg?rlkey=mipu4en501csoatheyyqhchm2&amp;dl=0","Click to download Image")</f>
      </c>
      <c r="C1137" s="0" t="inlineStr">
        <is>
          <t>Anise Women's Beanie</t>
        </is>
      </c>
      <c r="D1137" s="0" t="inlineStr">
        <is>
          <t>'124060</t>
        </is>
      </c>
      <c r="E1137" s="0" t="inlineStr">
        <is>
          <t>USD ANISE:124060</t>
        </is>
      </c>
      <c r="F1137" s="0" t="inlineStr">
        <is>
          <t>'711124060015</t>
        </is>
      </c>
      <c r="G1137" s="0" t="inlineStr">
        <is>
          <t>WOMENS</t>
        </is>
      </c>
      <c r="H1137" s="0" t="inlineStr">
        <is>
          <t>8IN W X 11IN H, 2. 5IN CUFF</t>
        </is>
      </c>
      <c r="I1137" s="0">
        <v>24.99</v>
      </c>
      <c r="J1137" s="0">
        <v>36</v>
      </c>
    </row>
    <row r="1138" spans="1:10" customHeight="0">
      <c r="A1138" s="0">
        <f>HYPERLINK("https://dl.dropboxusercontent.com/scl/fi/opdqgke5ei1trvvnsxqoj/113287af.jpg?rlkey=c7lpdu9dqu7p4pnei1j4fwwbx&amp;dl=0","Click to download Image")</f>
      </c>
      <c r="B1138" s="0">
        <f>HYPERLINK("https://dl.dropboxusercontent.com/scl/fi/5lh1q5euf9puurw3pss5v/mens-polo-size-chartsbrent.jpg?rlkey=8zwtne1l06cenvv0tcbsky3pk&amp;dl=0","Click to download SizeChart")</f>
      </c>
      <c r="C1138" s="0" t="inlineStr">
        <is>
          <t>Bellamy Men's Polo</t>
        </is>
      </c>
      <c r="D1138" s="0" t="inlineStr">
        <is>
          <t>'113287</t>
        </is>
      </c>
      <c r="E1138" s="0" t="inlineStr">
        <is>
          <t>IOWA BELLAMY M BLACK:113287A-S</t>
        </is>
      </c>
      <c r="F1138" s="0" t="inlineStr">
        <is>
          <t>'800113287042</t>
        </is>
      </c>
      <c r="G1138" s="0" t="inlineStr">
        <is>
          <t>MENS</t>
        </is>
      </c>
      <c r="H1138" s="0" t="inlineStr">
        <is>
          <t>S</t>
        </is>
      </c>
      <c r="I1138" s="0">
        <v>39.99</v>
      </c>
      <c r="J1138" s="0">
        <v>5</v>
      </c>
    </row>
    <row r="1139" spans="1:10" customHeight="0">
      <c r="A1139" s="0">
        <f>HYPERLINK("https://dl.dropboxusercontent.com/scl/fi/opdqgke5ei1trvvnsxqoj/113287af.jpg?rlkey=c7lpdu9dqu7p4pnei1j4fwwbx&amp;dl=0","Click to download Image")</f>
      </c>
      <c r="B1139" s="0">
        <f>HYPERLINK("https://dl.dropboxusercontent.com/scl/fi/5lh1q5euf9puurw3pss5v/mens-polo-size-chartsbrent.jpg?rlkey=8zwtne1l06cenvv0tcbsky3pk&amp;dl=0","Click to download SizeChart")</f>
      </c>
      <c r="C1139" s="0" t="inlineStr">
        <is>
          <t>Bellamy Men's Polo</t>
        </is>
      </c>
      <c r="D1139" s="0" t="inlineStr">
        <is>
          <t>'113287</t>
        </is>
      </c>
      <c r="E1139" s="0" t="inlineStr">
        <is>
          <t>IOWA BELLAMY M BLACK:113287B-M</t>
        </is>
      </c>
      <c r="F1139" s="0" t="inlineStr">
        <is>
          <t>'800113287059</t>
        </is>
      </c>
      <c r="G1139" s="0" t="inlineStr">
        <is>
          <t>MENS</t>
        </is>
      </c>
      <c r="H1139" s="0" t="inlineStr">
        <is>
          <t>M</t>
        </is>
      </c>
      <c r="I1139" s="0">
        <v>39.99</v>
      </c>
      <c r="J1139" s="0">
        <v>0</v>
      </c>
    </row>
    <row r="1140" spans="1:10" customHeight="0">
      <c r="A1140" s="0">
        <f>HYPERLINK("https://dl.dropboxusercontent.com/scl/fi/opdqgke5ei1trvvnsxqoj/113287af.jpg?rlkey=c7lpdu9dqu7p4pnei1j4fwwbx&amp;dl=0","Click to download Image")</f>
      </c>
      <c r="B1140" s="0">
        <f>HYPERLINK("https://dl.dropboxusercontent.com/scl/fi/5lh1q5euf9puurw3pss5v/mens-polo-size-chartsbrent.jpg?rlkey=8zwtne1l06cenvv0tcbsky3pk&amp;dl=0","Click to download SizeChart")</f>
      </c>
      <c r="C1140" s="0" t="inlineStr">
        <is>
          <t>Bellamy Men's Polo</t>
        </is>
      </c>
      <c r="D1140" s="0" t="inlineStr">
        <is>
          <t>'113287</t>
        </is>
      </c>
      <c r="E1140" s="0" t="inlineStr">
        <is>
          <t>IOWA BELLAMY M BLACK:113287C-L</t>
        </is>
      </c>
      <c r="F1140" s="0" t="inlineStr">
        <is>
          <t>'800113287066</t>
        </is>
      </c>
      <c r="G1140" s="0" t="inlineStr">
        <is>
          <t>MENS</t>
        </is>
      </c>
      <c r="H1140" s="0" t="inlineStr">
        <is>
          <t>L</t>
        </is>
      </c>
      <c r="I1140" s="0">
        <v>39.99</v>
      </c>
      <c r="J1140" s="0">
        <v>0</v>
      </c>
    </row>
    <row r="1141" spans="1:10" customHeight="0">
      <c r="A1141" s="0">
        <f>HYPERLINK("https://dl.dropboxusercontent.com/scl/fi/opdqgke5ei1trvvnsxqoj/113287af.jpg?rlkey=c7lpdu9dqu7p4pnei1j4fwwbx&amp;dl=0","Click to download Image")</f>
      </c>
      <c r="B1141" s="0">
        <f>HYPERLINK("https://dl.dropboxusercontent.com/scl/fi/5lh1q5euf9puurw3pss5v/mens-polo-size-chartsbrent.jpg?rlkey=8zwtne1l06cenvv0tcbsky3pk&amp;dl=0","Click to download SizeChart")</f>
      </c>
      <c r="C1141" s="0" t="inlineStr">
        <is>
          <t>Bellamy Men's Polo</t>
        </is>
      </c>
      <c r="D1141" s="0" t="inlineStr">
        <is>
          <t>'113287</t>
        </is>
      </c>
      <c r="E1141" s="0" t="inlineStr">
        <is>
          <t>IOWA BELLAMY M BLACK:113287D-XL</t>
        </is>
      </c>
      <c r="F1141" s="0" t="inlineStr">
        <is>
          <t>'800113287073</t>
        </is>
      </c>
      <c r="G1141" s="0" t="inlineStr">
        <is>
          <t>MENS</t>
        </is>
      </c>
      <c r="H1141" s="0" t="inlineStr">
        <is>
          <t>XL</t>
        </is>
      </c>
      <c r="I1141" s="0">
        <v>39.99</v>
      </c>
      <c r="J1141" s="0">
        <v>0</v>
      </c>
    </row>
    <row r="1142" spans="1:10" customHeight="0">
      <c r="A1142" s="0">
        <f>HYPERLINK("https://dl.dropboxusercontent.com/scl/fi/opdqgke5ei1trvvnsxqoj/113287af.jpg?rlkey=c7lpdu9dqu7p4pnei1j4fwwbx&amp;dl=0","Click to download Image")</f>
      </c>
      <c r="B1142" s="0">
        <f>HYPERLINK("https://dl.dropboxusercontent.com/scl/fi/5lh1q5euf9puurw3pss5v/mens-polo-size-chartsbrent.jpg?rlkey=8zwtne1l06cenvv0tcbsky3pk&amp;dl=0","Click to download SizeChart")</f>
      </c>
      <c r="C1142" s="0" t="inlineStr">
        <is>
          <t>Bellamy Men's Polo</t>
        </is>
      </c>
      <c r="D1142" s="0" t="inlineStr">
        <is>
          <t>'113287</t>
        </is>
      </c>
      <c r="E1142" s="0" t="inlineStr">
        <is>
          <t>IOWA BELLAMY M BLACK:113287E-2XL</t>
        </is>
      </c>
      <c r="F1142" s="0" t="inlineStr">
        <is>
          <t>'800113287080</t>
        </is>
      </c>
      <c r="G1142" s="0" t="inlineStr">
        <is>
          <t>MENS</t>
        </is>
      </c>
      <c r="H1142" s="0" t="inlineStr">
        <is>
          <t>2XL</t>
        </is>
      </c>
      <c r="I1142" s="0">
        <v>41.99</v>
      </c>
      <c r="J1142" s="0">
        <v>0</v>
      </c>
    </row>
    <row r="1143" spans="1:10" customHeight="0">
      <c r="A1143" s="0">
        <f>HYPERLINK("https://dl.dropboxusercontent.com/scl/fi/opdqgke5ei1trvvnsxqoj/113287af.jpg?rlkey=c7lpdu9dqu7p4pnei1j4fwwbx&amp;dl=0","Click to download Image")</f>
      </c>
      <c r="B1143" s="0">
        <f>HYPERLINK("https://dl.dropboxusercontent.com/scl/fi/5lh1q5euf9puurw3pss5v/mens-polo-size-chartsbrent.jpg?rlkey=8zwtne1l06cenvv0tcbsky3pk&amp;dl=0","Click to download SizeChart")</f>
      </c>
      <c r="C1143" s="0" t="inlineStr">
        <is>
          <t>Bellamy Men's Polo</t>
        </is>
      </c>
      <c r="D1143" s="0" t="inlineStr">
        <is>
          <t>'113287</t>
        </is>
      </c>
      <c r="E1143" s="0" t="inlineStr">
        <is>
          <t>IOWA BELLAMY M BLACK:113287F-3XL</t>
        </is>
      </c>
      <c r="F1143" s="0" t="inlineStr">
        <is>
          <t>'800113287097</t>
        </is>
      </c>
      <c r="G1143" s="0" t="inlineStr">
        <is>
          <t>MENS</t>
        </is>
      </c>
      <c r="H1143" s="0" t="inlineStr">
        <is>
          <t>3XL</t>
        </is>
      </c>
      <c r="I1143" s="0">
        <v>41.99</v>
      </c>
      <c r="J1143" s="0">
        <v>0</v>
      </c>
    </row>
    <row r="1144" spans="1:10" customHeight="0">
      <c r="A1144" s="0">
        <f>HYPERLINK("https://dl.dropboxusercontent.com/scl/fi/opdqgke5ei1trvvnsxqoj/113287af.jpg?rlkey=c7lpdu9dqu7p4pnei1j4fwwbx&amp;dl=0","Click to download Image")</f>
      </c>
      <c r="B1144" s="0">
        <f>HYPERLINK("https://dl.dropboxusercontent.com/scl/fi/5lh1q5euf9puurw3pss5v/mens-polo-size-chartsbrent.jpg?rlkey=8zwtne1l06cenvv0tcbsky3pk&amp;dl=0","Click to download SizeChart")</f>
      </c>
      <c r="C1144" s="0" t="inlineStr">
        <is>
          <t>Bellamy Men's Polo</t>
        </is>
      </c>
      <c r="D1144" s="0" t="inlineStr">
        <is>
          <t>'113287</t>
        </is>
      </c>
      <c r="E1144" s="0" t="inlineStr">
        <is>
          <t>IOWA BELLAMY M BLACK 12 PACK:113287Z-12PK</t>
        </is>
      </c>
      <c r="F1144" s="0" t="inlineStr">
        <is>
          <t>'800113287998</t>
        </is>
      </c>
      <c r="G1144" s="0" t="inlineStr">
        <is>
          <t>MENS</t>
        </is>
      </c>
      <c r="H1144" s="0" t="inlineStr">
        <is>
          <t>12 PACK</t>
        </is>
      </c>
      <c r="I1144" s="0">
        <v>390</v>
      </c>
      <c r="J1144" s="0">
        <v>0</v>
      </c>
    </row>
    <row r="1145" spans="1:10" customHeight="0">
      <c r="A1145" s="0">
        <f>HYPERLINK("https://dl.dropboxusercontent.com/scl/fi/s8ahh4cmqhbjs3roxfn10/123479-af.jpg?rlkey=zs4239nf65hw3nq17qz6djh1s&amp;dl=0","Click to download Image")</f>
      </c>
      <c r="B1145" s="0">
        <f>HYPERLINK("https://dl.dropboxusercontent.com/scl/fi/5lh1q5euf9puurw3pss5v/mens-polo-size-chartsbrent.jpg?rlkey=8zwtne1l06cenvv0tcbsky3pk&amp;dl=0","Click to download SizeChart")</f>
      </c>
      <c r="C1145" s="0" t="inlineStr">
        <is>
          <t>Bellamy Men's Polo</t>
        </is>
      </c>
      <c r="D1145" s="0" t="inlineStr">
        <is>
          <t>'123479</t>
        </is>
      </c>
      <c r="E1145" s="0" t="inlineStr">
        <is>
          <t>NDSU BELLAMY M GN:123479A-S</t>
        </is>
      </c>
      <c r="F1145" s="0" t="inlineStr">
        <is>
          <t>'813123479048</t>
        </is>
      </c>
      <c r="G1145" s="0" t="inlineStr">
        <is>
          <t>MENS</t>
        </is>
      </c>
      <c r="H1145" s="0" t="inlineStr">
        <is>
          <t>S</t>
        </is>
      </c>
      <c r="I1145" s="0">
        <v>39.99</v>
      </c>
      <c r="J1145" s="0">
        <v>6</v>
      </c>
    </row>
    <row r="1146" spans="1:10" customHeight="0">
      <c r="A1146" s="0">
        <f>HYPERLINK("https://dl.dropboxusercontent.com/scl/fi/s8ahh4cmqhbjs3roxfn10/123479-af.jpg?rlkey=zs4239nf65hw3nq17qz6djh1s&amp;dl=0","Click to download Image")</f>
      </c>
      <c r="B1146" s="0">
        <f>HYPERLINK("https://dl.dropboxusercontent.com/scl/fi/5lh1q5euf9puurw3pss5v/mens-polo-size-chartsbrent.jpg?rlkey=8zwtne1l06cenvv0tcbsky3pk&amp;dl=0","Click to download SizeChart")</f>
      </c>
      <c r="C1146" s="0" t="inlineStr">
        <is>
          <t>Bellamy Men's Polo</t>
        </is>
      </c>
      <c r="D1146" s="0" t="inlineStr">
        <is>
          <t>'123479</t>
        </is>
      </c>
      <c r="E1146" s="0" t="inlineStr">
        <is>
          <t>NDSU BELLAMY M GN:123479B-M</t>
        </is>
      </c>
      <c r="F1146" s="0" t="inlineStr">
        <is>
          <t>'813123479055</t>
        </is>
      </c>
      <c r="G1146" s="0" t="inlineStr">
        <is>
          <t>MENS</t>
        </is>
      </c>
      <c r="H1146" s="0" t="inlineStr">
        <is>
          <t>M</t>
        </is>
      </c>
      <c r="I1146" s="0">
        <v>39.99</v>
      </c>
      <c r="J1146" s="0">
        <v>5</v>
      </c>
    </row>
    <row r="1147" spans="1:10" customHeight="0">
      <c r="A1147" s="0">
        <f>HYPERLINK("https://dl.dropboxusercontent.com/scl/fi/s8ahh4cmqhbjs3roxfn10/123479-af.jpg?rlkey=zs4239nf65hw3nq17qz6djh1s&amp;dl=0","Click to download Image")</f>
      </c>
      <c r="B1147" s="0">
        <f>HYPERLINK("https://dl.dropboxusercontent.com/scl/fi/5lh1q5euf9puurw3pss5v/mens-polo-size-chartsbrent.jpg?rlkey=8zwtne1l06cenvv0tcbsky3pk&amp;dl=0","Click to download SizeChart")</f>
      </c>
      <c r="C1147" s="0" t="inlineStr">
        <is>
          <t>Bellamy Men's Polo</t>
        </is>
      </c>
      <c r="D1147" s="0" t="inlineStr">
        <is>
          <t>'123479</t>
        </is>
      </c>
      <c r="E1147" s="0" t="inlineStr">
        <is>
          <t>NDSU BELLAMY M GN:123479C-L</t>
        </is>
      </c>
      <c r="F1147" s="0" t="inlineStr">
        <is>
          <t>'813123479062</t>
        </is>
      </c>
      <c r="G1147" s="0" t="inlineStr">
        <is>
          <t>MENS</t>
        </is>
      </c>
      <c r="H1147" s="0" t="inlineStr">
        <is>
          <t>L</t>
        </is>
      </c>
      <c r="I1147" s="0">
        <v>39.99</v>
      </c>
      <c r="J1147" s="0">
        <v>8</v>
      </c>
    </row>
    <row r="1148" spans="1:10" customHeight="0">
      <c r="A1148" s="0">
        <f>HYPERLINK("https://dl.dropboxusercontent.com/scl/fi/s8ahh4cmqhbjs3roxfn10/123479-af.jpg?rlkey=zs4239nf65hw3nq17qz6djh1s&amp;dl=0","Click to download Image")</f>
      </c>
      <c r="B1148" s="0">
        <f>HYPERLINK("https://dl.dropboxusercontent.com/scl/fi/5lh1q5euf9puurw3pss5v/mens-polo-size-chartsbrent.jpg?rlkey=8zwtne1l06cenvv0tcbsky3pk&amp;dl=0","Click to download SizeChart")</f>
      </c>
      <c r="C1148" s="0" t="inlineStr">
        <is>
          <t>Bellamy Men's Polo</t>
        </is>
      </c>
      <c r="D1148" s="0" t="inlineStr">
        <is>
          <t>'123479</t>
        </is>
      </c>
      <c r="E1148" s="0" t="inlineStr">
        <is>
          <t>NDSU BELLAMY M GN:123479D-XL</t>
        </is>
      </c>
      <c r="F1148" s="0" t="inlineStr">
        <is>
          <t>'813123479079</t>
        </is>
      </c>
      <c r="G1148" s="0" t="inlineStr">
        <is>
          <t>MENS</t>
        </is>
      </c>
      <c r="H1148" s="0" t="inlineStr">
        <is>
          <t>XL</t>
        </is>
      </c>
      <c r="I1148" s="0">
        <v>39.99</v>
      </c>
      <c r="J1148" s="0">
        <v>0</v>
      </c>
    </row>
    <row r="1149" spans="1:10" customHeight="0">
      <c r="A1149" s="0">
        <f>HYPERLINK("https://dl.dropboxusercontent.com/scl/fi/s8ahh4cmqhbjs3roxfn10/123479-af.jpg?rlkey=zs4239nf65hw3nq17qz6djh1s&amp;dl=0","Click to download Image")</f>
      </c>
      <c r="B1149" s="0">
        <f>HYPERLINK("https://dl.dropboxusercontent.com/scl/fi/5lh1q5euf9puurw3pss5v/mens-polo-size-chartsbrent.jpg?rlkey=8zwtne1l06cenvv0tcbsky3pk&amp;dl=0","Click to download SizeChart")</f>
      </c>
      <c r="C1149" s="0" t="inlineStr">
        <is>
          <t>Bellamy Men's Polo</t>
        </is>
      </c>
      <c r="D1149" s="0" t="inlineStr">
        <is>
          <t>'123479</t>
        </is>
      </c>
      <c r="E1149" s="0" t="inlineStr">
        <is>
          <t>NDSU BELLAMY M GN:123479E-2XL</t>
        </is>
      </c>
      <c r="F1149" s="0" t="inlineStr">
        <is>
          <t>'813123479086</t>
        </is>
      </c>
      <c r="G1149" s="0" t="inlineStr">
        <is>
          <t>MENS</t>
        </is>
      </c>
      <c r="H1149" s="0" t="inlineStr">
        <is>
          <t>2XL</t>
        </is>
      </c>
      <c r="I1149" s="0">
        <v>41.99</v>
      </c>
      <c r="J1149" s="0">
        <v>0</v>
      </c>
    </row>
    <row r="1150" spans="1:10" customHeight="0">
      <c r="A1150" s="0">
        <f>HYPERLINK("https://dl.dropboxusercontent.com/scl/fi/s8ahh4cmqhbjs3roxfn10/123479-af.jpg?rlkey=zs4239nf65hw3nq17qz6djh1s&amp;dl=0","Click to download Image")</f>
      </c>
      <c r="B1150" s="0">
        <f>HYPERLINK("https://dl.dropboxusercontent.com/scl/fi/5lh1q5euf9puurw3pss5v/mens-polo-size-chartsbrent.jpg?rlkey=8zwtne1l06cenvv0tcbsky3pk&amp;dl=0","Click to download SizeChart")</f>
      </c>
      <c r="C1150" s="0" t="inlineStr">
        <is>
          <t>Bellamy Men's Polo</t>
        </is>
      </c>
      <c r="D1150" s="0" t="inlineStr">
        <is>
          <t>'123479</t>
        </is>
      </c>
      <c r="E1150" s="0" t="inlineStr">
        <is>
          <t>NDSU BELLAMY M GN:123479F-3XL</t>
        </is>
      </c>
      <c r="F1150" s="0" t="inlineStr">
        <is>
          <t>'813123479093</t>
        </is>
      </c>
      <c r="G1150" s="0" t="inlineStr">
        <is>
          <t>MENS</t>
        </is>
      </c>
      <c r="H1150" s="0" t="inlineStr">
        <is>
          <t>3XL</t>
        </is>
      </c>
      <c r="I1150" s="0">
        <v>41.99</v>
      </c>
      <c r="J1150" s="0">
        <v>0</v>
      </c>
    </row>
    <row r="1151" spans="1:10" customHeight="0">
      <c r="A1151" s="0">
        <f>HYPERLINK("https://dl.dropboxusercontent.com/scl/fi/s8ahh4cmqhbjs3roxfn10/123479-af.jpg?rlkey=zs4239nf65hw3nq17qz6djh1s&amp;dl=0","Click to download Image")</f>
      </c>
      <c r="B1151" s="0">
        <f>HYPERLINK("https://dl.dropboxusercontent.com/scl/fi/5lh1q5euf9puurw3pss5v/mens-polo-size-chartsbrent.jpg?rlkey=8zwtne1l06cenvv0tcbsky3pk&amp;dl=0","Click to download SizeChart")</f>
      </c>
      <c r="C1151" s="0" t="inlineStr">
        <is>
          <t>Bellamy Men's Polo</t>
        </is>
      </c>
      <c r="D1151" s="0" t="inlineStr">
        <is>
          <t>'123479</t>
        </is>
      </c>
      <c r="E1151" s="0" t="inlineStr">
        <is>
          <t>NDSU BELLAMY M GN 12PK:123479Z-12PK</t>
        </is>
      </c>
      <c r="F1151" s="0" t="inlineStr">
        <is>
          <t>'813123479994</t>
        </is>
      </c>
      <c r="G1151" s="0" t="inlineStr">
        <is>
          <t>MENS</t>
        </is>
      </c>
      <c r="H1151" s="0" t="inlineStr">
        <is>
          <t>12 PACK</t>
        </is>
      </c>
      <c r="I1151" s="0">
        <v>390</v>
      </c>
      <c r="J1151" s="0">
        <v>0</v>
      </c>
    </row>
    <row r="1152" spans="1:10" customHeight="0">
      <c r="A1152" s="0">
        <f>HYPERLINK("https://dl.dropboxusercontent.com/scl/fi/qs6hr2tf26hx8g650hppj/123869-af.jpg?rlkey=gaqla2593gakpelqyhqcsdook&amp;dl=0","Click to download Image")</f>
      </c>
      <c r="B1152" s="0">
        <f>HYPERLINK("https://dl.dropboxusercontent.com/scl/fi/5lh1q5euf9puurw3pss5v/mens-polo-size-chartsbrent.jpg?rlkey=8zwtne1l06cenvv0tcbsky3pk&amp;dl=0","Click to download SizeChart")</f>
      </c>
      <c r="C1152" s="0" t="inlineStr">
        <is>
          <t>Bellamy Men's Polo</t>
        </is>
      </c>
      <c r="D1152" s="0" t="inlineStr">
        <is>
          <t>'123869</t>
        </is>
      </c>
      <c r="E1152" s="0" t="inlineStr">
        <is>
          <t>UNO BELLAMY M BK:123869A-S</t>
        </is>
      </c>
      <c r="F1152" s="0" t="inlineStr">
        <is>
          <t>'809123869040</t>
        </is>
      </c>
      <c r="G1152" s="0" t="inlineStr">
        <is>
          <t>MENS</t>
        </is>
      </c>
      <c r="H1152" s="0" t="inlineStr">
        <is>
          <t>S</t>
        </is>
      </c>
      <c r="I1152" s="0">
        <v>39.99</v>
      </c>
      <c r="J1152" s="0">
        <v>2</v>
      </c>
    </row>
    <row r="1153" spans="1:10" customHeight="0">
      <c r="A1153" s="0">
        <f>HYPERLINK("https://dl.dropboxusercontent.com/scl/fi/qs6hr2tf26hx8g650hppj/123869-af.jpg?rlkey=gaqla2593gakpelqyhqcsdook&amp;dl=0","Click to download Image")</f>
      </c>
      <c r="B1153" s="0">
        <f>HYPERLINK("https://dl.dropboxusercontent.com/scl/fi/5lh1q5euf9puurw3pss5v/mens-polo-size-chartsbrent.jpg?rlkey=8zwtne1l06cenvv0tcbsky3pk&amp;dl=0","Click to download SizeChart")</f>
      </c>
      <c r="C1153" s="0" t="inlineStr">
        <is>
          <t>Bellamy Men's Polo</t>
        </is>
      </c>
      <c r="D1153" s="0" t="inlineStr">
        <is>
          <t>'123869</t>
        </is>
      </c>
      <c r="E1153" s="0" t="inlineStr">
        <is>
          <t>UNO BELLAMY M BK:123869B-M</t>
        </is>
      </c>
      <c r="F1153" s="0" t="inlineStr">
        <is>
          <t>'809123869057</t>
        </is>
      </c>
      <c r="G1153" s="0" t="inlineStr">
        <is>
          <t>MENS</t>
        </is>
      </c>
      <c r="H1153" s="0" t="inlineStr">
        <is>
          <t>M</t>
        </is>
      </c>
      <c r="I1153" s="0">
        <v>39.99</v>
      </c>
      <c r="J1153" s="0">
        <v>3</v>
      </c>
    </row>
    <row r="1154" spans="1:10" customHeight="0">
      <c r="A1154" s="0">
        <f>HYPERLINK("https://dl.dropboxusercontent.com/scl/fi/qs6hr2tf26hx8g650hppj/123869-af.jpg?rlkey=gaqla2593gakpelqyhqcsdook&amp;dl=0","Click to download Image")</f>
      </c>
      <c r="B1154" s="0">
        <f>HYPERLINK("https://dl.dropboxusercontent.com/scl/fi/5lh1q5euf9puurw3pss5v/mens-polo-size-chartsbrent.jpg?rlkey=8zwtne1l06cenvv0tcbsky3pk&amp;dl=0","Click to download SizeChart")</f>
      </c>
      <c r="C1154" s="0" t="inlineStr">
        <is>
          <t>Bellamy Men's Polo</t>
        </is>
      </c>
      <c r="D1154" s="0" t="inlineStr">
        <is>
          <t>'123869</t>
        </is>
      </c>
      <c r="E1154" s="0" t="inlineStr">
        <is>
          <t>UNO BELLAMY M BK:123869C-L</t>
        </is>
      </c>
      <c r="F1154" s="0" t="inlineStr">
        <is>
          <t>'809123869064</t>
        </is>
      </c>
      <c r="G1154" s="0" t="inlineStr">
        <is>
          <t>MENS</t>
        </is>
      </c>
      <c r="H1154" s="0" t="inlineStr">
        <is>
          <t>L</t>
        </is>
      </c>
      <c r="I1154" s="0">
        <v>39.99</v>
      </c>
      <c r="J1154" s="0">
        <v>0</v>
      </c>
    </row>
    <row r="1155" spans="1:10" customHeight="0">
      <c r="A1155" s="0">
        <f>HYPERLINK("https://dl.dropboxusercontent.com/scl/fi/qs6hr2tf26hx8g650hppj/123869-af.jpg?rlkey=gaqla2593gakpelqyhqcsdook&amp;dl=0","Click to download Image")</f>
      </c>
      <c r="B1155" s="0">
        <f>HYPERLINK("https://dl.dropboxusercontent.com/scl/fi/5lh1q5euf9puurw3pss5v/mens-polo-size-chartsbrent.jpg?rlkey=8zwtne1l06cenvv0tcbsky3pk&amp;dl=0","Click to download SizeChart")</f>
      </c>
      <c r="C1155" s="0" t="inlineStr">
        <is>
          <t>Bellamy Men's Polo</t>
        </is>
      </c>
      <c r="D1155" s="0" t="inlineStr">
        <is>
          <t>'123869</t>
        </is>
      </c>
      <c r="E1155" s="0" t="inlineStr">
        <is>
          <t>UNO BELLAMY M BK:123869D-XL</t>
        </is>
      </c>
      <c r="F1155" s="0" t="inlineStr">
        <is>
          <t>'809123869071</t>
        </is>
      </c>
      <c r="G1155" s="0" t="inlineStr">
        <is>
          <t>MENS</t>
        </is>
      </c>
      <c r="H1155" s="0" t="inlineStr">
        <is>
          <t>XL</t>
        </is>
      </c>
      <c r="I1155" s="0">
        <v>39.99</v>
      </c>
      <c r="J1155" s="0">
        <v>4</v>
      </c>
    </row>
    <row r="1156" spans="1:10" customHeight="0">
      <c r="A1156" s="0">
        <f>HYPERLINK("https://dl.dropboxusercontent.com/scl/fi/qs6hr2tf26hx8g650hppj/123869-af.jpg?rlkey=gaqla2593gakpelqyhqcsdook&amp;dl=0","Click to download Image")</f>
      </c>
      <c r="B1156" s="0">
        <f>HYPERLINK("https://dl.dropboxusercontent.com/scl/fi/5lh1q5euf9puurw3pss5v/mens-polo-size-chartsbrent.jpg?rlkey=8zwtne1l06cenvv0tcbsky3pk&amp;dl=0","Click to download SizeChart")</f>
      </c>
      <c r="C1156" s="0" t="inlineStr">
        <is>
          <t>Bellamy Men's Polo</t>
        </is>
      </c>
      <c r="D1156" s="0" t="inlineStr">
        <is>
          <t>'123869</t>
        </is>
      </c>
      <c r="E1156" s="0" t="inlineStr">
        <is>
          <t>UNO BELLAMY M BK:123869E-2XL</t>
        </is>
      </c>
      <c r="F1156" s="0" t="inlineStr">
        <is>
          <t>'809123869088</t>
        </is>
      </c>
      <c r="G1156" s="0" t="inlineStr">
        <is>
          <t>MENS</t>
        </is>
      </c>
      <c r="H1156" s="0" t="inlineStr">
        <is>
          <t>2XL</t>
        </is>
      </c>
      <c r="I1156" s="0">
        <v>41.99</v>
      </c>
      <c r="J1156" s="0">
        <v>5</v>
      </c>
    </row>
    <row r="1157" spans="1:10" customHeight="0">
      <c r="A1157" s="0">
        <f>HYPERLINK("https://dl.dropboxusercontent.com/scl/fi/qs6hr2tf26hx8g650hppj/123869-af.jpg?rlkey=gaqla2593gakpelqyhqcsdook&amp;dl=0","Click to download Image")</f>
      </c>
      <c r="B1157" s="0">
        <f>HYPERLINK("https://dl.dropboxusercontent.com/scl/fi/5lh1q5euf9puurw3pss5v/mens-polo-size-chartsbrent.jpg?rlkey=8zwtne1l06cenvv0tcbsky3pk&amp;dl=0","Click to download SizeChart")</f>
      </c>
      <c r="C1157" s="0" t="inlineStr">
        <is>
          <t>Bellamy Men's Polo</t>
        </is>
      </c>
      <c r="D1157" s="0" t="inlineStr">
        <is>
          <t>'123869</t>
        </is>
      </c>
      <c r="E1157" s="0" t="inlineStr">
        <is>
          <t>UNO BELLAMY M BK:123869F-3XL</t>
        </is>
      </c>
      <c r="F1157" s="0" t="inlineStr">
        <is>
          <t>'809123869095</t>
        </is>
      </c>
      <c r="G1157" s="0" t="inlineStr">
        <is>
          <t>MENS</t>
        </is>
      </c>
      <c r="H1157" s="0" t="inlineStr">
        <is>
          <t>3XL</t>
        </is>
      </c>
      <c r="I1157" s="0">
        <v>41.99</v>
      </c>
      <c r="J1157" s="0">
        <v>1</v>
      </c>
    </row>
    <row r="1158" spans="1:10" customHeight="0">
      <c r="A1158" s="0">
        <f>HYPERLINK("https://dl.dropboxusercontent.com/scl/fi/qs6hr2tf26hx8g650hppj/123869-af.jpg?rlkey=gaqla2593gakpelqyhqcsdook&amp;dl=0","Click to download Image")</f>
      </c>
      <c r="B1158" s="0">
        <f>HYPERLINK("https://dl.dropboxusercontent.com/scl/fi/5lh1q5euf9puurw3pss5v/mens-polo-size-chartsbrent.jpg?rlkey=8zwtne1l06cenvv0tcbsky3pk&amp;dl=0","Click to download SizeChart")</f>
      </c>
      <c r="C1158" s="0" t="inlineStr">
        <is>
          <t>Bellamy Men's Polo</t>
        </is>
      </c>
      <c r="D1158" s="0" t="inlineStr">
        <is>
          <t>'123869</t>
        </is>
      </c>
      <c r="E1158" s="0" t="inlineStr">
        <is>
          <t>UNO BELLAMY M BK 12PK:123869Z-12PK</t>
        </is>
      </c>
      <c r="F1158" s="0" t="inlineStr">
        <is>
          <t>'809123869996</t>
        </is>
      </c>
      <c r="G1158" s="0" t="inlineStr">
        <is>
          <t>MENS</t>
        </is>
      </c>
      <c r="H1158" s="0" t="inlineStr">
        <is>
          <t>12 PACK</t>
        </is>
      </c>
      <c r="I1158" s="0">
        <v>390</v>
      </c>
      <c r="J1158" s="0">
        <v>0</v>
      </c>
    </row>
    <row r="1159" spans="1:10" customHeight="0">
      <c r="A1159" s="0">
        <f>HYPERLINK("https://dl.dropboxusercontent.com/scl/fi/qmrr4t53vi45irpj4x611/130118-f.jpg?rlkey=mm63kzd06q9y9y2x2h6dsvxdy&amp;dl=0","Click to download Image")</f>
      </c>
      <c r="B1159" s="0">
        <f>HYPERLINK("https://dl.dropboxusercontent.com/scl/fi/5lh1q5euf9puurw3pss5v/mens-polo-size-chartsbrent.jpg?rlkey=8zwtne1l06cenvv0tcbsky3pk&amp;dl=0","Click to download SizeChart")</f>
      </c>
      <c r="C1159" s="0" t="inlineStr">
        <is>
          <t>Bellamy Men's Polo</t>
        </is>
      </c>
      <c r="D1159" s="0" t="inlineStr">
        <is>
          <t>'130118</t>
        </is>
      </c>
      <c r="E1159" s="0" t="inlineStr">
        <is>
          <t>ISU BELLAM M CL:130118A-S</t>
        </is>
      </c>
      <c r="F1159" s="0" t="inlineStr">
        <is>
          <t>'801130118043</t>
        </is>
      </c>
      <c r="G1159" s="0" t="inlineStr">
        <is>
          <t>MENS</t>
        </is>
      </c>
      <c r="H1159" s="0" t="inlineStr">
        <is>
          <t>S</t>
        </is>
      </c>
      <c r="I1159" s="0">
        <v>39.99</v>
      </c>
      <c r="J1159" s="0">
        <v>2</v>
      </c>
    </row>
    <row r="1160" spans="1:10" customHeight="0">
      <c r="A1160" s="0">
        <f>HYPERLINK("https://dl.dropboxusercontent.com/scl/fi/30c2u1mvd0cp65e95ufft/113579-af.jpg?rlkey=8z6gzdjx3f5n1u9jw450k5dkr&amp;dl=0","Click to download Image")</f>
      </c>
      <c r="C1160" s="0" t="inlineStr">
        <is>
          <t>Belmont Tote</t>
        </is>
      </c>
      <c r="D1160" s="0" t="inlineStr">
        <is>
          <t>'113579</t>
        </is>
      </c>
      <c r="E1160" s="0" t="inlineStr">
        <is>
          <t>IOWA BELMONT BLACK:113579</t>
        </is>
      </c>
      <c r="F1160" s="0" t="inlineStr">
        <is>
          <t>'900113579014</t>
        </is>
      </c>
      <c r="H1160" s="0" t="inlineStr">
        <is>
          <t>14 W X 16 H X 6 D</t>
        </is>
      </c>
      <c r="I1160" s="0">
        <v>49.99</v>
      </c>
      <c r="J1160" s="0">
        <v>25</v>
      </c>
    </row>
    <row r="1161" spans="1:10" customHeight="0">
      <c r="A1161" s="0">
        <f>HYPERLINK("https://dl.dropboxusercontent.com/scl/fi/bdo1etk0zfs6mgrx8fqlp/123495-af.jpg?rlkey=ogccgpsuk5pbq9y2d0zydy3it&amp;dl=0","Click to download Image")</f>
      </c>
      <c r="C1161" s="0" t="inlineStr">
        <is>
          <t>Belmont Tote</t>
        </is>
      </c>
      <c r="D1161" s="0" t="inlineStr">
        <is>
          <t>'123495</t>
        </is>
      </c>
      <c r="E1161" s="0" t="inlineStr">
        <is>
          <t>UNI BELMON BK:123495</t>
        </is>
      </c>
      <c r="F1161" s="0" t="inlineStr">
        <is>
          <t>'902123495018</t>
        </is>
      </c>
      <c r="H1161" s="0" t="inlineStr">
        <is>
          <t>14 W X 16 H X 6 D</t>
        </is>
      </c>
      <c r="I1161" s="0">
        <v>49.99</v>
      </c>
      <c r="J1161" s="0">
        <v>31</v>
      </c>
    </row>
    <row r="1162" spans="1:10" customHeight="0">
      <c r="A1162" s="0">
        <f>HYPERLINK("https://dl.dropboxusercontent.com/scl/fi/cdbi2lij2ydybm676hk1p/123494-af.jpg?rlkey=c5c7rxyum2kul9xp1r0t18060&amp;dl=0","Click to download Image")</f>
      </c>
      <c r="C1162" s="0" t="inlineStr">
        <is>
          <t>Belmont Tote</t>
        </is>
      </c>
      <c r="D1162" s="0" t="inlineStr">
        <is>
          <t>'123494</t>
        </is>
      </c>
      <c r="E1162" s="0" t="inlineStr">
        <is>
          <t>ISU BELMON BK:123494</t>
        </is>
      </c>
      <c r="F1162" s="0" t="inlineStr">
        <is>
          <t>'901123494014</t>
        </is>
      </c>
      <c r="H1162" s="0" t="inlineStr">
        <is>
          <t>14 W X 16 H X 6 D</t>
        </is>
      </c>
      <c r="I1162" s="0">
        <v>49.99</v>
      </c>
      <c r="J1162" s="0">
        <v>46</v>
      </c>
    </row>
    <row r="1163" spans="1:10" customHeight="0">
      <c r="A1163" s="0">
        <f>HYPERLINK("https://dl.dropboxusercontent.com/scl/fi/afijohrxf6tdgmdq6hmzt/123049-af.jpg?rlkey=zwnkk4l9hrou2swxlv00sb846&amp;dl=0","Click to download Image")</f>
      </c>
      <c r="C1163" s="0" t="inlineStr">
        <is>
          <t>Belmont Tote</t>
        </is>
      </c>
      <c r="D1163" s="0" t="inlineStr">
        <is>
          <t>'123049</t>
        </is>
      </c>
      <c r="E1163" s="0" t="inlineStr">
        <is>
          <t>USD BELMON:123049</t>
        </is>
      </c>
      <c r="F1163" s="0" t="inlineStr">
        <is>
          <t>'911124058016</t>
        </is>
      </c>
      <c r="H1163" s="0" t="inlineStr">
        <is>
          <t>14 W X 16 H X 6 D</t>
        </is>
      </c>
      <c r="I1163" s="0">
        <v>49.99</v>
      </c>
      <c r="J1163" s="0">
        <v>18</v>
      </c>
    </row>
    <row r="1164" spans="1:10" customHeight="0">
      <c r="A1164" s="0">
        <f>HYPERLINK("https://dl.dropboxusercontent.com/scl/fi/bm9i66xe3l1s7jbzw0wf5/131629-on-belmont-tote-af.jpg?rlkey=8aegetrbzije0h5kc3rnsqp5a&amp;dl=0","Click to download Image")</f>
      </c>
      <c r="C1164" s="0" t="inlineStr">
        <is>
          <t>Belmont Tote</t>
        </is>
      </c>
      <c r="D1164" s="0" t="inlineStr">
        <is>
          <t>'128795</t>
        </is>
      </c>
      <c r="E1164" s="0" t="inlineStr">
        <is>
          <t>DRK BELMON TAG:128795</t>
        </is>
      </c>
      <c r="F1164" s="0" t="inlineStr">
        <is>
          <t>'998128795017</t>
        </is>
      </c>
      <c r="H1164" s="0" t="inlineStr">
        <is>
          <t>14 W X 16 H X 6 D</t>
        </is>
      </c>
      <c r="I1164" s="0">
        <v>49.99</v>
      </c>
      <c r="J1164" s="0">
        <v>194</v>
      </c>
    </row>
    <row r="1165" spans="1:10" customHeight="0">
      <c r="A1165" s="0">
        <f>HYPERLINK("https://dl.dropboxusercontent.com/scl/fi/02kphj3oagd745a84oby5/iowa-set-f.jpg?rlkey=cpxnvu52jcm2kzgffi4v2g6t7&amp;dl=0","Click to download Image")</f>
      </c>
      <c r="C1165" s="0" t="inlineStr">
        <is>
          <t>Bryn Infant Bodysuit</t>
        </is>
      </c>
      <c r="D1165" s="0" t="inlineStr">
        <is>
          <t>'123112</t>
        </is>
      </c>
      <c r="E1165" s="0" t="inlineStr">
        <is>
          <t>IOWA BRYN I GD:123112A-0-3M</t>
        </is>
      </c>
      <c r="F1165" s="0" t="inlineStr">
        <is>
          <t>'800123112006</t>
        </is>
      </c>
      <c r="G1165" s="0" t="inlineStr">
        <is>
          <t>INFANT</t>
        </is>
      </c>
      <c r="H1165" s="0" t="inlineStr">
        <is>
          <t>0-3M</t>
        </is>
      </c>
      <c r="I1165" s="0">
        <v>29.99</v>
      </c>
      <c r="J1165" s="0">
        <v>8</v>
      </c>
    </row>
    <row r="1166" spans="1:10" customHeight="0">
      <c r="A1166" s="0">
        <f>HYPERLINK("https://dl.dropboxusercontent.com/scl/fi/02kphj3oagd745a84oby5/iowa-set-f.jpg?rlkey=cpxnvu52jcm2kzgffi4v2g6t7&amp;dl=0","Click to download Image")</f>
      </c>
      <c r="C1166" s="0" t="inlineStr">
        <is>
          <t>Bryn Infant Bodysuit</t>
        </is>
      </c>
      <c r="D1166" s="0" t="inlineStr">
        <is>
          <t>'123112</t>
        </is>
      </c>
      <c r="E1166" s="0" t="inlineStr">
        <is>
          <t>IOWA BRYN I GD:123112B-3-6M</t>
        </is>
      </c>
      <c r="F1166" s="0" t="inlineStr">
        <is>
          <t>'800123112013</t>
        </is>
      </c>
      <c r="G1166" s="0" t="inlineStr">
        <is>
          <t>INFANT</t>
        </is>
      </c>
      <c r="H1166" s="0" t="inlineStr">
        <is>
          <t>3-6M</t>
        </is>
      </c>
      <c r="I1166" s="0">
        <v>29.99</v>
      </c>
      <c r="J1166" s="0">
        <v>7</v>
      </c>
    </row>
    <row r="1167" spans="1:10" customHeight="0">
      <c r="A1167" s="0">
        <f>HYPERLINK("https://dl.dropboxusercontent.com/scl/fi/02kphj3oagd745a84oby5/iowa-set-f.jpg?rlkey=cpxnvu52jcm2kzgffi4v2g6t7&amp;dl=0","Click to download Image")</f>
      </c>
      <c r="C1167" s="0" t="inlineStr">
        <is>
          <t>Bryn Infant Bodysuit</t>
        </is>
      </c>
      <c r="D1167" s="0" t="inlineStr">
        <is>
          <t>'123112</t>
        </is>
      </c>
      <c r="E1167" s="0" t="inlineStr">
        <is>
          <t>IOWA BRYN I GD:123112C-6-9M</t>
        </is>
      </c>
      <c r="F1167" s="0" t="inlineStr">
        <is>
          <t>'800123112020</t>
        </is>
      </c>
      <c r="G1167" s="0" t="inlineStr">
        <is>
          <t>INFANT</t>
        </is>
      </c>
      <c r="H1167" s="0" t="inlineStr">
        <is>
          <t>6-9M</t>
        </is>
      </c>
      <c r="I1167" s="0">
        <v>29.99</v>
      </c>
      <c r="J1167" s="0">
        <v>3</v>
      </c>
    </row>
    <row r="1168" spans="1:10" customHeight="0">
      <c r="A1168" s="0">
        <f>HYPERLINK("https://dl.dropboxusercontent.com/scl/fi/02kphj3oagd745a84oby5/iowa-set-f.jpg?rlkey=cpxnvu52jcm2kzgffi4v2g6t7&amp;dl=0","Click to download Image")</f>
      </c>
      <c r="C1168" s="0" t="inlineStr">
        <is>
          <t>Bryn Infant Bodysuit</t>
        </is>
      </c>
      <c r="D1168" s="0" t="inlineStr">
        <is>
          <t>'123112</t>
        </is>
      </c>
      <c r="E1168" s="0" t="inlineStr">
        <is>
          <t>IOWA BRYN I GD:123112F-12M</t>
        </is>
      </c>
      <c r="F1168" s="0" t="inlineStr">
        <is>
          <t>'800123112037</t>
        </is>
      </c>
      <c r="G1168" s="0" t="inlineStr">
        <is>
          <t>INFANT</t>
        </is>
      </c>
      <c r="H1168" s="0" t="inlineStr">
        <is>
          <t>12M</t>
        </is>
      </c>
      <c r="I1168" s="0">
        <v>29.99</v>
      </c>
      <c r="J1168" s="0">
        <v>3</v>
      </c>
    </row>
    <row r="1169" spans="1:10" customHeight="0">
      <c r="A1169" s="0">
        <f>HYPERLINK("https://dl.dropboxusercontent.com/scl/fi/02kphj3oagd745a84oby5/iowa-set-f.jpg?rlkey=cpxnvu52jcm2kzgffi4v2g6t7&amp;dl=0","Click to download Image")</f>
      </c>
      <c r="C1169" s="0" t="inlineStr">
        <is>
          <t>Bryn Infant Bodysuit</t>
        </is>
      </c>
      <c r="D1169" s="0" t="inlineStr">
        <is>
          <t>'123112</t>
        </is>
      </c>
      <c r="E1169" s="0" t="inlineStr">
        <is>
          <t>IOWA BRYN I GD 12PK:123112Z-12PK</t>
        </is>
      </c>
      <c r="F1169" s="0" t="inlineStr">
        <is>
          <t>'800123112990</t>
        </is>
      </c>
      <c r="G1169" s="0" t="inlineStr">
        <is>
          <t>INFANT</t>
        </is>
      </c>
      <c r="H1169" s="0" t="inlineStr">
        <is>
          <t>12 PACK</t>
        </is>
      </c>
      <c r="I1169" s="0">
        <v>288</v>
      </c>
      <c r="J1169" s="0">
        <v>1</v>
      </c>
    </row>
    <row r="1170" spans="1:10" customHeight="0">
      <c r="A1170" s="0">
        <f>HYPERLINK("https://dl.dropboxusercontent.com/scl/fi/92k3shis6r659c5hnue9b/isu-set-f.jpg?rlkey=dbzz7vvr5xtu6ox7pbkkmy8sz&amp;dl=0","Click to download Image")</f>
      </c>
      <c r="C1170" s="0" t="inlineStr">
        <is>
          <t>Bryn Infant Bodysuit</t>
        </is>
      </c>
      <c r="D1170" s="0" t="inlineStr">
        <is>
          <t>'123125</t>
        </is>
      </c>
      <c r="E1170" s="0" t="inlineStr">
        <is>
          <t>ISU BRYN I GD:123125A-0-3M</t>
        </is>
      </c>
      <c r="F1170" s="0" t="inlineStr">
        <is>
          <t>'801123125003</t>
        </is>
      </c>
      <c r="G1170" s="0" t="inlineStr">
        <is>
          <t>INFANT</t>
        </is>
      </c>
      <c r="H1170" s="0" t="inlineStr">
        <is>
          <t>0-3M</t>
        </is>
      </c>
      <c r="I1170" s="0">
        <v>29.99</v>
      </c>
      <c r="J1170" s="0">
        <v>4</v>
      </c>
    </row>
    <row r="1171" spans="1:10" customHeight="0">
      <c r="A1171" s="0">
        <f>HYPERLINK("https://dl.dropboxusercontent.com/scl/fi/92k3shis6r659c5hnue9b/isu-set-f.jpg?rlkey=dbzz7vvr5xtu6ox7pbkkmy8sz&amp;dl=0","Click to download Image")</f>
      </c>
      <c r="C1171" s="0" t="inlineStr">
        <is>
          <t>Bryn Infant Bodysuit</t>
        </is>
      </c>
      <c r="D1171" s="0" t="inlineStr">
        <is>
          <t>'123125</t>
        </is>
      </c>
      <c r="E1171" s="0" t="inlineStr">
        <is>
          <t>ISU BRYN I GD:123125B-3-6M</t>
        </is>
      </c>
      <c r="F1171" s="0" t="inlineStr">
        <is>
          <t>'801123125010</t>
        </is>
      </c>
      <c r="G1171" s="0" t="inlineStr">
        <is>
          <t>INFANT</t>
        </is>
      </c>
      <c r="H1171" s="0" t="inlineStr">
        <is>
          <t>3-6M</t>
        </is>
      </c>
      <c r="I1171" s="0">
        <v>29.99</v>
      </c>
      <c r="J1171" s="0">
        <v>2</v>
      </c>
    </row>
    <row r="1172" spans="1:10" customHeight="0">
      <c r="A1172" s="0">
        <f>HYPERLINK("https://dl.dropboxusercontent.com/scl/fi/92k3shis6r659c5hnue9b/isu-set-f.jpg?rlkey=dbzz7vvr5xtu6ox7pbkkmy8sz&amp;dl=0","Click to download Image")</f>
      </c>
      <c r="C1172" s="0" t="inlineStr">
        <is>
          <t>Bryn Infant Bodysuit</t>
        </is>
      </c>
      <c r="D1172" s="0" t="inlineStr">
        <is>
          <t>'123125</t>
        </is>
      </c>
      <c r="E1172" s="0" t="inlineStr">
        <is>
          <t>ISU BRYN I GD:123125C-6-9M</t>
        </is>
      </c>
      <c r="F1172" s="0" t="inlineStr">
        <is>
          <t>'801123125027</t>
        </is>
      </c>
      <c r="G1172" s="0" t="inlineStr">
        <is>
          <t>INFANT</t>
        </is>
      </c>
      <c r="H1172" s="0" t="inlineStr">
        <is>
          <t>6-9M</t>
        </is>
      </c>
      <c r="I1172" s="0">
        <v>29.99</v>
      </c>
      <c r="J1172" s="0">
        <v>0</v>
      </c>
    </row>
    <row r="1173" spans="1:10" customHeight="0">
      <c r="A1173" s="0">
        <f>HYPERLINK("https://dl.dropboxusercontent.com/scl/fi/92k3shis6r659c5hnue9b/isu-set-f.jpg?rlkey=dbzz7vvr5xtu6ox7pbkkmy8sz&amp;dl=0","Click to download Image")</f>
      </c>
      <c r="C1173" s="0" t="inlineStr">
        <is>
          <t>Bryn Infant Bodysuit</t>
        </is>
      </c>
      <c r="D1173" s="0" t="inlineStr">
        <is>
          <t>'123125</t>
        </is>
      </c>
      <c r="E1173" s="0" t="inlineStr">
        <is>
          <t>ISU BRYN I GD:123125F-12M</t>
        </is>
      </c>
      <c r="F1173" s="0" t="inlineStr">
        <is>
          <t>'801123125034</t>
        </is>
      </c>
      <c r="G1173" s="0" t="inlineStr">
        <is>
          <t>INFANT</t>
        </is>
      </c>
      <c r="H1173" s="0" t="inlineStr">
        <is>
          <t>12M</t>
        </is>
      </c>
      <c r="I1173" s="0">
        <v>29.99</v>
      </c>
      <c r="J1173" s="0">
        <v>0</v>
      </c>
    </row>
    <row r="1174" spans="1:10" customHeight="0">
      <c r="A1174" s="0">
        <f>HYPERLINK("https://dl.dropboxusercontent.com/scl/fi/92k3shis6r659c5hnue9b/isu-set-f.jpg?rlkey=dbzz7vvr5xtu6ox7pbkkmy8sz&amp;dl=0","Click to download Image")</f>
      </c>
      <c r="C1174" s="0" t="inlineStr">
        <is>
          <t>Bryn Infant Bodysuit</t>
        </is>
      </c>
      <c r="D1174" s="0" t="inlineStr">
        <is>
          <t>'123125</t>
        </is>
      </c>
      <c r="E1174" s="0" t="inlineStr">
        <is>
          <t>ISU BRYN I GD 12PK:123125Z-12PK</t>
        </is>
      </c>
      <c r="F1174" s="0" t="inlineStr">
        <is>
          <t>'801123125997</t>
        </is>
      </c>
      <c r="G1174" s="0" t="inlineStr">
        <is>
          <t>INFANT</t>
        </is>
      </c>
      <c r="H1174" s="0" t="inlineStr">
        <is>
          <t>12 PACK</t>
        </is>
      </c>
      <c r="I1174" s="0">
        <v>288</v>
      </c>
      <c r="J1174" s="0">
        <v>0</v>
      </c>
    </row>
    <row r="1175" spans="1:10" customHeight="0">
      <c r="A1175" s="0">
        <f>HYPERLINK("https://dl.dropboxusercontent.com/scl/fi/cdzdcoaoztrqtd6rqa07c/uni-set-f.jpg?rlkey=5cf8oaa5da508czobpw06qasg&amp;dl=0","Click to download Image")</f>
      </c>
      <c r="C1175" s="0" t="inlineStr">
        <is>
          <t>Bryn Infant Bodysuit</t>
        </is>
      </c>
      <c r="D1175" s="0" t="inlineStr">
        <is>
          <t>'123124</t>
        </is>
      </c>
      <c r="E1175" s="0" t="inlineStr">
        <is>
          <t>UNI BRYN I GD:123124A-0-3M</t>
        </is>
      </c>
      <c r="F1175" s="0" t="inlineStr">
        <is>
          <t>'802123124003</t>
        </is>
      </c>
      <c r="G1175" s="0" t="inlineStr">
        <is>
          <t>INFANT</t>
        </is>
      </c>
      <c r="H1175" s="0" t="inlineStr">
        <is>
          <t>0-3M</t>
        </is>
      </c>
      <c r="I1175" s="0">
        <v>29.99</v>
      </c>
      <c r="J1175" s="0">
        <v>17</v>
      </c>
    </row>
    <row r="1176" spans="1:10" customHeight="0">
      <c r="A1176" s="0">
        <f>HYPERLINK("https://dl.dropboxusercontent.com/scl/fi/cdzdcoaoztrqtd6rqa07c/uni-set-f.jpg?rlkey=5cf8oaa5da508czobpw06qasg&amp;dl=0","Click to download Image")</f>
      </c>
      <c r="C1176" s="0" t="inlineStr">
        <is>
          <t>Bryn Infant Bodysuit</t>
        </is>
      </c>
      <c r="D1176" s="0" t="inlineStr">
        <is>
          <t>'123124</t>
        </is>
      </c>
      <c r="E1176" s="0" t="inlineStr">
        <is>
          <t>UNI BRYN I GD:123124B-3-6M</t>
        </is>
      </c>
      <c r="F1176" s="0" t="inlineStr">
        <is>
          <t>'802123124010</t>
        </is>
      </c>
      <c r="G1176" s="0" t="inlineStr">
        <is>
          <t>INFANT</t>
        </is>
      </c>
      <c r="H1176" s="0" t="inlineStr">
        <is>
          <t>3-6M</t>
        </is>
      </c>
      <c r="I1176" s="0">
        <v>29.99</v>
      </c>
      <c r="J1176" s="0">
        <v>15</v>
      </c>
    </row>
    <row r="1177" spans="1:10" customHeight="0">
      <c r="A1177" s="0">
        <f>HYPERLINK("https://dl.dropboxusercontent.com/scl/fi/cdzdcoaoztrqtd6rqa07c/uni-set-f.jpg?rlkey=5cf8oaa5da508czobpw06qasg&amp;dl=0","Click to download Image")</f>
      </c>
      <c r="C1177" s="0" t="inlineStr">
        <is>
          <t>Bryn Infant Bodysuit</t>
        </is>
      </c>
      <c r="D1177" s="0" t="inlineStr">
        <is>
          <t>'123124</t>
        </is>
      </c>
      <c r="E1177" s="0" t="inlineStr">
        <is>
          <t>UNI BRYN I GD:123124C-6-9M</t>
        </is>
      </c>
      <c r="F1177" s="0" t="inlineStr">
        <is>
          <t>'802123124027</t>
        </is>
      </c>
      <c r="G1177" s="0" t="inlineStr">
        <is>
          <t>INFANT</t>
        </is>
      </c>
      <c r="H1177" s="0" t="inlineStr">
        <is>
          <t>6-9M</t>
        </is>
      </c>
      <c r="I1177" s="0">
        <v>29.99</v>
      </c>
      <c r="J1177" s="0">
        <v>14</v>
      </c>
    </row>
    <row r="1178" spans="1:10" customHeight="0">
      <c r="A1178" s="0">
        <f>HYPERLINK("https://dl.dropboxusercontent.com/scl/fi/cdzdcoaoztrqtd6rqa07c/uni-set-f.jpg?rlkey=5cf8oaa5da508czobpw06qasg&amp;dl=0","Click to download Image")</f>
      </c>
      <c r="C1178" s="0" t="inlineStr">
        <is>
          <t>Bryn Infant Bodysuit</t>
        </is>
      </c>
      <c r="D1178" s="0" t="inlineStr">
        <is>
          <t>'123124</t>
        </is>
      </c>
      <c r="E1178" s="0" t="inlineStr">
        <is>
          <t>UNI BRYN I GD:123124F-12M</t>
        </is>
      </c>
      <c r="F1178" s="0" t="inlineStr">
        <is>
          <t>'802123124034</t>
        </is>
      </c>
      <c r="G1178" s="0" t="inlineStr">
        <is>
          <t>INFANT</t>
        </is>
      </c>
      <c r="H1178" s="0" t="inlineStr">
        <is>
          <t>12M</t>
        </is>
      </c>
      <c r="I1178" s="0">
        <v>29.99</v>
      </c>
      <c r="J1178" s="0">
        <v>14</v>
      </c>
    </row>
    <row r="1179" spans="1:10" customHeight="0">
      <c r="A1179" s="0">
        <f>HYPERLINK("https://dl.dropboxusercontent.com/scl/fi/cdzdcoaoztrqtd6rqa07c/uni-set-f.jpg?rlkey=5cf8oaa5da508czobpw06qasg&amp;dl=0","Click to download Image")</f>
      </c>
      <c r="C1179" s="0" t="inlineStr">
        <is>
          <t>Bryn Infant Bodysuit</t>
        </is>
      </c>
      <c r="D1179" s="0" t="inlineStr">
        <is>
          <t>'123124</t>
        </is>
      </c>
      <c r="E1179" s="0" t="inlineStr">
        <is>
          <t>UNI BRYN I GD 12PK:123124Z-12PK</t>
        </is>
      </c>
      <c r="F1179" s="0" t="inlineStr">
        <is>
          <t>'802123124997</t>
        </is>
      </c>
      <c r="G1179" s="0" t="inlineStr">
        <is>
          <t>INFANT</t>
        </is>
      </c>
      <c r="H1179" s="0" t="inlineStr">
        <is>
          <t>12 PACK</t>
        </is>
      </c>
      <c r="I1179" s="0">
        <v>288</v>
      </c>
      <c r="J1179" s="0">
        <v>4</v>
      </c>
    </row>
    <row r="1180" spans="1:10" customHeight="0">
      <c r="A1180" s="0">
        <f>HYPERLINK("https://dl.dropboxusercontent.com/scl/fi/xpu7j9lw0czwn6c8zwjd8/ndsu-set-f.jpg?rlkey=sy2mtgsi3mgyfkvhifj1e9y2z&amp;dl=0","Click to download Image")</f>
      </c>
      <c r="C1180" s="0" t="inlineStr">
        <is>
          <t>Bryn Infant Bodysuit</t>
        </is>
      </c>
      <c r="D1180" s="0" t="inlineStr">
        <is>
          <t>'123830</t>
        </is>
      </c>
      <c r="E1180" s="0" t="inlineStr">
        <is>
          <t>NDSU BRYN I GD:123830A-0-3M</t>
        </is>
      </c>
      <c r="F1180" s="0" t="inlineStr">
        <is>
          <t>'813123830009</t>
        </is>
      </c>
      <c r="G1180" s="0" t="inlineStr">
        <is>
          <t>INFANT</t>
        </is>
      </c>
      <c r="H1180" s="0" t="inlineStr">
        <is>
          <t>0-3M</t>
        </is>
      </c>
      <c r="I1180" s="0">
        <v>29.99</v>
      </c>
      <c r="J1180" s="0">
        <v>8</v>
      </c>
    </row>
    <row r="1181" spans="1:10" customHeight="0">
      <c r="A1181" s="0">
        <f>HYPERLINK("https://dl.dropboxusercontent.com/scl/fi/xpu7j9lw0czwn6c8zwjd8/ndsu-set-f.jpg?rlkey=sy2mtgsi3mgyfkvhifj1e9y2z&amp;dl=0","Click to download Image")</f>
      </c>
      <c r="C1181" s="0" t="inlineStr">
        <is>
          <t>Bryn Infant Bodysuit</t>
        </is>
      </c>
      <c r="D1181" s="0" t="inlineStr">
        <is>
          <t>'123830</t>
        </is>
      </c>
      <c r="E1181" s="0" t="inlineStr">
        <is>
          <t>NDSU BRYN I GD:123830B-3-6M</t>
        </is>
      </c>
      <c r="F1181" s="0" t="inlineStr">
        <is>
          <t>'813123830016</t>
        </is>
      </c>
      <c r="G1181" s="0" t="inlineStr">
        <is>
          <t>INFANT</t>
        </is>
      </c>
      <c r="H1181" s="0" t="inlineStr">
        <is>
          <t>3-6M</t>
        </is>
      </c>
      <c r="I1181" s="0">
        <v>29.99</v>
      </c>
      <c r="J1181" s="0">
        <v>7</v>
      </c>
    </row>
    <row r="1182" spans="1:10" customHeight="0">
      <c r="A1182" s="0">
        <f>HYPERLINK("https://dl.dropboxusercontent.com/scl/fi/xpu7j9lw0czwn6c8zwjd8/ndsu-set-f.jpg?rlkey=sy2mtgsi3mgyfkvhifj1e9y2z&amp;dl=0","Click to download Image")</f>
      </c>
      <c r="C1182" s="0" t="inlineStr">
        <is>
          <t>Bryn Infant Bodysuit</t>
        </is>
      </c>
      <c r="D1182" s="0" t="inlineStr">
        <is>
          <t>'123830</t>
        </is>
      </c>
      <c r="E1182" s="0" t="inlineStr">
        <is>
          <t>NDSU BRYN I GD:123830C-6-9M</t>
        </is>
      </c>
      <c r="F1182" s="0" t="inlineStr">
        <is>
          <t>'813123830023</t>
        </is>
      </c>
      <c r="G1182" s="0" t="inlineStr">
        <is>
          <t>INFANT</t>
        </is>
      </c>
      <c r="H1182" s="0" t="inlineStr">
        <is>
          <t>6-9M</t>
        </is>
      </c>
      <c r="I1182" s="0">
        <v>29.99</v>
      </c>
      <c r="J1182" s="0">
        <v>5</v>
      </c>
    </row>
    <row r="1183" spans="1:10" customHeight="0">
      <c r="A1183" s="0">
        <f>HYPERLINK("https://dl.dropboxusercontent.com/scl/fi/xpu7j9lw0czwn6c8zwjd8/ndsu-set-f.jpg?rlkey=sy2mtgsi3mgyfkvhifj1e9y2z&amp;dl=0","Click to download Image")</f>
      </c>
      <c r="C1183" s="0" t="inlineStr">
        <is>
          <t>Bryn Infant Bodysuit</t>
        </is>
      </c>
      <c r="D1183" s="0" t="inlineStr">
        <is>
          <t>'123830</t>
        </is>
      </c>
      <c r="E1183" s="0" t="inlineStr">
        <is>
          <t>NDSU BRYN I GD:123830F-12M</t>
        </is>
      </c>
      <c r="F1183" s="0" t="inlineStr">
        <is>
          <t>'813123830030</t>
        </is>
      </c>
      <c r="G1183" s="0" t="inlineStr">
        <is>
          <t>INFANT</t>
        </is>
      </c>
      <c r="H1183" s="0" t="inlineStr">
        <is>
          <t>12M</t>
        </is>
      </c>
      <c r="I1183" s="0">
        <v>29.99</v>
      </c>
      <c r="J1183" s="0">
        <v>5</v>
      </c>
    </row>
    <row r="1184" spans="1:10" customHeight="0">
      <c r="A1184" s="0">
        <f>HYPERLINK("https://dl.dropboxusercontent.com/scl/fi/xpu7j9lw0czwn6c8zwjd8/ndsu-set-f.jpg?rlkey=sy2mtgsi3mgyfkvhifj1e9y2z&amp;dl=0","Click to download Image")</f>
      </c>
      <c r="C1184" s="0" t="inlineStr">
        <is>
          <t>Bryn Infant Bodysuit</t>
        </is>
      </c>
      <c r="D1184" s="0" t="inlineStr">
        <is>
          <t>'123830</t>
        </is>
      </c>
      <c r="E1184" s="0" t="inlineStr">
        <is>
          <t>NDSU BRYN I GD 12PK:123830Z-12PK</t>
        </is>
      </c>
      <c r="F1184" s="0" t="inlineStr">
        <is>
          <t>'813123830993</t>
        </is>
      </c>
      <c r="G1184" s="0" t="inlineStr">
        <is>
          <t>INFANT</t>
        </is>
      </c>
      <c r="H1184" s="0" t="inlineStr">
        <is>
          <t>12 PACK</t>
        </is>
      </c>
      <c r="I1184" s="0">
        <v>288</v>
      </c>
      <c r="J1184" s="0">
        <v>1</v>
      </c>
    </row>
    <row r="1185" spans="1:10" customHeight="0">
      <c r="A1185" s="0">
        <f>HYPERLINK("https://dl.dropboxusercontent.com/scl/fi/91d7x88scjb0ktybbffn7/uni-cali-f.jpg?rlkey=vzkk89eawqhtf4egnqkq0jwfo&amp;dl=0","Click to download Image")</f>
      </c>
      <c r="C1185" s="0" t="inlineStr">
        <is>
          <t>Cali Infant Bodysuit</t>
        </is>
      </c>
      <c r="D1185" s="0" t="inlineStr">
        <is>
          <t>'123087</t>
        </is>
      </c>
      <c r="E1185" s="0" t="inlineStr">
        <is>
          <t>UNI CALI I PE:123087A-0-3M</t>
        </is>
      </c>
      <c r="F1185" s="0" t="inlineStr">
        <is>
          <t>'802123087001</t>
        </is>
      </c>
      <c r="G1185" s="0" t="inlineStr">
        <is>
          <t>INFANT</t>
        </is>
      </c>
      <c r="H1185" s="0" t="inlineStr">
        <is>
          <t>0-3M</t>
        </is>
      </c>
      <c r="I1185" s="0">
        <v>29.99</v>
      </c>
      <c r="J1185" s="0">
        <v>5</v>
      </c>
    </row>
    <row r="1186" spans="1:10" customHeight="0">
      <c r="A1186" s="0">
        <f>HYPERLINK("https://dl.dropboxusercontent.com/scl/fi/91d7x88scjb0ktybbffn7/uni-cali-f.jpg?rlkey=vzkk89eawqhtf4egnqkq0jwfo&amp;dl=0","Click to download Image")</f>
      </c>
      <c r="C1186" s="0" t="inlineStr">
        <is>
          <t>Cali Infant Bodysuit</t>
        </is>
      </c>
      <c r="D1186" s="0" t="inlineStr">
        <is>
          <t>'123087</t>
        </is>
      </c>
      <c r="E1186" s="0" t="inlineStr">
        <is>
          <t>UNI CALI I PE:123087B-3-6M</t>
        </is>
      </c>
      <c r="F1186" s="0" t="inlineStr">
        <is>
          <t>'802123087018</t>
        </is>
      </c>
      <c r="G1186" s="0" t="inlineStr">
        <is>
          <t>INFANT</t>
        </is>
      </c>
      <c r="H1186" s="0" t="inlineStr">
        <is>
          <t>3-6M</t>
        </is>
      </c>
      <c r="I1186" s="0">
        <v>29.99</v>
      </c>
      <c r="J1186" s="0">
        <v>2</v>
      </c>
    </row>
    <row r="1187" spans="1:10" customHeight="0">
      <c r="A1187" s="0">
        <f>HYPERLINK("https://dl.dropboxusercontent.com/scl/fi/91d7x88scjb0ktybbffn7/uni-cali-f.jpg?rlkey=vzkk89eawqhtf4egnqkq0jwfo&amp;dl=0","Click to download Image")</f>
      </c>
      <c r="C1187" s="0" t="inlineStr">
        <is>
          <t>Cali Infant Bodysuit</t>
        </is>
      </c>
      <c r="D1187" s="0" t="inlineStr">
        <is>
          <t>'123087</t>
        </is>
      </c>
      <c r="E1187" s="0" t="inlineStr">
        <is>
          <t>UNI CALI I PE:123087C-6-9M</t>
        </is>
      </c>
      <c r="F1187" s="0" t="inlineStr">
        <is>
          <t>'802123087025</t>
        </is>
      </c>
      <c r="G1187" s="0" t="inlineStr">
        <is>
          <t>INFANT</t>
        </is>
      </c>
      <c r="H1187" s="0" t="inlineStr">
        <is>
          <t>6-9M</t>
        </is>
      </c>
      <c r="I1187" s="0">
        <v>29.99</v>
      </c>
      <c r="J1187" s="0">
        <v>5</v>
      </c>
    </row>
    <row r="1188" spans="1:10" customHeight="0">
      <c r="A1188" s="0">
        <f>HYPERLINK("https://dl.dropboxusercontent.com/scl/fi/91d7x88scjb0ktybbffn7/uni-cali-f.jpg?rlkey=vzkk89eawqhtf4egnqkq0jwfo&amp;dl=0","Click to download Image")</f>
      </c>
      <c r="C1188" s="0" t="inlineStr">
        <is>
          <t>Cali Infant Bodysuit</t>
        </is>
      </c>
      <c r="D1188" s="0" t="inlineStr">
        <is>
          <t>'123087</t>
        </is>
      </c>
      <c r="E1188" s="0" t="inlineStr">
        <is>
          <t>UNI CALI I PE:123087F-12M</t>
        </is>
      </c>
      <c r="F1188" s="0" t="inlineStr">
        <is>
          <t>'802123087032</t>
        </is>
      </c>
      <c r="G1188" s="0" t="inlineStr">
        <is>
          <t>INFANT</t>
        </is>
      </c>
      <c r="H1188" s="0" t="inlineStr">
        <is>
          <t>12M</t>
        </is>
      </c>
      <c r="I1188" s="0">
        <v>29.99</v>
      </c>
      <c r="J1188" s="0">
        <v>4</v>
      </c>
    </row>
    <row r="1189" spans="1:10" customHeight="0">
      <c r="A1189" s="0">
        <f>HYPERLINK("https://dl.dropboxusercontent.com/scl/fi/91d7x88scjb0ktybbffn7/uni-cali-f.jpg?rlkey=vzkk89eawqhtf4egnqkq0jwfo&amp;dl=0","Click to download Image")</f>
      </c>
      <c r="C1189" s="0" t="inlineStr">
        <is>
          <t>Cali Infant Bodysuit</t>
        </is>
      </c>
      <c r="D1189" s="0" t="inlineStr">
        <is>
          <t>'123087</t>
        </is>
      </c>
      <c r="E1189" s="0" t="inlineStr">
        <is>
          <t>UNI CALI I PE 12PK :123087Z-12PK</t>
        </is>
      </c>
      <c r="F1189" s="0" t="inlineStr">
        <is>
          <t>'802123087995</t>
        </is>
      </c>
      <c r="G1189" s="0" t="inlineStr">
        <is>
          <t>INFANT</t>
        </is>
      </c>
      <c r="H1189" s="0" t="inlineStr">
        <is>
          <t>12 PACK</t>
        </is>
      </c>
      <c r="I1189" s="0">
        <v>288</v>
      </c>
      <c r="J1189" s="0">
        <v>0</v>
      </c>
    </row>
    <row r="1190" spans="1:10" customHeight="0">
      <c r="A1190" s="0">
        <f>HYPERLINK("https://dl.dropboxusercontent.com/scl/fi/bhvbekf2vku4m8qu8tmuz/113399-f.jpg?rlkey=96p0fcgtuiy08weq310mdnvbf&amp;dl=0","Click to download Image")</f>
      </c>
      <c r="B1190" s="0">
        <f>HYPERLINK("https://dl.dropboxusercontent.com/scl/fi/mtd5j12pz3mpdfjlrl1ie/mens-jackets-size-chartscolin.jpg?rlkey=zq5zpln55hirdp3c2lnv30scd&amp;dl=0","Click to download SizeChart")</f>
      </c>
      <c r="C1190" s="0" t="inlineStr">
        <is>
          <t>Colin Men's Puffer Jacket</t>
        </is>
      </c>
      <c r="D1190" s="0" t="inlineStr">
        <is>
          <t>'113399</t>
        </is>
      </c>
      <c r="E1190" s="0" t="inlineStr">
        <is>
          <t>UNI COLIN M BLACK:113399A-S</t>
        </is>
      </c>
      <c r="F1190" s="0" t="inlineStr">
        <is>
          <t>'802113399046</t>
        </is>
      </c>
      <c r="G1190" s="0" t="inlineStr">
        <is>
          <t>MENS</t>
        </is>
      </c>
      <c r="H1190" s="0" t="inlineStr">
        <is>
          <t>S</t>
        </is>
      </c>
      <c r="I1190" s="0">
        <v>99.99</v>
      </c>
      <c r="J1190" s="0">
        <v>6</v>
      </c>
    </row>
    <row r="1191" spans="1:10" customHeight="0">
      <c r="A1191" s="0">
        <f>HYPERLINK("https://dl.dropboxusercontent.com/scl/fi/bhvbekf2vku4m8qu8tmuz/113399-f.jpg?rlkey=96p0fcgtuiy08weq310mdnvbf&amp;dl=0","Click to download Image")</f>
      </c>
      <c r="B1191" s="0">
        <f>HYPERLINK("https://dl.dropboxusercontent.com/scl/fi/mtd5j12pz3mpdfjlrl1ie/mens-jackets-size-chartscolin.jpg?rlkey=zq5zpln55hirdp3c2lnv30scd&amp;dl=0","Click to download SizeChart")</f>
      </c>
      <c r="C1191" s="0" t="inlineStr">
        <is>
          <t>Colin Men's Puffer Jacket</t>
        </is>
      </c>
      <c r="D1191" s="0" t="inlineStr">
        <is>
          <t>'113399</t>
        </is>
      </c>
      <c r="E1191" s="0" t="inlineStr">
        <is>
          <t>UNI COLIN M BLACK:113399B-M</t>
        </is>
      </c>
      <c r="F1191" s="0" t="inlineStr">
        <is>
          <t>'802113399053</t>
        </is>
      </c>
      <c r="G1191" s="0" t="inlineStr">
        <is>
          <t>MENS</t>
        </is>
      </c>
      <c r="H1191" s="0" t="inlineStr">
        <is>
          <t>M</t>
        </is>
      </c>
      <c r="I1191" s="0">
        <v>99.99</v>
      </c>
      <c r="J1191" s="0">
        <v>11</v>
      </c>
    </row>
    <row r="1192" spans="1:10" customHeight="0">
      <c r="A1192" s="0">
        <f>HYPERLINK("https://dl.dropboxusercontent.com/scl/fi/bhvbekf2vku4m8qu8tmuz/113399-f.jpg?rlkey=96p0fcgtuiy08weq310mdnvbf&amp;dl=0","Click to download Image")</f>
      </c>
      <c r="B1192" s="0">
        <f>HYPERLINK("https://dl.dropboxusercontent.com/scl/fi/mtd5j12pz3mpdfjlrl1ie/mens-jackets-size-chartscolin.jpg?rlkey=zq5zpln55hirdp3c2lnv30scd&amp;dl=0","Click to download SizeChart")</f>
      </c>
      <c r="C1192" s="0" t="inlineStr">
        <is>
          <t>Colin Men's Puffer Jacket</t>
        </is>
      </c>
      <c r="D1192" s="0" t="inlineStr">
        <is>
          <t>'113399</t>
        </is>
      </c>
      <c r="E1192" s="0" t="inlineStr">
        <is>
          <t>UNI COLIN M BLACK:113399C-L</t>
        </is>
      </c>
      <c r="F1192" s="0" t="inlineStr">
        <is>
          <t>'802113399060</t>
        </is>
      </c>
      <c r="G1192" s="0" t="inlineStr">
        <is>
          <t>MENS</t>
        </is>
      </c>
      <c r="H1192" s="0" t="inlineStr">
        <is>
          <t>L</t>
        </is>
      </c>
      <c r="I1192" s="0">
        <v>99.99</v>
      </c>
      <c r="J1192" s="0">
        <v>6</v>
      </c>
    </row>
    <row r="1193" spans="1:10" customHeight="0">
      <c r="A1193" s="0">
        <f>HYPERLINK("https://dl.dropboxusercontent.com/scl/fi/bhvbekf2vku4m8qu8tmuz/113399-f.jpg?rlkey=96p0fcgtuiy08weq310mdnvbf&amp;dl=0","Click to download Image")</f>
      </c>
      <c r="B1193" s="0">
        <f>HYPERLINK("https://dl.dropboxusercontent.com/scl/fi/mtd5j12pz3mpdfjlrl1ie/mens-jackets-size-chartscolin.jpg?rlkey=zq5zpln55hirdp3c2lnv30scd&amp;dl=0","Click to download SizeChart")</f>
      </c>
      <c r="C1193" s="0" t="inlineStr">
        <is>
          <t>Colin Men's Puffer Jacket</t>
        </is>
      </c>
      <c r="D1193" s="0" t="inlineStr">
        <is>
          <t>'113399</t>
        </is>
      </c>
      <c r="E1193" s="0" t="inlineStr">
        <is>
          <t>UNI COLIN M BLACK:113399D-XL</t>
        </is>
      </c>
      <c r="F1193" s="0" t="inlineStr">
        <is>
          <t>'802113399077</t>
        </is>
      </c>
      <c r="G1193" s="0" t="inlineStr">
        <is>
          <t>MENS</t>
        </is>
      </c>
      <c r="H1193" s="0" t="inlineStr">
        <is>
          <t>XL</t>
        </is>
      </c>
      <c r="I1193" s="0">
        <v>99.99</v>
      </c>
      <c r="J1193" s="0">
        <v>9</v>
      </c>
    </row>
    <row r="1194" spans="1:10" customHeight="0">
      <c r="A1194" s="0">
        <f>HYPERLINK("https://dl.dropboxusercontent.com/scl/fi/bhvbekf2vku4m8qu8tmuz/113399-f.jpg?rlkey=96p0fcgtuiy08weq310mdnvbf&amp;dl=0","Click to download Image")</f>
      </c>
      <c r="B1194" s="0">
        <f>HYPERLINK("https://dl.dropboxusercontent.com/scl/fi/mtd5j12pz3mpdfjlrl1ie/mens-jackets-size-chartscolin.jpg?rlkey=zq5zpln55hirdp3c2lnv30scd&amp;dl=0","Click to download SizeChart")</f>
      </c>
      <c r="C1194" s="0" t="inlineStr">
        <is>
          <t>Colin Men's Puffer Jacket</t>
        </is>
      </c>
      <c r="D1194" s="0" t="inlineStr">
        <is>
          <t>'113399</t>
        </is>
      </c>
      <c r="E1194" s="0" t="inlineStr">
        <is>
          <t>UNI COLIN M BLACK:113399E-2XL</t>
        </is>
      </c>
      <c r="F1194" s="0" t="inlineStr">
        <is>
          <t>'802113399084</t>
        </is>
      </c>
      <c r="G1194" s="0" t="inlineStr">
        <is>
          <t>MENS</t>
        </is>
      </c>
      <c r="H1194" s="0" t="inlineStr">
        <is>
          <t>2XL</t>
        </is>
      </c>
      <c r="I1194" s="0">
        <v>99.99</v>
      </c>
      <c r="J1194" s="0">
        <v>10</v>
      </c>
    </row>
    <row r="1195" spans="1:10" customHeight="0">
      <c r="A1195" s="0">
        <f>HYPERLINK("https://dl.dropboxusercontent.com/scl/fi/bhvbekf2vku4m8qu8tmuz/113399-f.jpg?rlkey=96p0fcgtuiy08weq310mdnvbf&amp;dl=0","Click to download Image")</f>
      </c>
      <c r="B1195" s="0">
        <f>HYPERLINK("https://dl.dropboxusercontent.com/scl/fi/mtd5j12pz3mpdfjlrl1ie/mens-jackets-size-chartscolin.jpg?rlkey=zq5zpln55hirdp3c2lnv30scd&amp;dl=0","Click to download SizeChart")</f>
      </c>
      <c r="C1195" s="0" t="inlineStr">
        <is>
          <t>Colin Men's Puffer Jacket</t>
        </is>
      </c>
      <c r="D1195" s="0" t="inlineStr">
        <is>
          <t>'113399</t>
        </is>
      </c>
      <c r="E1195" s="0" t="inlineStr">
        <is>
          <t>UNI COLIN M BLACK:113399F-3XL</t>
        </is>
      </c>
      <c r="F1195" s="0" t="inlineStr">
        <is>
          <t>'802113399091</t>
        </is>
      </c>
      <c r="G1195" s="0" t="inlineStr">
        <is>
          <t>MENS</t>
        </is>
      </c>
      <c r="H1195" s="0" t="inlineStr">
        <is>
          <t>3XL</t>
        </is>
      </c>
      <c r="I1195" s="0">
        <v>99.99</v>
      </c>
      <c r="J1195" s="0">
        <v>5</v>
      </c>
    </row>
    <row r="1196" spans="1:10" customHeight="0">
      <c r="A1196" s="0">
        <f>HYPERLINK("https://dl.dropboxusercontent.com/scl/fi/bhvbekf2vku4m8qu8tmuz/113399-f.jpg?rlkey=96p0fcgtuiy08weq310mdnvbf&amp;dl=0","Click to download Image")</f>
      </c>
      <c r="B1196" s="0">
        <f>HYPERLINK("https://dl.dropboxusercontent.com/scl/fi/mtd5j12pz3mpdfjlrl1ie/mens-jackets-size-chartscolin.jpg?rlkey=zq5zpln55hirdp3c2lnv30scd&amp;dl=0","Click to download SizeChart")</f>
      </c>
      <c r="C1196" s="0" t="inlineStr">
        <is>
          <t>Colin Men's Puffer Jacket</t>
        </is>
      </c>
      <c r="D1196" s="0" t="inlineStr">
        <is>
          <t>'113399</t>
        </is>
      </c>
      <c r="E1196" s="0" t="inlineStr">
        <is>
          <t>UNI COLIN M BLACK 12 PACK:113399Z-12PK</t>
        </is>
      </c>
      <c r="F1196" s="0" t="inlineStr">
        <is>
          <t>'802113399992</t>
        </is>
      </c>
      <c r="G1196" s="0" t="inlineStr">
        <is>
          <t>MENS</t>
        </is>
      </c>
      <c r="H1196" s="0" t="inlineStr">
        <is>
          <t>12 PACK</t>
        </is>
      </c>
      <c r="I1196" s="0">
        <v>966</v>
      </c>
      <c r="J1196" s="0">
        <v>2</v>
      </c>
    </row>
    <row r="1197" spans="1:10" customHeight="0">
      <c r="A1197" s="0">
        <f>HYPERLINK("https://dl.dropboxusercontent.com/scl/fi/t30zir0xsgug02fo3ds1z/113397f39366.jpg?rlkey=3g8zze4r6jgjdba6axpkhn0qa&amp;dl=0","Click to download Image")</f>
      </c>
      <c r="B1197" s="0">
        <f>HYPERLINK("https://dl.dropboxusercontent.com/scl/fi/mtd5j12pz3mpdfjlrl1ie/mens-jackets-size-chartscolin.jpg?rlkey=zq5zpln55hirdp3c2lnv30scd&amp;dl=0","Click to download SizeChart")</f>
      </c>
      <c r="C1197" s="0" t="inlineStr">
        <is>
          <t>Colin Men's Puffer Jacket</t>
        </is>
      </c>
      <c r="D1197" s="0" t="inlineStr">
        <is>
          <t>'113398</t>
        </is>
      </c>
      <c r="E1197" s="0" t="inlineStr">
        <is>
          <t>ISU COLIN M BLACK:113398A-S</t>
        </is>
      </c>
      <c r="F1197" s="0" t="inlineStr">
        <is>
          <t>'801113398042</t>
        </is>
      </c>
      <c r="G1197" s="0" t="inlineStr">
        <is>
          <t>MENS</t>
        </is>
      </c>
      <c r="H1197" s="0" t="inlineStr">
        <is>
          <t>S</t>
        </is>
      </c>
      <c r="I1197" s="0">
        <v>99.99</v>
      </c>
      <c r="J1197" s="0">
        <v>5</v>
      </c>
    </row>
    <row r="1198" spans="1:10" customHeight="0">
      <c r="A1198" s="0">
        <f>HYPERLINK("https://dl.dropboxusercontent.com/scl/fi/t30zir0xsgug02fo3ds1z/113397f39366.jpg?rlkey=3g8zze4r6jgjdba6axpkhn0qa&amp;dl=0","Click to download Image")</f>
      </c>
      <c r="B1198" s="0">
        <f>HYPERLINK("https://dl.dropboxusercontent.com/scl/fi/mtd5j12pz3mpdfjlrl1ie/mens-jackets-size-chartscolin.jpg?rlkey=zq5zpln55hirdp3c2lnv30scd&amp;dl=0","Click to download SizeChart")</f>
      </c>
      <c r="C1198" s="0" t="inlineStr">
        <is>
          <t>Colin Men's Puffer Jacket</t>
        </is>
      </c>
      <c r="D1198" s="0" t="inlineStr">
        <is>
          <t>'113398</t>
        </is>
      </c>
      <c r="E1198" s="0" t="inlineStr">
        <is>
          <t>ISU COLIN M BLACK:113398B-M</t>
        </is>
      </c>
      <c r="F1198" s="0" t="inlineStr">
        <is>
          <t>'801113398059</t>
        </is>
      </c>
      <c r="G1198" s="0" t="inlineStr">
        <is>
          <t>MENS</t>
        </is>
      </c>
      <c r="H1198" s="0" t="inlineStr">
        <is>
          <t>M</t>
        </is>
      </c>
      <c r="I1198" s="0">
        <v>99.99</v>
      </c>
      <c r="J1198" s="0">
        <v>13</v>
      </c>
    </row>
    <row r="1199" spans="1:10" customHeight="0">
      <c r="A1199" s="0">
        <f>HYPERLINK("https://dl.dropboxusercontent.com/scl/fi/t30zir0xsgug02fo3ds1z/113397f39366.jpg?rlkey=3g8zze4r6jgjdba6axpkhn0qa&amp;dl=0","Click to download Image")</f>
      </c>
      <c r="B1199" s="0">
        <f>HYPERLINK("https://dl.dropboxusercontent.com/scl/fi/mtd5j12pz3mpdfjlrl1ie/mens-jackets-size-chartscolin.jpg?rlkey=zq5zpln55hirdp3c2lnv30scd&amp;dl=0","Click to download SizeChart")</f>
      </c>
      <c r="C1199" s="0" t="inlineStr">
        <is>
          <t>Colin Men's Puffer Jacket</t>
        </is>
      </c>
      <c r="D1199" s="0" t="inlineStr">
        <is>
          <t>'113398</t>
        </is>
      </c>
      <c r="E1199" s="0" t="inlineStr">
        <is>
          <t>ISU COLIN M BLACK:113398C-L</t>
        </is>
      </c>
      <c r="F1199" s="0" t="inlineStr">
        <is>
          <t>'801113398066</t>
        </is>
      </c>
      <c r="G1199" s="0" t="inlineStr">
        <is>
          <t>MENS</t>
        </is>
      </c>
      <c r="H1199" s="0" t="inlineStr">
        <is>
          <t>L</t>
        </is>
      </c>
      <c r="I1199" s="0">
        <v>99.99</v>
      </c>
      <c r="J1199" s="0">
        <v>26</v>
      </c>
    </row>
    <row r="1200" spans="1:10" customHeight="0">
      <c r="A1200" s="0">
        <f>HYPERLINK("https://dl.dropboxusercontent.com/scl/fi/t30zir0xsgug02fo3ds1z/113397f39366.jpg?rlkey=3g8zze4r6jgjdba6axpkhn0qa&amp;dl=0","Click to download Image")</f>
      </c>
      <c r="B1200" s="0">
        <f>HYPERLINK("https://dl.dropboxusercontent.com/scl/fi/mtd5j12pz3mpdfjlrl1ie/mens-jackets-size-chartscolin.jpg?rlkey=zq5zpln55hirdp3c2lnv30scd&amp;dl=0","Click to download SizeChart")</f>
      </c>
      <c r="C1200" s="0" t="inlineStr">
        <is>
          <t>Colin Men's Puffer Jacket</t>
        </is>
      </c>
      <c r="D1200" s="0" t="inlineStr">
        <is>
          <t>'113398</t>
        </is>
      </c>
      <c r="E1200" s="0" t="inlineStr">
        <is>
          <t>ISU COLIN M BLACK:113398D-XL</t>
        </is>
      </c>
      <c r="F1200" s="0" t="inlineStr">
        <is>
          <t>'801113398073</t>
        </is>
      </c>
      <c r="G1200" s="0" t="inlineStr">
        <is>
          <t>MENS</t>
        </is>
      </c>
      <c r="H1200" s="0" t="inlineStr">
        <is>
          <t>XL</t>
        </is>
      </c>
      <c r="I1200" s="0">
        <v>99.99</v>
      </c>
      <c r="J1200" s="0">
        <v>16</v>
      </c>
    </row>
    <row r="1201" spans="1:10" customHeight="0">
      <c r="A1201" s="0">
        <f>HYPERLINK("https://dl.dropboxusercontent.com/scl/fi/t30zir0xsgug02fo3ds1z/113397f39366.jpg?rlkey=3g8zze4r6jgjdba6axpkhn0qa&amp;dl=0","Click to download Image")</f>
      </c>
      <c r="B1201" s="0">
        <f>HYPERLINK("https://dl.dropboxusercontent.com/scl/fi/mtd5j12pz3mpdfjlrl1ie/mens-jackets-size-chartscolin.jpg?rlkey=zq5zpln55hirdp3c2lnv30scd&amp;dl=0","Click to download SizeChart")</f>
      </c>
      <c r="C1201" s="0" t="inlineStr">
        <is>
          <t>Colin Men's Puffer Jacket</t>
        </is>
      </c>
      <c r="D1201" s="0" t="inlineStr">
        <is>
          <t>'113398</t>
        </is>
      </c>
      <c r="E1201" s="0" t="inlineStr">
        <is>
          <t>ISU COLIN M BLACK:113398E-2XL</t>
        </is>
      </c>
      <c r="F1201" s="0" t="inlineStr">
        <is>
          <t>'801113398080</t>
        </is>
      </c>
      <c r="G1201" s="0" t="inlineStr">
        <is>
          <t>MENS</t>
        </is>
      </c>
      <c r="H1201" s="0" t="inlineStr">
        <is>
          <t>2XL</t>
        </is>
      </c>
      <c r="I1201" s="0">
        <v>99.99</v>
      </c>
      <c r="J1201" s="0">
        <v>10</v>
      </c>
    </row>
    <row r="1202" spans="1:10" customHeight="0">
      <c r="A1202" s="0">
        <f>HYPERLINK("https://dl.dropboxusercontent.com/scl/fi/t30zir0xsgug02fo3ds1z/113397f39366.jpg?rlkey=3g8zze4r6jgjdba6axpkhn0qa&amp;dl=0","Click to download Image")</f>
      </c>
      <c r="B1202" s="0">
        <f>HYPERLINK("https://dl.dropboxusercontent.com/scl/fi/mtd5j12pz3mpdfjlrl1ie/mens-jackets-size-chartscolin.jpg?rlkey=zq5zpln55hirdp3c2lnv30scd&amp;dl=0","Click to download SizeChart")</f>
      </c>
      <c r="C1202" s="0" t="inlineStr">
        <is>
          <t>Colin Men's Puffer Jacket</t>
        </is>
      </c>
      <c r="D1202" s="0" t="inlineStr">
        <is>
          <t>'113398</t>
        </is>
      </c>
      <c r="E1202" s="0" t="inlineStr">
        <is>
          <t>ISU COLIN M BLACK:113398F-3XL</t>
        </is>
      </c>
      <c r="F1202" s="0" t="inlineStr">
        <is>
          <t>'801113398097</t>
        </is>
      </c>
      <c r="G1202" s="0" t="inlineStr">
        <is>
          <t>MENS</t>
        </is>
      </c>
      <c r="H1202" s="0" t="inlineStr">
        <is>
          <t>3XL</t>
        </is>
      </c>
      <c r="I1202" s="0">
        <v>99.99</v>
      </c>
      <c r="J1202" s="0">
        <v>3</v>
      </c>
    </row>
    <row r="1203" spans="1:10" customHeight="0">
      <c r="A1203" s="0">
        <f>HYPERLINK("https://dl.dropboxusercontent.com/scl/fi/t30zir0xsgug02fo3ds1z/113397f39366.jpg?rlkey=3g8zze4r6jgjdba6axpkhn0qa&amp;dl=0","Click to download Image")</f>
      </c>
      <c r="B1203" s="0">
        <f>HYPERLINK("https://dl.dropboxusercontent.com/scl/fi/mtd5j12pz3mpdfjlrl1ie/mens-jackets-size-chartscolin.jpg?rlkey=zq5zpln55hirdp3c2lnv30scd&amp;dl=0","Click to download SizeChart")</f>
      </c>
      <c r="C1203" s="0" t="inlineStr">
        <is>
          <t>Colin Men's Puffer Jacket</t>
        </is>
      </c>
      <c r="D1203" s="0" t="inlineStr">
        <is>
          <t>'113398</t>
        </is>
      </c>
      <c r="E1203" s="0" t="inlineStr">
        <is>
          <t>ISU COLIN M BLACK 12 PACK:113398Z-12PK</t>
        </is>
      </c>
      <c r="F1203" s="0" t="inlineStr">
        <is>
          <t>'801113398998</t>
        </is>
      </c>
      <c r="G1203" s="0" t="inlineStr">
        <is>
          <t>MENS</t>
        </is>
      </c>
      <c r="H1203" s="0" t="inlineStr">
        <is>
          <t>12 PACK</t>
        </is>
      </c>
      <c r="I1203" s="0">
        <v>966</v>
      </c>
      <c r="J1203" s="0">
        <v>4</v>
      </c>
    </row>
    <row r="1204" spans="1:10" customHeight="0">
      <c r="A1204" s="0">
        <f>HYPERLINK("https://dl.dropboxusercontent.com/scl/fi/2qxvf0ykql7boan8q8m6q/dsc0196-2.jpg?rlkey=4uqncueqqm7miyukqvictlbt3&amp;dl=0","Click to download Image")</f>
      </c>
      <c r="B1204" s="0">
        <f>HYPERLINK("https://dl.dropboxusercontent.com/scl/fi/mtd5j12pz3mpdfjlrl1ie/mens-jackets-size-chartscolin.jpg?rlkey=zq5zpln55hirdp3c2lnv30scd&amp;dl=0","Click to download SizeChart")</f>
      </c>
      <c r="C1204" s="0" t="inlineStr">
        <is>
          <t>Colin Men's Puffer Jacket</t>
        </is>
      </c>
      <c r="D1204" s="0" t="inlineStr">
        <is>
          <t>'113397</t>
        </is>
      </c>
      <c r="E1204" s="0" t="inlineStr">
        <is>
          <t>IOWA COLIN M BLACK:113397A-S</t>
        </is>
      </c>
      <c r="F1204" s="0" t="inlineStr">
        <is>
          <t>'800113397048</t>
        </is>
      </c>
      <c r="G1204" s="0" t="inlineStr">
        <is>
          <t>MENS</t>
        </is>
      </c>
      <c r="H1204" s="0" t="inlineStr">
        <is>
          <t>S</t>
        </is>
      </c>
      <c r="I1204" s="0">
        <v>99.99</v>
      </c>
      <c r="J1204" s="0">
        <v>18</v>
      </c>
    </row>
    <row r="1205" spans="1:10" customHeight="0">
      <c r="A1205" s="0">
        <f>HYPERLINK("https://dl.dropboxusercontent.com/scl/fi/2qxvf0ykql7boan8q8m6q/dsc0196-2.jpg?rlkey=4uqncueqqm7miyukqvictlbt3&amp;dl=0","Click to download Image")</f>
      </c>
      <c r="B1205" s="0">
        <f>HYPERLINK("https://dl.dropboxusercontent.com/scl/fi/mtd5j12pz3mpdfjlrl1ie/mens-jackets-size-chartscolin.jpg?rlkey=zq5zpln55hirdp3c2lnv30scd&amp;dl=0","Click to download SizeChart")</f>
      </c>
      <c r="C1205" s="0" t="inlineStr">
        <is>
          <t>Colin Men's Puffer Jacket</t>
        </is>
      </c>
      <c r="D1205" s="0" t="inlineStr">
        <is>
          <t>'113397</t>
        </is>
      </c>
      <c r="E1205" s="0" t="inlineStr">
        <is>
          <t>IOWA COLIN M BLACK:113397B-M</t>
        </is>
      </c>
      <c r="F1205" s="0" t="inlineStr">
        <is>
          <t>'800113397055</t>
        </is>
      </c>
      <c r="G1205" s="0" t="inlineStr">
        <is>
          <t>MENS</t>
        </is>
      </c>
      <c r="H1205" s="0" t="inlineStr">
        <is>
          <t>M</t>
        </is>
      </c>
      <c r="I1205" s="0">
        <v>99.99</v>
      </c>
      <c r="J1205" s="0">
        <v>25</v>
      </c>
    </row>
    <row r="1206" spans="1:10" customHeight="0">
      <c r="A1206" s="0">
        <f>HYPERLINK("https://dl.dropboxusercontent.com/scl/fi/2qxvf0ykql7boan8q8m6q/dsc0196-2.jpg?rlkey=4uqncueqqm7miyukqvictlbt3&amp;dl=0","Click to download Image")</f>
      </c>
      <c r="B1206" s="0">
        <f>HYPERLINK("https://dl.dropboxusercontent.com/scl/fi/mtd5j12pz3mpdfjlrl1ie/mens-jackets-size-chartscolin.jpg?rlkey=zq5zpln55hirdp3c2lnv30scd&amp;dl=0","Click to download SizeChart")</f>
      </c>
      <c r="C1206" s="0" t="inlineStr">
        <is>
          <t>Colin Men's Puffer Jacket</t>
        </is>
      </c>
      <c r="D1206" s="0" t="inlineStr">
        <is>
          <t>'113397</t>
        </is>
      </c>
      <c r="E1206" s="0" t="inlineStr">
        <is>
          <t>IOWA COLIN M BLACK:113397C-L</t>
        </is>
      </c>
      <c r="F1206" s="0" t="inlineStr">
        <is>
          <t>'800113397062</t>
        </is>
      </c>
      <c r="G1206" s="0" t="inlineStr">
        <is>
          <t>MENS</t>
        </is>
      </c>
      <c r="H1206" s="0" t="inlineStr">
        <is>
          <t>L</t>
        </is>
      </c>
      <c r="I1206" s="0">
        <v>99.99</v>
      </c>
      <c r="J1206" s="0">
        <v>30</v>
      </c>
    </row>
    <row r="1207" spans="1:10" customHeight="0">
      <c r="A1207" s="0">
        <f>HYPERLINK("https://dl.dropboxusercontent.com/scl/fi/2qxvf0ykql7boan8q8m6q/dsc0196-2.jpg?rlkey=4uqncueqqm7miyukqvictlbt3&amp;dl=0","Click to download Image")</f>
      </c>
      <c r="B1207" s="0">
        <f>HYPERLINK("https://dl.dropboxusercontent.com/scl/fi/mtd5j12pz3mpdfjlrl1ie/mens-jackets-size-chartscolin.jpg?rlkey=zq5zpln55hirdp3c2lnv30scd&amp;dl=0","Click to download SizeChart")</f>
      </c>
      <c r="C1207" s="0" t="inlineStr">
        <is>
          <t>Colin Men's Puffer Jacket</t>
        </is>
      </c>
      <c r="D1207" s="0" t="inlineStr">
        <is>
          <t>'113397</t>
        </is>
      </c>
      <c r="E1207" s="0" t="inlineStr">
        <is>
          <t>IOWA COLIN M BLACK:113397D-XL</t>
        </is>
      </c>
      <c r="F1207" s="0" t="inlineStr">
        <is>
          <t>'800113397079</t>
        </is>
      </c>
      <c r="G1207" s="0" t="inlineStr">
        <is>
          <t>MENS</t>
        </is>
      </c>
      <c r="H1207" s="0" t="inlineStr">
        <is>
          <t>XL</t>
        </is>
      </c>
      <c r="I1207" s="0">
        <v>99.99</v>
      </c>
      <c r="J1207" s="0">
        <v>20</v>
      </c>
    </row>
    <row r="1208" spans="1:10" customHeight="0">
      <c r="A1208" s="0">
        <f>HYPERLINK("https://dl.dropboxusercontent.com/scl/fi/2qxvf0ykql7boan8q8m6q/dsc0196-2.jpg?rlkey=4uqncueqqm7miyukqvictlbt3&amp;dl=0","Click to download Image")</f>
      </c>
      <c r="B1208" s="0">
        <f>HYPERLINK("https://dl.dropboxusercontent.com/scl/fi/mtd5j12pz3mpdfjlrl1ie/mens-jackets-size-chartscolin.jpg?rlkey=zq5zpln55hirdp3c2lnv30scd&amp;dl=0","Click to download SizeChart")</f>
      </c>
      <c r="C1208" s="0" t="inlineStr">
        <is>
          <t>Colin Men's Puffer Jacket</t>
        </is>
      </c>
      <c r="D1208" s="0" t="inlineStr">
        <is>
          <t>'113397</t>
        </is>
      </c>
      <c r="E1208" s="0" t="inlineStr">
        <is>
          <t>IOWA COLIN M BLACK:113397E-2XL</t>
        </is>
      </c>
      <c r="F1208" s="0" t="inlineStr">
        <is>
          <t>'800113397086</t>
        </is>
      </c>
      <c r="G1208" s="0" t="inlineStr">
        <is>
          <t>MENS</t>
        </is>
      </c>
      <c r="H1208" s="0" t="inlineStr">
        <is>
          <t>2XL</t>
        </is>
      </c>
      <c r="I1208" s="0">
        <v>99.99</v>
      </c>
      <c r="J1208" s="0">
        <v>7</v>
      </c>
    </row>
    <row r="1209" spans="1:10" customHeight="0">
      <c r="A1209" s="0">
        <f>HYPERLINK("https://dl.dropboxusercontent.com/scl/fi/2qxvf0ykql7boan8q8m6q/dsc0196-2.jpg?rlkey=4uqncueqqm7miyukqvictlbt3&amp;dl=0","Click to download Image")</f>
      </c>
      <c r="B1209" s="0">
        <f>HYPERLINK("https://dl.dropboxusercontent.com/scl/fi/mtd5j12pz3mpdfjlrl1ie/mens-jackets-size-chartscolin.jpg?rlkey=zq5zpln55hirdp3c2lnv30scd&amp;dl=0","Click to download SizeChart")</f>
      </c>
      <c r="C1209" s="0" t="inlineStr">
        <is>
          <t>Colin Men's Puffer Jacket</t>
        </is>
      </c>
      <c r="D1209" s="0" t="inlineStr">
        <is>
          <t>'113397</t>
        </is>
      </c>
      <c r="E1209" s="0" t="inlineStr">
        <is>
          <t>IOWA COLIN M BLACK:113397F-3XL</t>
        </is>
      </c>
      <c r="F1209" s="0" t="inlineStr">
        <is>
          <t>'800113397093</t>
        </is>
      </c>
      <c r="G1209" s="0" t="inlineStr">
        <is>
          <t>MENS</t>
        </is>
      </c>
      <c r="H1209" s="0" t="inlineStr">
        <is>
          <t>3XL</t>
        </is>
      </c>
      <c r="I1209" s="0">
        <v>99.99</v>
      </c>
      <c r="J1209" s="0">
        <v>7</v>
      </c>
    </row>
    <row r="1210" spans="1:10" customHeight="0">
      <c r="A1210" s="0">
        <f>HYPERLINK("https://dl.dropboxusercontent.com/scl/fi/2qxvf0ykql7boan8q8m6q/dsc0196-2.jpg?rlkey=4uqncueqqm7miyukqvictlbt3&amp;dl=0","Click to download Image")</f>
      </c>
      <c r="B1210" s="0">
        <f>HYPERLINK("https://dl.dropboxusercontent.com/scl/fi/mtd5j12pz3mpdfjlrl1ie/mens-jackets-size-chartscolin.jpg?rlkey=zq5zpln55hirdp3c2lnv30scd&amp;dl=0","Click to download SizeChart")</f>
      </c>
      <c r="C1210" s="0" t="inlineStr">
        <is>
          <t>Colin Men's Puffer Jacket</t>
        </is>
      </c>
      <c r="D1210" s="0" t="inlineStr">
        <is>
          <t>'113397</t>
        </is>
      </c>
      <c r="E1210" s="0" t="inlineStr">
        <is>
          <t>IOWA COLIN M BLACK 12 PACK:113397Z-12PK</t>
        </is>
      </c>
      <c r="F1210" s="0" t="inlineStr">
        <is>
          <t>'800113397994</t>
        </is>
      </c>
      <c r="G1210" s="0" t="inlineStr">
        <is>
          <t>MENS</t>
        </is>
      </c>
      <c r="H1210" s="0" t="inlineStr">
        <is>
          <t>12 PACK</t>
        </is>
      </c>
      <c r="I1210" s="0">
        <v>966</v>
      </c>
      <c r="J1210" s="0">
        <v>3</v>
      </c>
    </row>
    <row r="1211" spans="1:10" customHeight="0">
      <c r="A1211" s="0">
        <f>HYPERLINK("https://dl.dropboxusercontent.com/scl/fi/72yc70t4ul1b9z55nv65g/ndsu56628.jpg?rlkey=41k0m7zbrxui4ihjvx0fsgrgi&amp;dl=0","Click to download Image")</f>
      </c>
      <c r="B1211" s="0">
        <f>HYPERLINK("https://dl.dropboxusercontent.com/scl/fi/mtd5j12pz3mpdfjlrl1ie/mens-jackets-size-chartscolin.jpg?rlkey=zq5zpln55hirdp3c2lnv30scd&amp;dl=0","Click to download SizeChart")</f>
      </c>
      <c r="C1211" s="0" t="inlineStr">
        <is>
          <t>Colin Men's Puffer Jacket</t>
        </is>
      </c>
      <c r="D1211" s="0" t="inlineStr">
        <is>
          <t>'123492</t>
        </is>
      </c>
      <c r="E1211" s="0" t="inlineStr">
        <is>
          <t>NDSU COLIN M BK:123492A-S</t>
        </is>
      </c>
      <c r="F1211" s="0" t="inlineStr">
        <is>
          <t>'813123492047</t>
        </is>
      </c>
      <c r="G1211" s="0" t="inlineStr">
        <is>
          <t>MENS</t>
        </is>
      </c>
      <c r="H1211" s="0" t="inlineStr">
        <is>
          <t>S</t>
        </is>
      </c>
      <c r="I1211" s="0">
        <v>99.99</v>
      </c>
      <c r="J1211" s="0">
        <v>1</v>
      </c>
    </row>
    <row r="1212" spans="1:10" customHeight="0">
      <c r="A1212" s="0">
        <f>HYPERLINK("https://dl.dropboxusercontent.com/scl/fi/72yc70t4ul1b9z55nv65g/ndsu56628.jpg?rlkey=41k0m7zbrxui4ihjvx0fsgrgi&amp;dl=0","Click to download Image")</f>
      </c>
      <c r="B1212" s="0">
        <f>HYPERLINK("https://dl.dropboxusercontent.com/scl/fi/mtd5j12pz3mpdfjlrl1ie/mens-jackets-size-chartscolin.jpg?rlkey=zq5zpln55hirdp3c2lnv30scd&amp;dl=0","Click to download SizeChart")</f>
      </c>
      <c r="C1212" s="0" t="inlineStr">
        <is>
          <t>Colin Men's Puffer Jacket</t>
        </is>
      </c>
      <c r="D1212" s="0" t="inlineStr">
        <is>
          <t>'123492</t>
        </is>
      </c>
      <c r="E1212" s="0" t="inlineStr">
        <is>
          <t>NDSU COLIN M BK:123492B-M</t>
        </is>
      </c>
      <c r="F1212" s="0" t="inlineStr">
        <is>
          <t>'813123492054</t>
        </is>
      </c>
      <c r="G1212" s="0" t="inlineStr">
        <is>
          <t>MENS</t>
        </is>
      </c>
      <c r="H1212" s="0" t="inlineStr">
        <is>
          <t>M</t>
        </is>
      </c>
      <c r="I1212" s="0">
        <v>99.99</v>
      </c>
      <c r="J1212" s="0">
        <v>3</v>
      </c>
    </row>
    <row r="1213" spans="1:10" customHeight="0">
      <c r="A1213" s="0">
        <f>HYPERLINK("https://dl.dropboxusercontent.com/scl/fi/72yc70t4ul1b9z55nv65g/ndsu56628.jpg?rlkey=41k0m7zbrxui4ihjvx0fsgrgi&amp;dl=0","Click to download Image")</f>
      </c>
      <c r="B1213" s="0">
        <f>HYPERLINK("https://dl.dropboxusercontent.com/scl/fi/mtd5j12pz3mpdfjlrl1ie/mens-jackets-size-chartscolin.jpg?rlkey=zq5zpln55hirdp3c2lnv30scd&amp;dl=0","Click to download SizeChart")</f>
      </c>
      <c r="C1213" s="0" t="inlineStr">
        <is>
          <t>Colin Men's Puffer Jacket</t>
        </is>
      </c>
      <c r="D1213" s="0" t="inlineStr">
        <is>
          <t>'123492</t>
        </is>
      </c>
      <c r="E1213" s="0" t="inlineStr">
        <is>
          <t>NDSU COLIN M BK:123492C-L</t>
        </is>
      </c>
      <c r="F1213" s="0" t="inlineStr">
        <is>
          <t>'813123492061</t>
        </is>
      </c>
      <c r="G1213" s="0" t="inlineStr">
        <is>
          <t>MENS</t>
        </is>
      </c>
      <c r="H1213" s="0" t="inlineStr">
        <is>
          <t>L</t>
        </is>
      </c>
      <c r="I1213" s="0">
        <v>99.99</v>
      </c>
      <c r="J1213" s="0">
        <v>2</v>
      </c>
    </row>
    <row r="1214" spans="1:10" customHeight="0">
      <c r="A1214" s="0">
        <f>HYPERLINK("https://dl.dropboxusercontent.com/scl/fi/72yc70t4ul1b9z55nv65g/ndsu56628.jpg?rlkey=41k0m7zbrxui4ihjvx0fsgrgi&amp;dl=0","Click to download Image")</f>
      </c>
      <c r="B1214" s="0">
        <f>HYPERLINK("https://dl.dropboxusercontent.com/scl/fi/mtd5j12pz3mpdfjlrl1ie/mens-jackets-size-chartscolin.jpg?rlkey=zq5zpln55hirdp3c2lnv30scd&amp;dl=0","Click to download SizeChart")</f>
      </c>
      <c r="C1214" s="0" t="inlineStr">
        <is>
          <t>Colin Men's Puffer Jacket</t>
        </is>
      </c>
      <c r="D1214" s="0" t="inlineStr">
        <is>
          <t>'123492</t>
        </is>
      </c>
      <c r="E1214" s="0" t="inlineStr">
        <is>
          <t>NDSU COLIN M BK:123492D-XL</t>
        </is>
      </c>
      <c r="F1214" s="0" t="inlineStr">
        <is>
          <t>'813123492078</t>
        </is>
      </c>
      <c r="G1214" s="0" t="inlineStr">
        <is>
          <t>MENS</t>
        </is>
      </c>
      <c r="H1214" s="0" t="inlineStr">
        <is>
          <t>XL</t>
        </is>
      </c>
      <c r="I1214" s="0">
        <v>99.99</v>
      </c>
      <c r="J1214" s="0">
        <v>1</v>
      </c>
    </row>
    <row r="1215" spans="1:10" customHeight="0">
      <c r="A1215" s="0">
        <f>HYPERLINK("https://dl.dropboxusercontent.com/scl/fi/72yc70t4ul1b9z55nv65g/ndsu56628.jpg?rlkey=41k0m7zbrxui4ihjvx0fsgrgi&amp;dl=0","Click to download Image")</f>
      </c>
      <c r="B1215" s="0">
        <f>HYPERLINK("https://dl.dropboxusercontent.com/scl/fi/mtd5j12pz3mpdfjlrl1ie/mens-jackets-size-chartscolin.jpg?rlkey=zq5zpln55hirdp3c2lnv30scd&amp;dl=0","Click to download SizeChart")</f>
      </c>
      <c r="C1215" s="0" t="inlineStr">
        <is>
          <t>Colin Men's Puffer Jacket</t>
        </is>
      </c>
      <c r="D1215" s="0" t="inlineStr">
        <is>
          <t>'123492</t>
        </is>
      </c>
      <c r="E1215" s="0" t="inlineStr">
        <is>
          <t>NDSU COLIN M BK:123492E-2XL</t>
        </is>
      </c>
      <c r="F1215" s="0" t="inlineStr">
        <is>
          <t>'813123492085</t>
        </is>
      </c>
      <c r="G1215" s="0" t="inlineStr">
        <is>
          <t>MENS</t>
        </is>
      </c>
      <c r="H1215" s="0" t="inlineStr">
        <is>
          <t>2XL</t>
        </is>
      </c>
      <c r="I1215" s="0">
        <v>99.99</v>
      </c>
      <c r="J1215" s="0">
        <v>0</v>
      </c>
    </row>
    <row r="1216" spans="1:10" customHeight="0">
      <c r="A1216" s="0">
        <f>HYPERLINK("https://dl.dropboxusercontent.com/scl/fi/72yc70t4ul1b9z55nv65g/ndsu56628.jpg?rlkey=41k0m7zbrxui4ihjvx0fsgrgi&amp;dl=0","Click to download Image")</f>
      </c>
      <c r="B1216" s="0">
        <f>HYPERLINK("https://dl.dropboxusercontent.com/scl/fi/mtd5j12pz3mpdfjlrl1ie/mens-jackets-size-chartscolin.jpg?rlkey=zq5zpln55hirdp3c2lnv30scd&amp;dl=0","Click to download SizeChart")</f>
      </c>
      <c r="C1216" s="0" t="inlineStr">
        <is>
          <t>Colin Men's Puffer Jacket</t>
        </is>
      </c>
      <c r="D1216" s="0" t="inlineStr">
        <is>
          <t>'123492</t>
        </is>
      </c>
      <c r="E1216" s="0" t="inlineStr">
        <is>
          <t>NDSU COLIN M BK:123492F-3XL</t>
        </is>
      </c>
      <c r="F1216" s="0" t="inlineStr">
        <is>
          <t>'813123492092</t>
        </is>
      </c>
      <c r="G1216" s="0" t="inlineStr">
        <is>
          <t>MENS</t>
        </is>
      </c>
      <c r="H1216" s="0" t="inlineStr">
        <is>
          <t>3XL</t>
        </is>
      </c>
      <c r="I1216" s="0">
        <v>99.99</v>
      </c>
      <c r="J1216" s="0">
        <v>0</v>
      </c>
    </row>
    <row r="1217" spans="1:10" customHeight="0">
      <c r="A1217" s="0">
        <f>HYPERLINK("https://dl.dropboxusercontent.com/scl/fi/72yc70t4ul1b9z55nv65g/ndsu56628.jpg?rlkey=41k0m7zbrxui4ihjvx0fsgrgi&amp;dl=0","Click to download Image")</f>
      </c>
      <c r="B1217" s="0">
        <f>HYPERLINK("https://dl.dropboxusercontent.com/scl/fi/mtd5j12pz3mpdfjlrl1ie/mens-jackets-size-chartscolin.jpg?rlkey=zq5zpln55hirdp3c2lnv30scd&amp;dl=0","Click to download SizeChart")</f>
      </c>
      <c r="C1217" s="0" t="inlineStr">
        <is>
          <t>Colin Men's Puffer Jacket</t>
        </is>
      </c>
      <c r="D1217" s="0" t="inlineStr">
        <is>
          <t>'123492</t>
        </is>
      </c>
      <c r="E1217" s="0" t="inlineStr">
        <is>
          <t>NDSU COLIN M BK 12PK:123492Z-12PK</t>
        </is>
      </c>
      <c r="F1217" s="0" t="inlineStr">
        <is>
          <t>'813123492993</t>
        </is>
      </c>
      <c r="G1217" s="0" t="inlineStr">
        <is>
          <t>MENS</t>
        </is>
      </c>
      <c r="H1217" s="0" t="inlineStr">
        <is>
          <t>12 PACK</t>
        </is>
      </c>
      <c r="I1217" s="0">
        <v>966</v>
      </c>
      <c r="J1217" s="0">
        <v>0</v>
      </c>
    </row>
    <row r="1218" spans="1:10" customHeight="0">
      <c r="A1218" s="0">
        <f>HYPERLINK("https://dl.dropboxusercontent.com/scl/fi/cjig1a37nq1d6cq7bgn9i/ndsujunoset-f.jpg?rlkey=ch4th7yejznn4xejmfus7f1yl&amp;dl=0","Click to download Image")</f>
      </c>
      <c r="C1218" s="0" t="inlineStr">
        <is>
          <t>Juno Infant Bodysuit</t>
        </is>
      </c>
      <c r="D1218" s="0" t="inlineStr">
        <is>
          <t>'123725</t>
        </is>
      </c>
      <c r="E1218" s="0" t="inlineStr">
        <is>
          <t>NDSU JUNO I GD:123725A-0-3M</t>
        </is>
      </c>
      <c r="F1218" s="0" t="inlineStr">
        <is>
          <t>'813123725008</t>
        </is>
      </c>
      <c r="G1218" s="0" t="inlineStr">
        <is>
          <t>INFANT</t>
        </is>
      </c>
      <c r="H1218" s="0" t="inlineStr">
        <is>
          <t>0-3M</t>
        </is>
      </c>
      <c r="I1218" s="0">
        <v>29.99</v>
      </c>
      <c r="J1218" s="0">
        <v>15</v>
      </c>
    </row>
    <row r="1219" spans="1:10" customHeight="0">
      <c r="A1219" s="0">
        <f>HYPERLINK("https://dl.dropboxusercontent.com/scl/fi/cjig1a37nq1d6cq7bgn9i/ndsujunoset-f.jpg?rlkey=ch4th7yejznn4xejmfus7f1yl&amp;dl=0","Click to download Image")</f>
      </c>
      <c r="C1219" s="0" t="inlineStr">
        <is>
          <t>Juno Infant Bodysuit</t>
        </is>
      </c>
      <c r="D1219" s="0" t="inlineStr">
        <is>
          <t>'123725</t>
        </is>
      </c>
      <c r="E1219" s="0" t="inlineStr">
        <is>
          <t>NDSU JUNO I GD:123725B-3-6M</t>
        </is>
      </c>
      <c r="F1219" s="0" t="inlineStr">
        <is>
          <t>'813123725015</t>
        </is>
      </c>
      <c r="G1219" s="0" t="inlineStr">
        <is>
          <t>INFANT</t>
        </is>
      </c>
      <c r="H1219" s="0" t="inlineStr">
        <is>
          <t>3-6M</t>
        </is>
      </c>
      <c r="I1219" s="0">
        <v>29.99</v>
      </c>
      <c r="J1219" s="0">
        <v>14</v>
      </c>
    </row>
    <row r="1220" spans="1:10" customHeight="0">
      <c r="A1220" s="0">
        <f>HYPERLINK("https://dl.dropboxusercontent.com/scl/fi/cjig1a37nq1d6cq7bgn9i/ndsujunoset-f.jpg?rlkey=ch4th7yejznn4xejmfus7f1yl&amp;dl=0","Click to download Image")</f>
      </c>
      <c r="C1220" s="0" t="inlineStr">
        <is>
          <t>Juno Infant Bodysuit</t>
        </is>
      </c>
      <c r="D1220" s="0" t="inlineStr">
        <is>
          <t>'123725</t>
        </is>
      </c>
      <c r="E1220" s="0" t="inlineStr">
        <is>
          <t>NDSU JUNO I GD:123725C-6-9M</t>
        </is>
      </c>
      <c r="F1220" s="0" t="inlineStr">
        <is>
          <t>'813123725022</t>
        </is>
      </c>
      <c r="G1220" s="0" t="inlineStr">
        <is>
          <t>INFANT</t>
        </is>
      </c>
      <c r="H1220" s="0" t="inlineStr">
        <is>
          <t>6-9M</t>
        </is>
      </c>
      <c r="I1220" s="0">
        <v>29.99</v>
      </c>
      <c r="J1220" s="0">
        <v>10</v>
      </c>
    </row>
    <row r="1221" spans="1:10" customHeight="0">
      <c r="A1221" s="0">
        <f>HYPERLINK("https://dl.dropboxusercontent.com/scl/fi/cjig1a37nq1d6cq7bgn9i/ndsujunoset-f.jpg?rlkey=ch4th7yejznn4xejmfus7f1yl&amp;dl=0","Click to download Image")</f>
      </c>
      <c r="C1221" s="0" t="inlineStr">
        <is>
          <t>Juno Infant Bodysuit</t>
        </is>
      </c>
      <c r="D1221" s="0" t="inlineStr">
        <is>
          <t>'123725</t>
        </is>
      </c>
      <c r="E1221" s="0" t="inlineStr">
        <is>
          <t>NDSU JUNO I GD:123725F-12M</t>
        </is>
      </c>
      <c r="F1221" s="0" t="inlineStr">
        <is>
          <t>'813123725039</t>
        </is>
      </c>
      <c r="G1221" s="0" t="inlineStr">
        <is>
          <t>INFANT</t>
        </is>
      </c>
      <c r="H1221" s="0" t="inlineStr">
        <is>
          <t>12M</t>
        </is>
      </c>
      <c r="I1221" s="0">
        <v>29.99</v>
      </c>
      <c r="J1221" s="0">
        <v>10</v>
      </c>
    </row>
    <row r="1222" spans="1:10" customHeight="0">
      <c r="A1222" s="0">
        <f>HYPERLINK("https://dl.dropboxusercontent.com/scl/fi/cjig1a37nq1d6cq7bgn9i/ndsujunoset-f.jpg?rlkey=ch4th7yejznn4xejmfus7f1yl&amp;dl=0","Click to download Image")</f>
      </c>
      <c r="C1222" s="0" t="inlineStr">
        <is>
          <t>Juno Infant Bodysuit</t>
        </is>
      </c>
      <c r="D1222" s="0" t="inlineStr">
        <is>
          <t>'123725</t>
        </is>
      </c>
      <c r="E1222" s="0" t="inlineStr">
        <is>
          <t>NDSU JUNO I GD 12PK:123725Z-12PK</t>
        </is>
      </c>
      <c r="F1222" s="0" t="inlineStr">
        <is>
          <t>'813123725992</t>
        </is>
      </c>
      <c r="G1222" s="0" t="inlineStr">
        <is>
          <t>INFANT</t>
        </is>
      </c>
      <c r="H1222" s="0" t="inlineStr">
        <is>
          <t>12 PACK</t>
        </is>
      </c>
      <c r="I1222" s="0">
        <v>288</v>
      </c>
      <c r="J1222" s="0">
        <v>3</v>
      </c>
    </row>
    <row r="1223" spans="1:10" customHeight="0">
      <c r="A1223" s="0">
        <f>HYPERLINK("https://dl.dropboxusercontent.com/scl/fi/n5x6y370uqc9ti7stkytl/123132-f.jpg?rlkey=rhl3tpdaksqwnpgglfew5qw6c&amp;dl=0","Click to download Image")</f>
      </c>
      <c r="C1223" s="0" t="inlineStr">
        <is>
          <t>Cleo Infant Bodysuit</t>
        </is>
      </c>
      <c r="D1223" s="0" t="inlineStr">
        <is>
          <t>'123132</t>
        </is>
      </c>
      <c r="E1223" s="0" t="inlineStr">
        <is>
          <t>UNI CLEO I PE:123132A-0-3M</t>
        </is>
      </c>
      <c r="F1223" s="0" t="inlineStr">
        <is>
          <t>'802123132008</t>
        </is>
      </c>
      <c r="G1223" s="0" t="inlineStr">
        <is>
          <t>INFANT</t>
        </is>
      </c>
      <c r="H1223" s="0" t="inlineStr">
        <is>
          <t>0-3M</t>
        </is>
      </c>
      <c r="I1223" s="0">
        <v>24.99</v>
      </c>
      <c r="J1223" s="0">
        <v>16</v>
      </c>
    </row>
    <row r="1224" spans="1:10" customHeight="0">
      <c r="A1224" s="0">
        <f>HYPERLINK("https://dl.dropboxusercontent.com/scl/fi/n5x6y370uqc9ti7stkytl/123132-f.jpg?rlkey=rhl3tpdaksqwnpgglfew5qw6c&amp;dl=0","Click to download Image")</f>
      </c>
      <c r="C1224" s="0" t="inlineStr">
        <is>
          <t>Cleo Infant Bodysuit</t>
        </is>
      </c>
      <c r="D1224" s="0" t="inlineStr">
        <is>
          <t>'123132</t>
        </is>
      </c>
      <c r="E1224" s="0" t="inlineStr">
        <is>
          <t>UNI CLEO I PE:123132B-3-6M</t>
        </is>
      </c>
      <c r="F1224" s="0" t="inlineStr">
        <is>
          <t>'802123132015</t>
        </is>
      </c>
      <c r="G1224" s="0" t="inlineStr">
        <is>
          <t>INFANT</t>
        </is>
      </c>
      <c r="H1224" s="0" t="inlineStr">
        <is>
          <t>3-6M</t>
        </is>
      </c>
      <c r="I1224" s="0">
        <v>24.99</v>
      </c>
      <c r="J1224" s="0">
        <v>14</v>
      </c>
    </row>
    <row r="1225" spans="1:10" customHeight="0">
      <c r="A1225" s="0">
        <f>HYPERLINK("https://dl.dropboxusercontent.com/scl/fi/n5x6y370uqc9ti7stkytl/123132-f.jpg?rlkey=rhl3tpdaksqwnpgglfew5qw6c&amp;dl=0","Click to download Image")</f>
      </c>
      <c r="C1225" s="0" t="inlineStr">
        <is>
          <t>Cleo Infant Bodysuit</t>
        </is>
      </c>
      <c r="D1225" s="0" t="inlineStr">
        <is>
          <t>'123132</t>
        </is>
      </c>
      <c r="E1225" s="0" t="inlineStr">
        <is>
          <t>UNI CLEO I PE:123132C-6-9M</t>
        </is>
      </c>
      <c r="F1225" s="0" t="inlineStr">
        <is>
          <t>'802123132022</t>
        </is>
      </c>
      <c r="G1225" s="0" t="inlineStr">
        <is>
          <t>INFANT</t>
        </is>
      </c>
      <c r="H1225" s="0" t="inlineStr">
        <is>
          <t>6-9M</t>
        </is>
      </c>
      <c r="I1225" s="0">
        <v>24.99</v>
      </c>
      <c r="J1225" s="0">
        <v>15</v>
      </c>
    </row>
    <row r="1226" spans="1:10" customHeight="0">
      <c r="A1226" s="0">
        <f>HYPERLINK("https://dl.dropboxusercontent.com/scl/fi/n5x6y370uqc9ti7stkytl/123132-f.jpg?rlkey=rhl3tpdaksqwnpgglfew5qw6c&amp;dl=0","Click to download Image")</f>
      </c>
      <c r="C1226" s="0" t="inlineStr">
        <is>
          <t>Cleo Infant Bodysuit</t>
        </is>
      </c>
      <c r="D1226" s="0" t="inlineStr">
        <is>
          <t>'123132</t>
        </is>
      </c>
      <c r="E1226" s="0" t="inlineStr">
        <is>
          <t>UNI CLEO I PE:123132F-12M</t>
        </is>
      </c>
      <c r="F1226" s="0" t="inlineStr">
        <is>
          <t>'802123132039</t>
        </is>
      </c>
      <c r="G1226" s="0" t="inlineStr">
        <is>
          <t>INFANT</t>
        </is>
      </c>
      <c r="H1226" s="0" t="inlineStr">
        <is>
          <t>12M</t>
        </is>
      </c>
      <c r="I1226" s="0">
        <v>24.99</v>
      </c>
      <c r="J1226" s="0">
        <v>16</v>
      </c>
    </row>
    <row r="1227" spans="1:10" customHeight="0">
      <c r="A1227" s="0">
        <f>HYPERLINK("https://dl.dropboxusercontent.com/scl/fi/n5x6y370uqc9ti7stkytl/123132-f.jpg?rlkey=rhl3tpdaksqwnpgglfew5qw6c&amp;dl=0","Click to download Image")</f>
      </c>
      <c r="C1227" s="0" t="inlineStr">
        <is>
          <t>Cleo Infant Bodysuit</t>
        </is>
      </c>
      <c r="D1227" s="0" t="inlineStr">
        <is>
          <t>'123132</t>
        </is>
      </c>
      <c r="E1227" s="0" t="inlineStr">
        <is>
          <t>UNI CLEO I PE 12PK:123132Z-12PK</t>
        </is>
      </c>
      <c r="F1227" s="0" t="inlineStr">
        <is>
          <t>'802123132992</t>
        </is>
      </c>
      <c r="G1227" s="0" t="inlineStr">
        <is>
          <t>INFANT</t>
        </is>
      </c>
      <c r="H1227" s="0" t="inlineStr">
        <is>
          <t>12 PACK</t>
        </is>
      </c>
      <c r="I1227" s="0">
        <v>240</v>
      </c>
      <c r="J1227" s="0">
        <v>5</v>
      </c>
    </row>
    <row r="1228" spans="1:10" customHeight="0">
      <c r="A1228" s="0">
        <f>HYPERLINK("https://dl.dropboxusercontent.com/scl/fi/of5fe4a356yk3j9eyjf82/123353-f.jpg?rlkey=y0e6d7b01abppbog6thi90e27&amp;dl=0","Click to download Image")</f>
      </c>
      <c r="C1228" s="0" t="inlineStr">
        <is>
          <t>Cleo Infant Bodysuit</t>
        </is>
      </c>
      <c r="D1228" s="0" t="inlineStr">
        <is>
          <t>'123353</t>
        </is>
      </c>
      <c r="E1228" s="0" t="inlineStr">
        <is>
          <t>IND CLEO I GY:123353A-0-3M</t>
        </is>
      </c>
      <c r="F1228" s="0" t="inlineStr">
        <is>
          <t>'806123353005</t>
        </is>
      </c>
      <c r="G1228" s="0" t="inlineStr">
        <is>
          <t>INFANT</t>
        </is>
      </c>
      <c r="H1228" s="0" t="inlineStr">
        <is>
          <t>0-3M</t>
        </is>
      </c>
      <c r="I1228" s="0">
        <v>24.99</v>
      </c>
      <c r="J1228" s="0">
        <v>11</v>
      </c>
    </row>
    <row r="1229" spans="1:10" customHeight="0">
      <c r="A1229" s="0">
        <f>HYPERLINK("https://dl.dropboxusercontent.com/scl/fi/of5fe4a356yk3j9eyjf82/123353-f.jpg?rlkey=y0e6d7b01abppbog6thi90e27&amp;dl=0","Click to download Image")</f>
      </c>
      <c r="C1229" s="0" t="inlineStr">
        <is>
          <t>Cleo Infant Bodysuit</t>
        </is>
      </c>
      <c r="D1229" s="0" t="inlineStr">
        <is>
          <t>'123353</t>
        </is>
      </c>
      <c r="E1229" s="0" t="inlineStr">
        <is>
          <t>IND CLEO I GY:123353B-3-6M</t>
        </is>
      </c>
      <c r="F1229" s="0" t="inlineStr">
        <is>
          <t>'806123353012</t>
        </is>
      </c>
      <c r="G1229" s="0" t="inlineStr">
        <is>
          <t>INFANT</t>
        </is>
      </c>
      <c r="H1229" s="0" t="inlineStr">
        <is>
          <t>3-6M</t>
        </is>
      </c>
      <c r="I1229" s="0">
        <v>24.99</v>
      </c>
      <c r="J1229" s="0">
        <v>9</v>
      </c>
    </row>
    <row r="1230" spans="1:10" customHeight="0">
      <c r="A1230" s="0">
        <f>HYPERLINK("https://dl.dropboxusercontent.com/scl/fi/of5fe4a356yk3j9eyjf82/123353-f.jpg?rlkey=y0e6d7b01abppbog6thi90e27&amp;dl=0","Click to download Image")</f>
      </c>
      <c r="C1230" s="0" t="inlineStr">
        <is>
          <t>Cleo Infant Bodysuit</t>
        </is>
      </c>
      <c r="D1230" s="0" t="inlineStr">
        <is>
          <t>'123353</t>
        </is>
      </c>
      <c r="E1230" s="0" t="inlineStr">
        <is>
          <t>IND CLEO I GY:123353C-6-9M</t>
        </is>
      </c>
      <c r="F1230" s="0" t="inlineStr">
        <is>
          <t>'806123353029</t>
        </is>
      </c>
      <c r="G1230" s="0" t="inlineStr">
        <is>
          <t>INFANT</t>
        </is>
      </c>
      <c r="H1230" s="0" t="inlineStr">
        <is>
          <t>6-9M</t>
        </is>
      </c>
      <c r="I1230" s="0">
        <v>24.99</v>
      </c>
      <c r="J1230" s="0">
        <v>9</v>
      </c>
    </row>
    <row r="1231" spans="1:10" customHeight="0">
      <c r="A1231" s="0">
        <f>HYPERLINK("https://dl.dropboxusercontent.com/scl/fi/of5fe4a356yk3j9eyjf82/123353-f.jpg?rlkey=y0e6d7b01abppbog6thi90e27&amp;dl=0","Click to download Image")</f>
      </c>
      <c r="C1231" s="0" t="inlineStr">
        <is>
          <t>Cleo Infant Bodysuit</t>
        </is>
      </c>
      <c r="D1231" s="0" t="inlineStr">
        <is>
          <t>'123353</t>
        </is>
      </c>
      <c r="E1231" s="0" t="inlineStr">
        <is>
          <t>IND CLEO I GY:123353F-12M</t>
        </is>
      </c>
      <c r="F1231" s="0" t="inlineStr">
        <is>
          <t>'806123353036</t>
        </is>
      </c>
      <c r="G1231" s="0" t="inlineStr">
        <is>
          <t>INFANT</t>
        </is>
      </c>
      <c r="H1231" s="0" t="inlineStr">
        <is>
          <t>12M</t>
        </is>
      </c>
      <c r="I1231" s="0">
        <v>24.99</v>
      </c>
      <c r="J1231" s="0">
        <v>9</v>
      </c>
    </row>
    <row r="1232" spans="1:10" customHeight="0">
      <c r="A1232" s="0">
        <f>HYPERLINK("https://dl.dropboxusercontent.com/scl/fi/of5fe4a356yk3j9eyjf82/123353-f.jpg?rlkey=y0e6d7b01abppbog6thi90e27&amp;dl=0","Click to download Image")</f>
      </c>
      <c r="C1232" s="0" t="inlineStr">
        <is>
          <t>Cleo Infant Bodysuit</t>
        </is>
      </c>
      <c r="D1232" s="0" t="inlineStr">
        <is>
          <t>'123353</t>
        </is>
      </c>
      <c r="E1232" s="0" t="inlineStr">
        <is>
          <t>IND CLEO I GY 12PK:123353Z-12PK</t>
        </is>
      </c>
      <c r="F1232" s="0" t="inlineStr">
        <is>
          <t>'806123353999</t>
        </is>
      </c>
      <c r="G1232" s="0" t="inlineStr">
        <is>
          <t>INFANT</t>
        </is>
      </c>
      <c r="H1232" s="0" t="inlineStr">
        <is>
          <t>12 PACK</t>
        </is>
      </c>
      <c r="I1232" s="0">
        <v>240</v>
      </c>
      <c r="J1232" s="0">
        <v>0</v>
      </c>
    </row>
    <row r="1233" spans="1:10" customHeight="0">
      <c r="A1233" s="0">
        <f>HYPERLINK("https://dl.dropboxusercontent.com/scl/fi/pt5hq6kgqphp2rruwyyn2/123685-f.jpg?rlkey=r9xd12leelpuu6edw69uxirvr&amp;dl=0","Click to download Image")</f>
      </c>
      <c r="C1233" s="0" t="inlineStr">
        <is>
          <t>Cleo Infant Bodysuit</t>
        </is>
      </c>
      <c r="D1233" s="0" t="inlineStr">
        <is>
          <t>'123685</t>
        </is>
      </c>
      <c r="E1233" s="0" t="inlineStr">
        <is>
          <t>NDSU CLEO I GY:123685A-0-3M</t>
        </is>
      </c>
      <c r="F1233" s="0" t="inlineStr">
        <is>
          <t>'813123685005</t>
        </is>
      </c>
      <c r="G1233" s="0" t="inlineStr">
        <is>
          <t>INFANT</t>
        </is>
      </c>
      <c r="H1233" s="0" t="inlineStr">
        <is>
          <t>0-3M</t>
        </is>
      </c>
      <c r="I1233" s="0">
        <v>24.99</v>
      </c>
      <c r="J1233" s="0">
        <v>11</v>
      </c>
    </row>
    <row r="1234" spans="1:10" customHeight="0">
      <c r="A1234" s="0">
        <f>HYPERLINK("https://dl.dropboxusercontent.com/scl/fi/pt5hq6kgqphp2rruwyyn2/123685-f.jpg?rlkey=r9xd12leelpuu6edw69uxirvr&amp;dl=0","Click to download Image")</f>
      </c>
      <c r="C1234" s="0" t="inlineStr">
        <is>
          <t>Cleo Infant Bodysuit</t>
        </is>
      </c>
      <c r="D1234" s="0" t="inlineStr">
        <is>
          <t>'123685</t>
        </is>
      </c>
      <c r="E1234" s="0" t="inlineStr">
        <is>
          <t>NDSU CLEO I GY:123685B-3-6M</t>
        </is>
      </c>
      <c r="F1234" s="0" t="inlineStr">
        <is>
          <t>'813123685012</t>
        </is>
      </c>
      <c r="G1234" s="0" t="inlineStr">
        <is>
          <t>INFANT</t>
        </is>
      </c>
      <c r="H1234" s="0" t="inlineStr">
        <is>
          <t>3-6M</t>
        </is>
      </c>
      <c r="I1234" s="0">
        <v>24.99</v>
      </c>
      <c r="J1234" s="0">
        <v>10</v>
      </c>
    </row>
    <row r="1235" spans="1:10" customHeight="0">
      <c r="A1235" s="0">
        <f>HYPERLINK("https://dl.dropboxusercontent.com/scl/fi/pt5hq6kgqphp2rruwyyn2/123685-f.jpg?rlkey=r9xd12leelpuu6edw69uxirvr&amp;dl=0","Click to download Image")</f>
      </c>
      <c r="C1235" s="0" t="inlineStr">
        <is>
          <t>Cleo Infant Bodysuit</t>
        </is>
      </c>
      <c r="D1235" s="0" t="inlineStr">
        <is>
          <t>'123685</t>
        </is>
      </c>
      <c r="E1235" s="0" t="inlineStr">
        <is>
          <t>NDSU CLEO I GY:123685C-6-9M</t>
        </is>
      </c>
      <c r="F1235" s="0" t="inlineStr">
        <is>
          <t>'813123685029</t>
        </is>
      </c>
      <c r="G1235" s="0" t="inlineStr">
        <is>
          <t>INFANT</t>
        </is>
      </c>
      <c r="H1235" s="0" t="inlineStr">
        <is>
          <t>6-9M</t>
        </is>
      </c>
      <c r="I1235" s="0">
        <v>24.99</v>
      </c>
      <c r="J1235" s="0">
        <v>7</v>
      </c>
    </row>
    <row r="1236" spans="1:10" customHeight="0">
      <c r="A1236" s="0">
        <f>HYPERLINK("https://dl.dropboxusercontent.com/scl/fi/pt5hq6kgqphp2rruwyyn2/123685-f.jpg?rlkey=r9xd12leelpuu6edw69uxirvr&amp;dl=0","Click to download Image")</f>
      </c>
      <c r="C1236" s="0" t="inlineStr">
        <is>
          <t>Cleo Infant Bodysuit</t>
        </is>
      </c>
      <c r="D1236" s="0" t="inlineStr">
        <is>
          <t>'123685</t>
        </is>
      </c>
      <c r="E1236" s="0" t="inlineStr">
        <is>
          <t>NDSU CLEO I GY:123685F-12M</t>
        </is>
      </c>
      <c r="F1236" s="0" t="inlineStr">
        <is>
          <t>'813123685036</t>
        </is>
      </c>
      <c r="G1236" s="0" t="inlineStr">
        <is>
          <t>INFANT</t>
        </is>
      </c>
      <c r="H1236" s="0" t="inlineStr">
        <is>
          <t>12M</t>
        </is>
      </c>
      <c r="I1236" s="0">
        <v>24.99</v>
      </c>
      <c r="J1236" s="0">
        <v>7</v>
      </c>
    </row>
    <row r="1237" spans="1:10" customHeight="0">
      <c r="A1237" s="0">
        <f>HYPERLINK("https://dl.dropboxusercontent.com/scl/fi/pt5hq6kgqphp2rruwyyn2/123685-f.jpg?rlkey=r9xd12leelpuu6edw69uxirvr&amp;dl=0","Click to download Image")</f>
      </c>
      <c r="C1237" s="0" t="inlineStr">
        <is>
          <t>Cleo Infant Bodysuit</t>
        </is>
      </c>
      <c r="D1237" s="0" t="inlineStr">
        <is>
          <t>'123685</t>
        </is>
      </c>
      <c r="E1237" s="0" t="inlineStr">
        <is>
          <t>NDSU CLEO I GY 12PK:123685Z-12PK</t>
        </is>
      </c>
      <c r="F1237" s="0" t="inlineStr">
        <is>
          <t>'813123685999</t>
        </is>
      </c>
      <c r="G1237" s="0" t="inlineStr">
        <is>
          <t>INFANT</t>
        </is>
      </c>
      <c r="H1237" s="0" t="inlineStr">
        <is>
          <t>12 PACK</t>
        </is>
      </c>
      <c r="I1237" s="0">
        <v>240</v>
      </c>
      <c r="J1237" s="0">
        <v>2</v>
      </c>
    </row>
    <row r="1238" spans="1:10" customHeight="0">
      <c r="A1238" s="0">
        <f>HYPERLINK("https://dl.dropboxusercontent.com/scl/fi/4ijy0row42f22pyb71o8b/123688-f.jpg?rlkey=stlpmz4t2131r2vceb9y7o0xj&amp;dl=0","Click to download Image")</f>
      </c>
      <c r="C1238" s="0" t="inlineStr">
        <is>
          <t>Cleo Infant Bodysuit</t>
        </is>
      </c>
      <c r="D1238" s="0" t="inlineStr">
        <is>
          <t>'123688</t>
        </is>
      </c>
      <c r="E1238" s="0" t="inlineStr">
        <is>
          <t>SDSU CLEO I GY:123688A-0-3M</t>
        </is>
      </c>
      <c r="F1238" s="0" t="inlineStr">
        <is>
          <t>'816123688007</t>
        </is>
      </c>
      <c r="G1238" s="0" t="inlineStr">
        <is>
          <t>INFANT</t>
        </is>
      </c>
      <c r="H1238" s="0" t="inlineStr">
        <is>
          <t>0-3M</t>
        </is>
      </c>
      <c r="I1238" s="0">
        <v>24.99</v>
      </c>
      <c r="J1238" s="0">
        <v>3</v>
      </c>
    </row>
    <row r="1239" spans="1:10" customHeight="0">
      <c r="A1239" s="0">
        <f>HYPERLINK("https://dl.dropboxusercontent.com/scl/fi/4ijy0row42f22pyb71o8b/123688-f.jpg?rlkey=stlpmz4t2131r2vceb9y7o0xj&amp;dl=0","Click to download Image")</f>
      </c>
      <c r="C1239" s="0" t="inlineStr">
        <is>
          <t>Cleo Infant Bodysuit</t>
        </is>
      </c>
      <c r="D1239" s="0" t="inlineStr">
        <is>
          <t>'123688</t>
        </is>
      </c>
      <c r="E1239" s="0" t="inlineStr">
        <is>
          <t>SDSU CLEO I GY:123688B-3-6M</t>
        </is>
      </c>
      <c r="F1239" s="0" t="inlineStr">
        <is>
          <t>'816123688014</t>
        </is>
      </c>
      <c r="G1239" s="0" t="inlineStr">
        <is>
          <t>INFANT</t>
        </is>
      </c>
      <c r="H1239" s="0" t="inlineStr">
        <is>
          <t>3-6M</t>
        </is>
      </c>
      <c r="I1239" s="0">
        <v>24.99</v>
      </c>
      <c r="J1239" s="0">
        <v>8</v>
      </c>
    </row>
    <row r="1240" spans="1:10" customHeight="0">
      <c r="A1240" s="0">
        <f>HYPERLINK("https://dl.dropboxusercontent.com/scl/fi/4ijy0row42f22pyb71o8b/123688-f.jpg?rlkey=stlpmz4t2131r2vceb9y7o0xj&amp;dl=0","Click to download Image")</f>
      </c>
      <c r="C1240" s="0" t="inlineStr">
        <is>
          <t>Cleo Infant Bodysuit</t>
        </is>
      </c>
      <c r="D1240" s="0" t="inlineStr">
        <is>
          <t>'123688</t>
        </is>
      </c>
      <c r="E1240" s="0" t="inlineStr">
        <is>
          <t>SDSU CLEO I GY:123688C-6-9M</t>
        </is>
      </c>
      <c r="F1240" s="0" t="inlineStr">
        <is>
          <t>'816123688021</t>
        </is>
      </c>
      <c r="G1240" s="0" t="inlineStr">
        <is>
          <t>INFANT</t>
        </is>
      </c>
      <c r="H1240" s="0" t="inlineStr">
        <is>
          <t>6-9M</t>
        </is>
      </c>
      <c r="I1240" s="0">
        <v>24.99</v>
      </c>
      <c r="J1240" s="0">
        <v>2</v>
      </c>
    </row>
    <row r="1241" spans="1:10" customHeight="0">
      <c r="A1241" s="0">
        <f>HYPERLINK("https://dl.dropboxusercontent.com/scl/fi/4ijy0row42f22pyb71o8b/123688-f.jpg?rlkey=stlpmz4t2131r2vceb9y7o0xj&amp;dl=0","Click to download Image")</f>
      </c>
      <c r="C1241" s="0" t="inlineStr">
        <is>
          <t>Cleo Infant Bodysuit</t>
        </is>
      </c>
      <c r="D1241" s="0" t="inlineStr">
        <is>
          <t>'123688</t>
        </is>
      </c>
      <c r="E1241" s="0" t="inlineStr">
        <is>
          <t>SDSU CLEO I GY:123688F-12M</t>
        </is>
      </c>
      <c r="F1241" s="0" t="inlineStr">
        <is>
          <t>'816123688038</t>
        </is>
      </c>
      <c r="G1241" s="0" t="inlineStr">
        <is>
          <t>INFANT</t>
        </is>
      </c>
      <c r="H1241" s="0" t="inlineStr">
        <is>
          <t>12M</t>
        </is>
      </c>
      <c r="I1241" s="0">
        <v>24.99</v>
      </c>
      <c r="J1241" s="0">
        <v>4</v>
      </c>
    </row>
    <row r="1242" spans="1:10" customHeight="0">
      <c r="A1242" s="0">
        <f>HYPERLINK("https://dl.dropboxusercontent.com/scl/fi/4ijy0row42f22pyb71o8b/123688-f.jpg?rlkey=stlpmz4t2131r2vceb9y7o0xj&amp;dl=0","Click to download Image")</f>
      </c>
      <c r="C1242" s="0" t="inlineStr">
        <is>
          <t>Cleo Infant Bodysuit</t>
        </is>
      </c>
      <c r="D1242" s="0" t="inlineStr">
        <is>
          <t>'123688</t>
        </is>
      </c>
      <c r="E1242" s="0" t="inlineStr">
        <is>
          <t>SDSU CLEO I GY 12K:123688Z-12PK</t>
        </is>
      </c>
      <c r="F1242" s="0" t="inlineStr">
        <is>
          <t>'816123688991</t>
        </is>
      </c>
      <c r="G1242" s="0" t="inlineStr">
        <is>
          <t>INFANT</t>
        </is>
      </c>
      <c r="H1242" s="0" t="inlineStr">
        <is>
          <t>12 PACK</t>
        </is>
      </c>
      <c r="I1242" s="0">
        <v>240</v>
      </c>
      <c r="J1242" s="0">
        <v>0</v>
      </c>
    </row>
    <row r="1243" spans="1:10" customHeight="0">
      <c r="A1243" s="0">
        <f>HYPERLINK("https://dl.dropboxusercontent.com/scl/fi/xib64aanibw595j0rvyu3/117401-af.jpg?rlkey=wvg4rt8q69wpgye5wzhs6moqp&amp;dl=0","Click to download Image")</f>
      </c>
      <c r="C1243" s="0" t="inlineStr">
        <is>
          <t>Adalee Women's Cap</t>
        </is>
      </c>
      <c r="D1243" s="0" t="inlineStr">
        <is>
          <t>'117401</t>
        </is>
      </c>
      <c r="E1243" s="0" t="inlineStr">
        <is>
          <t>UNI ADALEE A PURPLE:117401</t>
        </is>
      </c>
      <c r="F1243" s="0" t="inlineStr">
        <is>
          <t>'702117401014</t>
        </is>
      </c>
      <c r="G1243" s="0" t="inlineStr">
        <is>
          <t>WOMENS</t>
        </is>
      </c>
      <c r="H1243" s="0" t="inlineStr">
        <is>
          <t>WOMENS</t>
        </is>
      </c>
      <c r="I1243" s="0">
        <v>19.99</v>
      </c>
      <c r="J1243" s="0">
        <v>35</v>
      </c>
    </row>
    <row r="1244" spans="1:10" customHeight="0">
      <c r="A1244" s="0">
        <f>HYPERLINK("https://dl.dropboxusercontent.com/scl/fi/nqthqy9ahvmg11g6x3kca/117400-af.jpg?rlkey=fxze8cqh8k05ti4ozp44svl53&amp;dl=0","Click to download Image")</f>
      </c>
      <c r="C1244" s="0" t="inlineStr">
        <is>
          <t>Adalee Women's Cap</t>
        </is>
      </c>
      <c r="D1244" s="0" t="inlineStr">
        <is>
          <t>'117400</t>
        </is>
      </c>
      <c r="E1244" s="0" t="inlineStr">
        <is>
          <t>ISU ADALEE A CARDINAL:117400</t>
        </is>
      </c>
      <c r="F1244" s="0" t="inlineStr">
        <is>
          <t>'701117400010</t>
        </is>
      </c>
      <c r="G1244" s="0" t="inlineStr">
        <is>
          <t>WOMENS</t>
        </is>
      </c>
      <c r="H1244" s="0" t="inlineStr">
        <is>
          <t>WOMENS</t>
        </is>
      </c>
      <c r="I1244" s="0">
        <v>19.99</v>
      </c>
      <c r="J1244" s="0">
        <v>24</v>
      </c>
    </row>
    <row r="1245" spans="1:10" customHeight="0">
      <c r="A1245" s="0">
        <f>HYPERLINK("https://dl.dropboxusercontent.com/scl/fi/z3wfq5gkha7a9h88xoaae/121136-f.jpg?rlkey=m47j6woxzchf6005gwo7tgw3s&amp;dl=0","Click to download Image")</f>
      </c>
      <c r="B1245" s="0">
        <f>HYPERLINK("https://dl.dropboxusercontent.com/scl/fi/fiupbeiu6wis9td6r1kmg/graphic-update2022-womens.jpg?rlkey=kocwvik2xmai70mkrb1igu41b&amp;dl=0","Click to download SizeChart")</f>
      </c>
      <c r="C1245" s="0" t="inlineStr">
        <is>
          <t>Donna Womens T-shirt</t>
        </is>
      </c>
      <c r="D1245" s="0" t="inlineStr">
        <is>
          <t>'121136</t>
        </is>
      </c>
      <c r="E1245" s="0" t="inlineStr">
        <is>
          <t>UNI DONNA W PURPLE:121136A-S</t>
        </is>
      </c>
      <c r="F1245" s="0" t="inlineStr">
        <is>
          <t>'802121136046</t>
        </is>
      </c>
      <c r="G1245" s="0" t="inlineStr">
        <is>
          <t>WOMENS</t>
        </is>
      </c>
      <c r="H1245" s="0" t="inlineStr">
        <is>
          <t>S</t>
        </is>
      </c>
      <c r="I1245" s="0">
        <v>24.99</v>
      </c>
      <c r="J1245" s="0">
        <v>5</v>
      </c>
    </row>
    <row r="1246" spans="1:10" customHeight="0">
      <c r="A1246" s="0">
        <f>HYPERLINK("https://dl.dropboxusercontent.com/scl/fi/z3wfq5gkha7a9h88xoaae/121136-f.jpg?rlkey=m47j6woxzchf6005gwo7tgw3s&amp;dl=0","Click to download Image")</f>
      </c>
      <c r="B1246" s="0">
        <f>HYPERLINK("https://dl.dropboxusercontent.com/scl/fi/fiupbeiu6wis9td6r1kmg/graphic-update2022-womens.jpg?rlkey=kocwvik2xmai70mkrb1igu41b&amp;dl=0","Click to download SizeChart")</f>
      </c>
      <c r="C1246" s="0" t="inlineStr">
        <is>
          <t>Donna Womens T-shirt</t>
        </is>
      </c>
      <c r="D1246" s="0" t="inlineStr">
        <is>
          <t>'121136</t>
        </is>
      </c>
      <c r="E1246" s="0" t="inlineStr">
        <is>
          <t>UNI DONNA W PURPLE:121136B-M</t>
        </is>
      </c>
      <c r="F1246" s="0" t="inlineStr">
        <is>
          <t>'802121136053</t>
        </is>
      </c>
      <c r="G1246" s="0" t="inlineStr">
        <is>
          <t>WOMENS</t>
        </is>
      </c>
      <c r="H1246" s="0" t="inlineStr">
        <is>
          <t>M</t>
        </is>
      </c>
      <c r="I1246" s="0">
        <v>24.99</v>
      </c>
      <c r="J1246" s="0">
        <v>15</v>
      </c>
    </row>
    <row r="1247" spans="1:10" customHeight="0">
      <c r="A1247" s="0">
        <f>HYPERLINK("https://dl.dropboxusercontent.com/scl/fi/z3wfq5gkha7a9h88xoaae/121136-f.jpg?rlkey=m47j6woxzchf6005gwo7tgw3s&amp;dl=0","Click to download Image")</f>
      </c>
      <c r="B1247" s="0">
        <f>HYPERLINK("https://dl.dropboxusercontent.com/scl/fi/fiupbeiu6wis9td6r1kmg/graphic-update2022-womens.jpg?rlkey=kocwvik2xmai70mkrb1igu41b&amp;dl=0","Click to download SizeChart")</f>
      </c>
      <c r="C1247" s="0" t="inlineStr">
        <is>
          <t>Donna Womens T-shirt</t>
        </is>
      </c>
      <c r="D1247" s="0" t="inlineStr">
        <is>
          <t>'121136</t>
        </is>
      </c>
      <c r="E1247" s="0" t="inlineStr">
        <is>
          <t>UNI DONNA W PURPLE:121136C-L</t>
        </is>
      </c>
      <c r="F1247" s="0" t="inlineStr">
        <is>
          <t>'802121136060</t>
        </is>
      </c>
      <c r="G1247" s="0" t="inlineStr">
        <is>
          <t>WOMENS</t>
        </is>
      </c>
      <c r="H1247" s="0" t="inlineStr">
        <is>
          <t>L</t>
        </is>
      </c>
      <c r="I1247" s="0">
        <v>24.99</v>
      </c>
      <c r="J1247" s="0">
        <v>14</v>
      </c>
    </row>
    <row r="1248" spans="1:10" customHeight="0">
      <c r="A1248" s="0">
        <f>HYPERLINK("https://dl.dropboxusercontent.com/scl/fi/z3wfq5gkha7a9h88xoaae/121136-f.jpg?rlkey=m47j6woxzchf6005gwo7tgw3s&amp;dl=0","Click to download Image")</f>
      </c>
      <c r="B1248" s="0">
        <f>HYPERLINK("https://dl.dropboxusercontent.com/scl/fi/fiupbeiu6wis9td6r1kmg/graphic-update2022-womens.jpg?rlkey=kocwvik2xmai70mkrb1igu41b&amp;dl=0","Click to download SizeChart")</f>
      </c>
      <c r="C1248" s="0" t="inlineStr">
        <is>
          <t>Donna Womens T-shirt</t>
        </is>
      </c>
      <c r="D1248" s="0" t="inlineStr">
        <is>
          <t>'121136</t>
        </is>
      </c>
      <c r="E1248" s="0" t="inlineStr">
        <is>
          <t>UNI DONNA W PURPLE:121136D-XL</t>
        </is>
      </c>
      <c r="F1248" s="0" t="inlineStr">
        <is>
          <t>'802121136077</t>
        </is>
      </c>
      <c r="G1248" s="0" t="inlineStr">
        <is>
          <t>WOMENS</t>
        </is>
      </c>
      <c r="H1248" s="0" t="inlineStr">
        <is>
          <t>XL</t>
        </is>
      </c>
      <c r="I1248" s="0">
        <v>24.99</v>
      </c>
      <c r="J1248" s="0">
        <v>3</v>
      </c>
    </row>
    <row r="1249" spans="1:10" customHeight="0">
      <c r="A1249" s="0">
        <f>HYPERLINK("https://dl.dropboxusercontent.com/scl/fi/z3wfq5gkha7a9h88xoaae/121136-f.jpg?rlkey=m47j6woxzchf6005gwo7tgw3s&amp;dl=0","Click to download Image")</f>
      </c>
      <c r="B1249" s="0">
        <f>HYPERLINK("https://dl.dropboxusercontent.com/scl/fi/fiupbeiu6wis9td6r1kmg/graphic-update2022-womens.jpg?rlkey=kocwvik2xmai70mkrb1igu41b&amp;dl=0","Click to download SizeChart")</f>
      </c>
      <c r="C1249" s="0" t="inlineStr">
        <is>
          <t>Donna Womens T-shirt</t>
        </is>
      </c>
      <c r="D1249" s="0" t="inlineStr">
        <is>
          <t>'121136</t>
        </is>
      </c>
      <c r="E1249" s="0" t="inlineStr">
        <is>
          <t>UNI DONNA W PURPLE:121136E-2XL</t>
        </is>
      </c>
      <c r="F1249" s="0" t="inlineStr">
        <is>
          <t>'802121136084</t>
        </is>
      </c>
      <c r="G1249" s="0" t="inlineStr">
        <is>
          <t>WOMENS</t>
        </is>
      </c>
      <c r="H1249" s="0" t="inlineStr">
        <is>
          <t>2XL</t>
        </is>
      </c>
      <c r="I1249" s="0">
        <v>24.99</v>
      </c>
      <c r="J1249" s="0">
        <v>4</v>
      </c>
    </row>
    <row r="1250" spans="1:10" customHeight="0">
      <c r="A1250" s="0">
        <f>HYPERLINK("https://dl.dropboxusercontent.com/scl/fi/z3wfq5gkha7a9h88xoaae/121136-f.jpg?rlkey=m47j6woxzchf6005gwo7tgw3s&amp;dl=0","Click to download Image")</f>
      </c>
      <c r="B1250" s="0">
        <f>HYPERLINK("https://dl.dropboxusercontent.com/scl/fi/fiupbeiu6wis9td6r1kmg/graphic-update2022-womens.jpg?rlkey=kocwvik2xmai70mkrb1igu41b&amp;dl=0","Click to download SizeChart")</f>
      </c>
      <c r="C1250" s="0" t="inlineStr">
        <is>
          <t>Donna Womens T-shirt</t>
        </is>
      </c>
      <c r="D1250" s="0" t="inlineStr">
        <is>
          <t>'121136</t>
        </is>
      </c>
      <c r="E1250" s="0" t="inlineStr">
        <is>
          <t>UNI DONNA W PURPLE:121136F-3XL</t>
        </is>
      </c>
      <c r="F1250" s="0" t="inlineStr">
        <is>
          <t>'802121136091</t>
        </is>
      </c>
      <c r="G1250" s="0" t="inlineStr">
        <is>
          <t>WOMENS</t>
        </is>
      </c>
      <c r="H1250" s="0" t="inlineStr">
        <is>
          <t>3XL</t>
        </is>
      </c>
      <c r="I1250" s="0">
        <v>24.99</v>
      </c>
      <c r="J1250" s="0">
        <v>5</v>
      </c>
    </row>
    <row r="1251" spans="1:10" customHeight="0">
      <c r="A1251" s="0">
        <f>HYPERLINK("https://dl.dropboxusercontent.com/scl/fi/z3wfq5gkha7a9h88xoaae/121136-f.jpg?rlkey=m47j6woxzchf6005gwo7tgw3s&amp;dl=0","Click to download Image")</f>
      </c>
      <c r="B1251" s="0">
        <f>HYPERLINK("https://dl.dropboxusercontent.com/scl/fi/fiupbeiu6wis9td6r1kmg/graphic-update2022-womens.jpg?rlkey=kocwvik2xmai70mkrb1igu41b&amp;dl=0","Click to download SizeChart")</f>
      </c>
      <c r="C1251" s="0" t="inlineStr">
        <is>
          <t>Donna Womens T-shirt</t>
        </is>
      </c>
      <c r="D1251" s="0" t="inlineStr">
        <is>
          <t>'121136</t>
        </is>
      </c>
      <c r="E1251" s="0" t="inlineStr">
        <is>
          <t>UNI DONNA W PURPLE 12 PACK:121136Z-12PK</t>
        </is>
      </c>
      <c r="F1251" s="0" t="inlineStr">
        <is>
          <t>'802121136992</t>
        </is>
      </c>
      <c r="G1251" s="0" t="inlineStr">
        <is>
          <t>WOMENS</t>
        </is>
      </c>
      <c r="H1251" s="0" t="inlineStr">
        <is>
          <t>12 PACK</t>
        </is>
      </c>
      <c r="I1251" s="0">
        <v>240</v>
      </c>
      <c r="J1251" s="0">
        <v>3</v>
      </c>
    </row>
    <row r="1252" spans="1:10" customHeight="0">
      <c r="A1252" s="0">
        <f>HYPERLINK("https://dl.dropboxusercontent.com/scl/fi/5hhou48u649nfndrd59tk/121134-f.jpg?rlkey=zifg00dcrtitn0zcnvhmxh7gg&amp;dl=0","Click to download Image")</f>
      </c>
      <c r="B1252" s="0">
        <f>HYPERLINK("https://dl.dropboxusercontent.com/scl/fi/fiupbeiu6wis9td6r1kmg/graphic-update2022-womens.jpg?rlkey=kocwvik2xmai70mkrb1igu41b&amp;dl=0","Click to download SizeChart")</f>
      </c>
      <c r="C1252" s="0" t="inlineStr">
        <is>
          <t>Donna Womens T-shirt</t>
        </is>
      </c>
      <c r="D1252" s="0" t="inlineStr">
        <is>
          <t>'121134</t>
        </is>
      </c>
      <c r="E1252" s="0" t="inlineStr">
        <is>
          <t>IOWA DONNA W BLACK:121134A-S</t>
        </is>
      </c>
      <c r="F1252" s="0" t="inlineStr">
        <is>
          <t>'800121134048</t>
        </is>
      </c>
      <c r="G1252" s="0" t="inlineStr">
        <is>
          <t>WOMENS</t>
        </is>
      </c>
      <c r="H1252" s="0" t="inlineStr">
        <is>
          <t>S</t>
        </is>
      </c>
      <c r="I1252" s="0">
        <v>24.99</v>
      </c>
      <c r="J1252" s="0">
        <v>0</v>
      </c>
    </row>
    <row r="1253" spans="1:10" customHeight="0">
      <c r="A1253" s="0">
        <f>HYPERLINK("https://dl.dropboxusercontent.com/scl/fi/5hhou48u649nfndrd59tk/121134-f.jpg?rlkey=zifg00dcrtitn0zcnvhmxh7gg&amp;dl=0","Click to download Image")</f>
      </c>
      <c r="B1253" s="0">
        <f>HYPERLINK("https://dl.dropboxusercontent.com/scl/fi/fiupbeiu6wis9td6r1kmg/graphic-update2022-womens.jpg?rlkey=kocwvik2xmai70mkrb1igu41b&amp;dl=0","Click to download SizeChart")</f>
      </c>
      <c r="C1253" s="0" t="inlineStr">
        <is>
          <t>Donna Womens T-shirt</t>
        </is>
      </c>
      <c r="D1253" s="0" t="inlineStr">
        <is>
          <t>'121134</t>
        </is>
      </c>
      <c r="E1253" s="0" t="inlineStr">
        <is>
          <t>IOWA DONNA W BLACK:121134B-M</t>
        </is>
      </c>
      <c r="F1253" s="0" t="inlineStr">
        <is>
          <t>'800121134055</t>
        </is>
      </c>
      <c r="G1253" s="0" t="inlineStr">
        <is>
          <t>WOMENS</t>
        </is>
      </c>
      <c r="H1253" s="0" t="inlineStr">
        <is>
          <t>M</t>
        </is>
      </c>
      <c r="I1253" s="0">
        <v>24.99</v>
      </c>
      <c r="J1253" s="0">
        <v>0</v>
      </c>
    </row>
    <row r="1254" spans="1:10" customHeight="0">
      <c r="A1254" s="0">
        <f>HYPERLINK("https://dl.dropboxusercontent.com/scl/fi/5hhou48u649nfndrd59tk/121134-f.jpg?rlkey=zifg00dcrtitn0zcnvhmxh7gg&amp;dl=0","Click to download Image")</f>
      </c>
      <c r="B1254" s="0">
        <f>HYPERLINK("https://dl.dropboxusercontent.com/scl/fi/fiupbeiu6wis9td6r1kmg/graphic-update2022-womens.jpg?rlkey=kocwvik2xmai70mkrb1igu41b&amp;dl=0","Click to download SizeChart")</f>
      </c>
      <c r="C1254" s="0" t="inlineStr">
        <is>
          <t>Donna Womens T-shirt</t>
        </is>
      </c>
      <c r="D1254" s="0" t="inlineStr">
        <is>
          <t>'121134</t>
        </is>
      </c>
      <c r="E1254" s="0" t="inlineStr">
        <is>
          <t>IOWA DONNA W BLACK:121134C-L</t>
        </is>
      </c>
      <c r="F1254" s="0" t="inlineStr">
        <is>
          <t>'800121134062</t>
        </is>
      </c>
      <c r="G1254" s="0" t="inlineStr">
        <is>
          <t>WOMENS</t>
        </is>
      </c>
      <c r="H1254" s="0" t="inlineStr">
        <is>
          <t>L</t>
        </is>
      </c>
      <c r="I1254" s="0">
        <v>24.99</v>
      </c>
      <c r="J1254" s="0">
        <v>0</v>
      </c>
    </row>
    <row r="1255" spans="1:10" customHeight="0">
      <c r="A1255" s="0">
        <f>HYPERLINK("https://dl.dropboxusercontent.com/scl/fi/5hhou48u649nfndrd59tk/121134-f.jpg?rlkey=zifg00dcrtitn0zcnvhmxh7gg&amp;dl=0","Click to download Image")</f>
      </c>
      <c r="B1255" s="0">
        <f>HYPERLINK("https://dl.dropboxusercontent.com/scl/fi/fiupbeiu6wis9td6r1kmg/graphic-update2022-womens.jpg?rlkey=kocwvik2xmai70mkrb1igu41b&amp;dl=0","Click to download SizeChart")</f>
      </c>
      <c r="C1255" s="0" t="inlineStr">
        <is>
          <t>Donna Womens T-shirt</t>
        </is>
      </c>
      <c r="D1255" s="0" t="inlineStr">
        <is>
          <t>'121134</t>
        </is>
      </c>
      <c r="E1255" s="0" t="inlineStr">
        <is>
          <t>IOWA DONNA W BLACK:121134D-XL</t>
        </is>
      </c>
      <c r="F1255" s="0" t="inlineStr">
        <is>
          <t>'800121134079</t>
        </is>
      </c>
      <c r="G1255" s="0" t="inlineStr">
        <is>
          <t>WOMENS</t>
        </is>
      </c>
      <c r="H1255" s="0" t="inlineStr">
        <is>
          <t>XL</t>
        </is>
      </c>
      <c r="I1255" s="0">
        <v>24.99</v>
      </c>
      <c r="J1255" s="0">
        <v>0</v>
      </c>
    </row>
    <row r="1256" spans="1:10" customHeight="0">
      <c r="A1256" s="0">
        <f>HYPERLINK("https://dl.dropboxusercontent.com/scl/fi/5hhou48u649nfndrd59tk/121134-f.jpg?rlkey=zifg00dcrtitn0zcnvhmxh7gg&amp;dl=0","Click to download Image")</f>
      </c>
      <c r="B1256" s="0">
        <f>HYPERLINK("https://dl.dropboxusercontent.com/scl/fi/fiupbeiu6wis9td6r1kmg/graphic-update2022-womens.jpg?rlkey=kocwvik2xmai70mkrb1igu41b&amp;dl=0","Click to download SizeChart")</f>
      </c>
      <c r="C1256" s="0" t="inlineStr">
        <is>
          <t>Donna Womens T-shirt</t>
        </is>
      </c>
      <c r="D1256" s="0" t="inlineStr">
        <is>
          <t>'121134</t>
        </is>
      </c>
      <c r="E1256" s="0" t="inlineStr">
        <is>
          <t>IOWA DONNA W BLACK:121134E-2XL</t>
        </is>
      </c>
      <c r="F1256" s="0" t="inlineStr">
        <is>
          <t>'800121134086</t>
        </is>
      </c>
      <c r="G1256" s="0" t="inlineStr">
        <is>
          <t>WOMENS</t>
        </is>
      </c>
      <c r="H1256" s="0" t="inlineStr">
        <is>
          <t>2XL</t>
        </is>
      </c>
      <c r="I1256" s="0">
        <v>24.99</v>
      </c>
      <c r="J1256" s="0">
        <v>0</v>
      </c>
    </row>
    <row r="1257" spans="1:10" customHeight="0">
      <c r="A1257" s="0">
        <f>HYPERLINK("https://dl.dropboxusercontent.com/scl/fi/5hhou48u649nfndrd59tk/121134-f.jpg?rlkey=zifg00dcrtitn0zcnvhmxh7gg&amp;dl=0","Click to download Image")</f>
      </c>
      <c r="B1257" s="0">
        <f>HYPERLINK("https://dl.dropboxusercontent.com/scl/fi/fiupbeiu6wis9td6r1kmg/graphic-update2022-womens.jpg?rlkey=kocwvik2xmai70mkrb1igu41b&amp;dl=0","Click to download SizeChart")</f>
      </c>
      <c r="C1257" s="0" t="inlineStr">
        <is>
          <t>Donna Womens T-shirt</t>
        </is>
      </c>
      <c r="D1257" s="0" t="inlineStr">
        <is>
          <t>'121134</t>
        </is>
      </c>
      <c r="E1257" s="0" t="inlineStr">
        <is>
          <t>IOWA DONNA W BLACK:121134F-3XL</t>
        </is>
      </c>
      <c r="F1257" s="0" t="inlineStr">
        <is>
          <t>'800121134093</t>
        </is>
      </c>
      <c r="G1257" s="0" t="inlineStr">
        <is>
          <t>WOMENS</t>
        </is>
      </c>
      <c r="H1257" s="0" t="inlineStr">
        <is>
          <t>3XL</t>
        </is>
      </c>
      <c r="I1257" s="0">
        <v>24.99</v>
      </c>
      <c r="J1257" s="0">
        <v>4</v>
      </c>
    </row>
    <row r="1258" spans="1:10" customHeight="0">
      <c r="A1258" s="0">
        <f>HYPERLINK("https://dl.dropboxusercontent.com/scl/fi/5hhou48u649nfndrd59tk/121134-f.jpg?rlkey=zifg00dcrtitn0zcnvhmxh7gg&amp;dl=0","Click to download Image")</f>
      </c>
      <c r="B1258" s="0">
        <f>HYPERLINK("https://dl.dropboxusercontent.com/scl/fi/fiupbeiu6wis9td6r1kmg/graphic-update2022-womens.jpg?rlkey=kocwvik2xmai70mkrb1igu41b&amp;dl=0","Click to download SizeChart")</f>
      </c>
      <c r="C1258" s="0" t="inlineStr">
        <is>
          <t>Donna Womens T-shirt</t>
        </is>
      </c>
      <c r="D1258" s="0" t="inlineStr">
        <is>
          <t>'121134</t>
        </is>
      </c>
      <c r="E1258" s="0" t="inlineStr">
        <is>
          <t>IOWA DONNA W BLACK 12 PACK:121134Z-12PK</t>
        </is>
      </c>
      <c r="F1258" s="0" t="inlineStr">
        <is>
          <t>'800121134994</t>
        </is>
      </c>
      <c r="G1258" s="0" t="inlineStr">
        <is>
          <t>WOMENS</t>
        </is>
      </c>
      <c r="H1258" s="0" t="inlineStr">
        <is>
          <t>12 PACK</t>
        </is>
      </c>
      <c r="I1258" s="0">
        <v>240</v>
      </c>
      <c r="J1258" s="0">
        <v>0</v>
      </c>
    </row>
    <row r="1259" spans="1:10" customHeight="0">
      <c r="A1259" s="0">
        <f>HYPERLINK("https://dl.dropboxusercontent.com/scl/fi/ku7knf222b7nd66w0m91b/123765-f.jpg?rlkey=dquezdd7b9aiecxeu1v29vxqq&amp;dl=0","Click to download Image")</f>
      </c>
      <c r="C1259" s="0" t="inlineStr">
        <is>
          <t>Benji Youth Hoodie</t>
        </is>
      </c>
      <c r="D1259" s="0" t="inlineStr">
        <is>
          <t>'123765</t>
        </is>
      </c>
      <c r="E1259" s="0" t="inlineStr">
        <is>
          <t>NDSU BENJI Y GY:123765B-YS</t>
        </is>
      </c>
      <c r="F1259" s="0" t="inlineStr">
        <is>
          <t>'813123765011</t>
        </is>
      </c>
      <c r="G1259" s="0" t="inlineStr">
        <is>
          <t>YOUTH</t>
        </is>
      </c>
      <c r="H1259" s="0" t="inlineStr">
        <is>
          <t>YS</t>
        </is>
      </c>
      <c r="I1259" s="0">
        <v>49.99</v>
      </c>
      <c r="J1259" s="0">
        <v>1</v>
      </c>
    </row>
    <row r="1260" spans="1:10" customHeight="0">
      <c r="A1260" s="0">
        <f>HYPERLINK("https://dl.dropboxusercontent.com/scl/fi/ku7knf222b7nd66w0m91b/123765-f.jpg?rlkey=dquezdd7b9aiecxeu1v29vxqq&amp;dl=0","Click to download Image")</f>
      </c>
      <c r="C1260" s="0" t="inlineStr">
        <is>
          <t>Benji Youth Hoodie</t>
        </is>
      </c>
      <c r="D1260" s="0" t="inlineStr">
        <is>
          <t>'123765</t>
        </is>
      </c>
      <c r="E1260" s="0" t="inlineStr">
        <is>
          <t>NDSU BENJI Y GY:123765C-YM</t>
        </is>
      </c>
      <c r="F1260" s="0" t="inlineStr">
        <is>
          <t>'813123765028</t>
        </is>
      </c>
      <c r="G1260" s="0" t="inlineStr">
        <is>
          <t>YOUTH</t>
        </is>
      </c>
      <c r="H1260" s="0" t="inlineStr">
        <is>
          <t>YM</t>
        </is>
      </c>
      <c r="I1260" s="0">
        <v>49.99</v>
      </c>
      <c r="J1260" s="0">
        <v>0</v>
      </c>
    </row>
    <row r="1261" spans="1:10" customHeight="0">
      <c r="A1261" s="0">
        <f>HYPERLINK("https://dl.dropboxusercontent.com/scl/fi/ku7knf222b7nd66w0m91b/123765-f.jpg?rlkey=dquezdd7b9aiecxeu1v29vxqq&amp;dl=0","Click to download Image")</f>
      </c>
      <c r="C1261" s="0" t="inlineStr">
        <is>
          <t>Benji Youth Hoodie</t>
        </is>
      </c>
      <c r="D1261" s="0" t="inlineStr">
        <is>
          <t>'123765</t>
        </is>
      </c>
      <c r="E1261" s="0" t="inlineStr">
        <is>
          <t>NDSU BENJI Y GY:123765D-YL</t>
        </is>
      </c>
      <c r="F1261" s="0" t="inlineStr">
        <is>
          <t>'813123765035</t>
        </is>
      </c>
      <c r="G1261" s="0" t="inlineStr">
        <is>
          <t>YOUTH</t>
        </is>
      </c>
      <c r="H1261" s="0" t="inlineStr">
        <is>
          <t>YL</t>
        </is>
      </c>
      <c r="I1261" s="0">
        <v>49.99</v>
      </c>
      <c r="J1261" s="0">
        <v>0</v>
      </c>
    </row>
    <row r="1262" spans="1:10" customHeight="0">
      <c r="A1262" s="0">
        <f>HYPERLINK("https://dl.dropboxusercontent.com/scl/fi/ku7knf222b7nd66w0m91b/123765-f.jpg?rlkey=dquezdd7b9aiecxeu1v29vxqq&amp;dl=0","Click to download Image")</f>
      </c>
      <c r="C1262" s="0" t="inlineStr">
        <is>
          <t>Benji Youth Hoodie</t>
        </is>
      </c>
      <c r="D1262" s="0" t="inlineStr">
        <is>
          <t>'123765</t>
        </is>
      </c>
      <c r="E1262" s="0" t="inlineStr">
        <is>
          <t>NDSU BENJI Y GY:123765E-YXL</t>
        </is>
      </c>
      <c r="F1262" s="0" t="inlineStr">
        <is>
          <t>'813123765042</t>
        </is>
      </c>
      <c r="G1262" s="0" t="inlineStr">
        <is>
          <t>YOUTH</t>
        </is>
      </c>
      <c r="H1262" s="0" t="inlineStr">
        <is>
          <t>YXL</t>
        </is>
      </c>
      <c r="I1262" s="0">
        <v>49.99</v>
      </c>
      <c r="J1262" s="0">
        <v>1</v>
      </c>
    </row>
    <row r="1263" spans="1:10" customHeight="0">
      <c r="A1263" s="0">
        <f>HYPERLINK("https://dl.dropboxusercontent.com/scl/fi/ku7knf222b7nd66w0m91b/123765-f.jpg?rlkey=dquezdd7b9aiecxeu1v29vxqq&amp;dl=0","Click to download Image")</f>
      </c>
      <c r="C1263" s="0" t="inlineStr">
        <is>
          <t>Benji Youth Hoodie</t>
        </is>
      </c>
      <c r="D1263" s="0" t="inlineStr">
        <is>
          <t>'123765</t>
        </is>
      </c>
      <c r="E1263" s="0" t="inlineStr">
        <is>
          <t>NDSU BENJI Y GY 12PK:123765Z-12PK</t>
        </is>
      </c>
      <c r="F1263" s="0" t="inlineStr">
        <is>
          <t>'813123765998</t>
        </is>
      </c>
      <c r="G1263" s="0" t="inlineStr">
        <is>
          <t>YOUTH</t>
        </is>
      </c>
      <c r="H1263" s="0" t="inlineStr">
        <is>
          <t>12 PACK</t>
        </is>
      </c>
      <c r="I1263" s="0">
        <v>486</v>
      </c>
      <c r="J1263" s="0">
        <v>0</v>
      </c>
    </row>
    <row r="1264" spans="1:10" customHeight="0">
      <c r="A1264" s="0">
        <f>HYPERLINK("https://dl.dropboxusercontent.com/scl/fi/ej1w03zfeqzuvetgkwmoc/114668-f.jpg?rlkey=5mpdcqloirbomkjh7lru4xcri&amp;dl=0","Click to download Image")</f>
      </c>
      <c r="C1264" s="0" t="inlineStr">
        <is>
          <t>Benji Toddler Hoodie</t>
        </is>
      </c>
      <c r="D1264" s="0" t="inlineStr">
        <is>
          <t>'114850</t>
        </is>
      </c>
      <c r="E1264" s="0" t="inlineStr">
        <is>
          <t>PURDUE BENJI T GREY:114850A-2T</t>
        </is>
      </c>
      <c r="F1264" s="0" t="inlineStr">
        <is>
          <t>'804114850083</t>
        </is>
      </c>
      <c r="G1264" s="0" t="inlineStr">
        <is>
          <t>TODDLER</t>
        </is>
      </c>
      <c r="H1264" s="0" t="inlineStr">
        <is>
          <t>2T</t>
        </is>
      </c>
      <c r="I1264" s="0">
        <v>49.99</v>
      </c>
      <c r="J1264" s="0">
        <v>0</v>
      </c>
    </row>
    <row r="1265" spans="1:10" customHeight="0">
      <c r="A1265" s="0">
        <f>HYPERLINK("https://dl.dropboxusercontent.com/scl/fi/ej1w03zfeqzuvetgkwmoc/114668-f.jpg?rlkey=5mpdcqloirbomkjh7lru4xcri&amp;dl=0","Click to download Image")</f>
      </c>
      <c r="C1265" s="0" t="inlineStr">
        <is>
          <t>Benji Toddler Hoodie</t>
        </is>
      </c>
      <c r="D1265" s="0" t="inlineStr">
        <is>
          <t>'114850</t>
        </is>
      </c>
      <c r="E1265" s="0" t="inlineStr">
        <is>
          <t>PURDUE BENJI T GREY:114850B-3T</t>
        </is>
      </c>
      <c r="F1265" s="0" t="inlineStr">
        <is>
          <t>'804114850090</t>
        </is>
      </c>
      <c r="G1265" s="0" t="inlineStr">
        <is>
          <t>TODDLER</t>
        </is>
      </c>
      <c r="H1265" s="0" t="inlineStr">
        <is>
          <t>3T</t>
        </is>
      </c>
      <c r="I1265" s="0">
        <v>49.99</v>
      </c>
      <c r="J1265" s="0">
        <v>0</v>
      </c>
    </row>
    <row r="1266" spans="1:10" customHeight="0">
      <c r="A1266" s="0">
        <f>HYPERLINK("https://dl.dropboxusercontent.com/scl/fi/ej1w03zfeqzuvetgkwmoc/114668-f.jpg?rlkey=5mpdcqloirbomkjh7lru4xcri&amp;dl=0","Click to download Image")</f>
      </c>
      <c r="C1266" s="0" t="inlineStr">
        <is>
          <t>Benji Toddler Hoodie</t>
        </is>
      </c>
      <c r="D1266" s="0" t="inlineStr">
        <is>
          <t>'114850</t>
        </is>
      </c>
      <c r="E1266" s="0" t="inlineStr">
        <is>
          <t>PURDUE BENJI T GREY:114850C-4T</t>
        </is>
      </c>
      <c r="F1266" s="0" t="inlineStr">
        <is>
          <t>'804114850106</t>
        </is>
      </c>
      <c r="G1266" s="0" t="inlineStr">
        <is>
          <t>TODDLER</t>
        </is>
      </c>
      <c r="H1266" s="0" t="inlineStr">
        <is>
          <t>4T</t>
        </is>
      </c>
      <c r="I1266" s="0">
        <v>49.99</v>
      </c>
      <c r="J1266" s="0">
        <v>0</v>
      </c>
    </row>
    <row r="1267" spans="1:10" customHeight="0">
      <c r="A1267" s="0">
        <f>HYPERLINK("https://dl.dropboxusercontent.com/scl/fi/ej1w03zfeqzuvetgkwmoc/114668-f.jpg?rlkey=5mpdcqloirbomkjh7lru4xcri&amp;dl=0","Click to download Image")</f>
      </c>
      <c r="C1267" s="0" t="inlineStr">
        <is>
          <t>Benji Toddler Hoodie</t>
        </is>
      </c>
      <c r="D1267" s="0" t="inlineStr">
        <is>
          <t>'114850</t>
        </is>
      </c>
      <c r="E1267" s="0" t="inlineStr">
        <is>
          <t>PURDUE BENJI T GREY:114850D - 5T</t>
        </is>
      </c>
      <c r="F1267" s="0" t="inlineStr">
        <is>
          <t>'804114850113</t>
        </is>
      </c>
      <c r="G1267" s="0" t="inlineStr">
        <is>
          <t>TODDLER</t>
        </is>
      </c>
      <c r="H1267" s="0" t="inlineStr">
        <is>
          <t>5T</t>
        </is>
      </c>
      <c r="I1267" s="0">
        <v>49.99</v>
      </c>
      <c r="J1267" s="0">
        <v>1</v>
      </c>
    </row>
    <row r="1268" spans="1:10" customHeight="0">
      <c r="A1268" s="0">
        <f>HYPERLINK("https://dl.dropboxusercontent.com/scl/fi/ej1w03zfeqzuvetgkwmoc/114668-f.jpg?rlkey=5mpdcqloirbomkjh7lru4xcri&amp;dl=0","Click to download Image")</f>
      </c>
      <c r="C1268" s="0" t="inlineStr">
        <is>
          <t>Benji Toddler Hoodie</t>
        </is>
      </c>
      <c r="D1268" s="0" t="inlineStr">
        <is>
          <t>'114850</t>
        </is>
      </c>
      <c r="E1268" s="0" t="inlineStr">
        <is>
          <t>PURDUE BENJI T GREY 12 PACK:114850Z-12PK</t>
        </is>
      </c>
      <c r="F1268" s="0" t="inlineStr">
        <is>
          <t>'804114850991</t>
        </is>
      </c>
      <c r="G1268" s="0" t="inlineStr">
        <is>
          <t>TODDLER</t>
        </is>
      </c>
      <c r="H1268" s="0" t="inlineStr">
        <is>
          <t>12 PACK</t>
        </is>
      </c>
      <c r="I1268" s="0">
        <v>486</v>
      </c>
      <c r="J1268" s="0">
        <v>0</v>
      </c>
    </row>
    <row r="1269" spans="1:10" customHeight="0">
      <c r="A1269" s="0">
        <f>HYPERLINK("https://dl.dropboxusercontent.com/scl/fi/asp8bft993lwaow05eo1d/123542-f.jpg?rlkey=a9spul8kosja3gzbkc424rtdq&amp;dl=0","Click to download Image")</f>
      </c>
      <c r="C1269" s="0" t="inlineStr">
        <is>
          <t>Benji Toddler Hoodie</t>
        </is>
      </c>
      <c r="D1269" s="0" t="inlineStr">
        <is>
          <t>'123543</t>
        </is>
      </c>
      <c r="E1269" s="0" t="inlineStr">
        <is>
          <t>UNI BENJI T GY:123543A-2T</t>
        </is>
      </c>
      <c r="F1269" s="0" t="inlineStr">
        <is>
          <t>'802123543088</t>
        </is>
      </c>
      <c r="G1269" s="0" t="inlineStr">
        <is>
          <t>TODDLER</t>
        </is>
      </c>
      <c r="H1269" s="0" t="inlineStr">
        <is>
          <t>2T</t>
        </is>
      </c>
      <c r="I1269" s="0">
        <v>49.99</v>
      </c>
      <c r="J1269" s="0">
        <v>6</v>
      </c>
    </row>
    <row r="1270" spans="1:10" customHeight="0">
      <c r="A1270" s="0">
        <f>HYPERLINK("https://dl.dropboxusercontent.com/scl/fi/asp8bft993lwaow05eo1d/123542-f.jpg?rlkey=a9spul8kosja3gzbkc424rtdq&amp;dl=0","Click to download Image")</f>
      </c>
      <c r="C1270" s="0" t="inlineStr">
        <is>
          <t>Benji Toddler Hoodie</t>
        </is>
      </c>
      <c r="D1270" s="0" t="inlineStr">
        <is>
          <t>'123543</t>
        </is>
      </c>
      <c r="E1270" s="0" t="inlineStr">
        <is>
          <t>UNI BENJI T GY:123543B-3T</t>
        </is>
      </c>
      <c r="F1270" s="0" t="inlineStr">
        <is>
          <t>'802123543095</t>
        </is>
      </c>
      <c r="G1270" s="0" t="inlineStr">
        <is>
          <t>TODDLER</t>
        </is>
      </c>
      <c r="H1270" s="0" t="inlineStr">
        <is>
          <t>3T</t>
        </is>
      </c>
      <c r="I1270" s="0">
        <v>49.99</v>
      </c>
      <c r="J1270" s="0">
        <v>6</v>
      </c>
    </row>
    <row r="1271" spans="1:10" customHeight="0">
      <c r="A1271" s="0">
        <f>HYPERLINK("https://dl.dropboxusercontent.com/scl/fi/asp8bft993lwaow05eo1d/123542-f.jpg?rlkey=a9spul8kosja3gzbkc424rtdq&amp;dl=0","Click to download Image")</f>
      </c>
      <c r="C1271" s="0" t="inlineStr">
        <is>
          <t>Benji Toddler Hoodie</t>
        </is>
      </c>
      <c r="D1271" s="0" t="inlineStr">
        <is>
          <t>'123543</t>
        </is>
      </c>
      <c r="E1271" s="0" t="inlineStr">
        <is>
          <t>UNI BENJI T GY:123543C-4T</t>
        </is>
      </c>
      <c r="F1271" s="0" t="inlineStr">
        <is>
          <t>'802123543101</t>
        </is>
      </c>
      <c r="G1271" s="0" t="inlineStr">
        <is>
          <t>TODDLER</t>
        </is>
      </c>
      <c r="H1271" s="0" t="inlineStr">
        <is>
          <t>4T</t>
        </is>
      </c>
      <c r="I1271" s="0">
        <v>49.99</v>
      </c>
      <c r="J1271" s="0">
        <v>6</v>
      </c>
    </row>
    <row r="1272" spans="1:10" customHeight="0">
      <c r="A1272" s="0">
        <f>HYPERLINK("https://dl.dropboxusercontent.com/scl/fi/asp8bft993lwaow05eo1d/123542-f.jpg?rlkey=a9spul8kosja3gzbkc424rtdq&amp;dl=0","Click to download Image")</f>
      </c>
      <c r="C1272" s="0" t="inlineStr">
        <is>
          <t>Benji Toddler Hoodie</t>
        </is>
      </c>
      <c r="D1272" s="0" t="inlineStr">
        <is>
          <t>'123543</t>
        </is>
      </c>
      <c r="E1272" s="0" t="inlineStr">
        <is>
          <t>UNI BENJI T GY:123543D-5T</t>
        </is>
      </c>
      <c r="F1272" s="0" t="inlineStr">
        <is>
          <t>'802123543118</t>
        </is>
      </c>
      <c r="G1272" s="0" t="inlineStr">
        <is>
          <t>TODDLER</t>
        </is>
      </c>
      <c r="H1272" s="0" t="inlineStr">
        <is>
          <t>5T</t>
        </is>
      </c>
      <c r="I1272" s="0">
        <v>49.99</v>
      </c>
      <c r="J1272" s="0">
        <v>6</v>
      </c>
    </row>
    <row r="1273" spans="1:10" customHeight="0">
      <c r="A1273" s="0">
        <f>HYPERLINK("https://dl.dropboxusercontent.com/scl/fi/asp8bft993lwaow05eo1d/123542-f.jpg?rlkey=a9spul8kosja3gzbkc424rtdq&amp;dl=0","Click to download Image")</f>
      </c>
      <c r="C1273" s="0" t="inlineStr">
        <is>
          <t>Benji Toddler Hoodie</t>
        </is>
      </c>
      <c r="D1273" s="0" t="inlineStr">
        <is>
          <t>'123543</t>
        </is>
      </c>
      <c r="E1273" s="0" t="inlineStr">
        <is>
          <t>UNI BENJI T GY 12PK:123543Z-12PK</t>
        </is>
      </c>
      <c r="F1273" s="0" t="inlineStr">
        <is>
          <t>'802123543996</t>
        </is>
      </c>
      <c r="G1273" s="0" t="inlineStr">
        <is>
          <t>TODDLER</t>
        </is>
      </c>
      <c r="H1273" s="0" t="inlineStr">
        <is>
          <t>12 PACK</t>
        </is>
      </c>
      <c r="I1273" s="0">
        <v>486</v>
      </c>
      <c r="J1273" s="0">
        <v>2</v>
      </c>
    </row>
    <row r="1274" spans="1:10" customHeight="0">
      <c r="A1274" s="0">
        <f>HYPERLINK("https://dl.dropboxusercontent.com/scl/fi/92z39h52u4yfewhfd3dzv/112615-af.jpg?rlkey=xpylr6qna32afeuqrb3awmsmw&amp;dl=0","Click to download Image")</f>
      </c>
      <c r="C1274" s="0" t="inlineStr">
        <is>
          <t>Gregory Jacquard Knit Beanie</t>
        </is>
      </c>
      <c r="D1274" s="0" t="inlineStr">
        <is>
          <t>'112615</t>
        </is>
      </c>
      <c r="E1274" s="0" t="inlineStr">
        <is>
          <t>ISU GREGORY:112615</t>
        </is>
      </c>
      <c r="F1274" s="0" t="inlineStr">
        <is>
          <t>'701112615013</t>
        </is>
      </c>
      <c r="G1274" s="0" t="inlineStr">
        <is>
          <t>MENS</t>
        </is>
      </c>
      <c r="H1274" s="0" t="inlineStr">
        <is>
          <t>STANDARD MENS</t>
        </is>
      </c>
      <c r="I1274" s="0">
        <v>19.99</v>
      </c>
      <c r="J1274" s="0">
        <v>133</v>
      </c>
    </row>
    <row r="1275" spans="1:10" customHeight="0">
      <c r="A1275" s="0">
        <f>HYPERLINK("https://dl.dropboxusercontent.com/scl/fi/e83l3qsf4mhg4rdebtmv7/123933af.jpg?rlkey=rxim5h6zwufam24ueyn7q2mb1&amp;dl=0","Click to download Image")</f>
      </c>
      <c r="C1275" s="0" t="inlineStr">
        <is>
          <t>Gregory Jacquard Knit Beanie</t>
        </is>
      </c>
      <c r="D1275" s="0" t="inlineStr">
        <is>
          <t>'123933</t>
        </is>
      </c>
      <c r="E1275" s="0" t="inlineStr">
        <is>
          <t>UNO GREGOR RD:123933</t>
        </is>
      </c>
      <c r="F1275" s="0" t="inlineStr">
        <is>
          <t>'709123933010</t>
        </is>
      </c>
      <c r="G1275" s="0" t="inlineStr">
        <is>
          <t>MENS</t>
        </is>
      </c>
      <c r="H1275" s="0" t="inlineStr">
        <is>
          <t>STANDARD MENS</t>
        </is>
      </c>
      <c r="I1275" s="0">
        <v>19.99</v>
      </c>
      <c r="J1275" s="0">
        <v>1</v>
      </c>
    </row>
    <row r="1276" spans="1:10" customHeight="0">
      <c r="A1276" s="0">
        <f>HYPERLINK("https://dl.dropboxusercontent.com/scl/fi/3e8cgortlaj0ikfi5b6zw/116845af.jpg?rlkey=ceqaw7tbvy83xxwfhrlkdyad1&amp;dl=0","Click to download Image")</f>
      </c>
      <c r="C1276" s="0" t="inlineStr">
        <is>
          <t>Anders Men's Cap</t>
        </is>
      </c>
      <c r="D1276" s="0" t="inlineStr">
        <is>
          <t>'116845</t>
        </is>
      </c>
      <c r="E1276" s="0" t="inlineStr">
        <is>
          <t>UNI ANDERS A GY:116845</t>
        </is>
      </c>
      <c r="F1276" s="0" t="inlineStr">
        <is>
          <t>'702116845000</t>
        </is>
      </c>
      <c r="G1276" s="0" t="inlineStr">
        <is>
          <t>MENS</t>
        </is>
      </c>
      <c r="I1276" s="0">
        <v>19.99</v>
      </c>
      <c r="J1276" s="0">
        <v>29</v>
      </c>
    </row>
    <row r="1277" spans="1:10" customHeight="0">
      <c r="A1277" s="0">
        <f>HYPERLINK("https://dl.dropboxusercontent.com/scl/fi/mmlwwaysxk6m54m21uo9t/120548-af.jpg?rlkey=h60n7jdy1zf5rogrxqum7g4mm&amp;dl=0","Click to download Image")</f>
      </c>
      <c r="C1277" s="0" t="inlineStr">
        <is>
          <t>Anders Men's Cap</t>
        </is>
      </c>
      <c r="D1277" s="0" t="inlineStr">
        <is>
          <t>'120548</t>
        </is>
      </c>
      <c r="E1277" s="0" t="inlineStr">
        <is>
          <t>KSU  A ANDERS:120548</t>
        </is>
      </c>
      <c r="F1277" s="0" t="inlineStr">
        <is>
          <t>'705120548004</t>
        </is>
      </c>
      <c r="G1277" s="0" t="inlineStr">
        <is>
          <t>MENS</t>
        </is>
      </c>
      <c r="H1277" s="0" t="inlineStr">
        <is>
          <t>STANDARD MENS</t>
        </is>
      </c>
      <c r="I1277" s="0">
        <v>19.99</v>
      </c>
      <c r="J1277" s="0">
        <v>143</v>
      </c>
    </row>
    <row r="1278" spans="1:10" customHeight="0">
      <c r="A1278" s="0">
        <f>HYPERLINK("https://dl.dropboxusercontent.com/scl/fi/jypokf7ysf1wu6pkum91u/124758-flat-f.jpg?rlkey=sxyelf7ts6efg3adgy5dd34y1&amp;dl=0","Click to download Image")</f>
      </c>
      <c r="C1278" s="0" t="inlineStr">
        <is>
          <t>Clifford Youth Beanie</t>
        </is>
      </c>
      <c r="D1278" s="0" t="inlineStr">
        <is>
          <t>'124758</t>
        </is>
      </c>
      <c r="E1278" s="0" t="inlineStr">
        <is>
          <t>CU CLIFFO Y GY:124758</t>
        </is>
      </c>
      <c r="F1278" s="0" t="inlineStr">
        <is>
          <t>'710124758014</t>
        </is>
      </c>
      <c r="G1278" s="0" t="inlineStr">
        <is>
          <t>YOUTH</t>
        </is>
      </c>
      <c r="H1278" s="0" t="inlineStr">
        <is>
          <t>YOUTH</t>
        </is>
      </c>
      <c r="I1278" s="0">
        <v>19.99</v>
      </c>
      <c r="J1278" s="0">
        <v>13</v>
      </c>
    </row>
    <row r="1279" spans="1:10" customHeight="0">
      <c r="A1279" s="0">
        <f>HYPERLINK("https://dl.dropboxusercontent.com/scl/fi/jlzmybjpt8415fpio73vs/115974-af.jpg?rlkey=fcv9z7i4y6sc8gkxjqjsq3ape&amp;dl=0","Click to download Image")</f>
      </c>
      <c r="C1279" s="0" t="inlineStr">
        <is>
          <t>January Women's Cap</t>
        </is>
      </c>
      <c r="D1279" s="0" t="inlineStr">
        <is>
          <t>'115974</t>
        </is>
      </c>
      <c r="E1279" s="0" t="inlineStr">
        <is>
          <t>ISU JANUARY:115974</t>
        </is>
      </c>
      <c r="F1279" s="0" t="inlineStr">
        <is>
          <t>'701115974018</t>
        </is>
      </c>
      <c r="G1279" s="0" t="inlineStr">
        <is>
          <t>WOMENS</t>
        </is>
      </c>
      <c r="H1279" s="0" t="inlineStr">
        <is>
          <t>WOMENS</t>
        </is>
      </c>
      <c r="I1279" s="0">
        <v>19.99</v>
      </c>
      <c r="J1279" s="0">
        <v>33</v>
      </c>
    </row>
    <row r="1280" spans="1:10" customHeight="0">
      <c r="A1280" s="0">
        <f>HYPERLINK("https://dl.dropboxusercontent.com/scl/fi/e28w8zlz08hem5adn3o95/dsc0286.jpg?rlkey=7eh6nmqa0622ivfgpuppbazc8&amp;dl=0","Click to download Image")</f>
      </c>
      <c r="C1280" s="0" t="inlineStr">
        <is>
          <t>Infinity Youth Girls Cap</t>
        </is>
      </c>
      <c r="D1280" s="0" t="inlineStr">
        <is>
          <t>'113474</t>
        </is>
      </c>
      <c r="E1280" s="0" t="inlineStr">
        <is>
          <t>ISU INFINITY:113474</t>
        </is>
      </c>
      <c r="F1280" s="0" t="inlineStr">
        <is>
          <t>'701113474039</t>
        </is>
      </c>
      <c r="G1280" s="0" t="inlineStr">
        <is>
          <t>YOUTH</t>
        </is>
      </c>
      <c r="H1280" s="0" t="inlineStr">
        <is>
          <t>YOUTH</t>
        </is>
      </c>
      <c r="I1280" s="0">
        <v>19.99</v>
      </c>
      <c r="J1280" s="0">
        <v>12</v>
      </c>
    </row>
    <row r="1281" spans="1:10" customHeight="0">
      <c r="A1281" s="0">
        <f>HYPERLINK("https://dl.dropboxusercontent.com/scl/fi/s9o3olkarhqam62n6bbyt/117547-f.jpg?rlkey=rlz9xvmr96vu1hgxock769qmo&amp;dl=0","Click to download Image")</f>
      </c>
      <c r="B1281" s="0">
        <f>HYPERLINK("https://dl.dropboxusercontent.com/scl/fi/10ohpg5zqhl0lvtxiymkq/mens-jackets-size-chartsjaxtyn.jpg?rlkey=kruqshwpiwb4w1px9xras9q2v&amp;dl=0","Click to download SizeChart")</f>
      </c>
      <c r="C1281" s="0" t="inlineStr">
        <is>
          <t>Jaxtyn Men's Jacket</t>
        </is>
      </c>
      <c r="D1281" s="0" t="inlineStr">
        <is>
          <t>'117547</t>
        </is>
      </c>
      <c r="E1281" s="0" t="inlineStr">
        <is>
          <t>ISU JAXTYN M BLACK:117547A-S</t>
        </is>
      </c>
      <c r="F1281" s="0" t="inlineStr">
        <is>
          <t>'801117547040</t>
        </is>
      </c>
      <c r="G1281" s="0" t="inlineStr">
        <is>
          <t>MENS</t>
        </is>
      </c>
      <c r="H1281" s="0" t="inlineStr">
        <is>
          <t>S</t>
        </is>
      </c>
      <c r="I1281" s="0">
        <v>82.99</v>
      </c>
      <c r="J1281" s="0">
        <v>1</v>
      </c>
    </row>
    <row r="1282" spans="1:10" customHeight="0">
      <c r="A1282" s="0">
        <f>HYPERLINK("https://dl.dropboxusercontent.com/scl/fi/s9o3olkarhqam62n6bbyt/117547-f.jpg?rlkey=rlz9xvmr96vu1hgxock769qmo&amp;dl=0","Click to download Image")</f>
      </c>
      <c r="B1282" s="0">
        <f>HYPERLINK("https://dl.dropboxusercontent.com/scl/fi/10ohpg5zqhl0lvtxiymkq/mens-jackets-size-chartsjaxtyn.jpg?rlkey=kruqshwpiwb4w1px9xras9q2v&amp;dl=0","Click to download SizeChart")</f>
      </c>
      <c r="C1282" s="0" t="inlineStr">
        <is>
          <t>Jaxtyn Men's Jacket</t>
        </is>
      </c>
      <c r="D1282" s="0" t="inlineStr">
        <is>
          <t>'117547</t>
        </is>
      </c>
      <c r="E1282" s="0" t="inlineStr">
        <is>
          <t>ISU JAXTYN M BLACK:117547B-M</t>
        </is>
      </c>
      <c r="F1282" s="0" t="inlineStr">
        <is>
          <t>'801117547057</t>
        </is>
      </c>
      <c r="G1282" s="0" t="inlineStr">
        <is>
          <t>MENS</t>
        </is>
      </c>
      <c r="H1282" s="0" t="inlineStr">
        <is>
          <t>M</t>
        </is>
      </c>
      <c r="I1282" s="0">
        <v>82.99</v>
      </c>
      <c r="J1282" s="0">
        <v>2</v>
      </c>
    </row>
    <row r="1283" spans="1:10" customHeight="0">
      <c r="A1283" s="0">
        <f>HYPERLINK("https://dl.dropboxusercontent.com/scl/fi/s9o3olkarhqam62n6bbyt/117547-f.jpg?rlkey=rlz9xvmr96vu1hgxock769qmo&amp;dl=0","Click to download Image")</f>
      </c>
      <c r="B1283" s="0">
        <f>HYPERLINK("https://dl.dropboxusercontent.com/scl/fi/10ohpg5zqhl0lvtxiymkq/mens-jackets-size-chartsjaxtyn.jpg?rlkey=kruqshwpiwb4w1px9xras9q2v&amp;dl=0","Click to download SizeChart")</f>
      </c>
      <c r="C1283" s="0" t="inlineStr">
        <is>
          <t>Jaxtyn Men's Jacket</t>
        </is>
      </c>
      <c r="D1283" s="0" t="inlineStr">
        <is>
          <t>'117547</t>
        </is>
      </c>
      <c r="E1283" s="0" t="inlineStr">
        <is>
          <t>ISU JAXTYN M BLACK:117547C-L</t>
        </is>
      </c>
      <c r="F1283" s="0" t="inlineStr">
        <is>
          <t>'801117547064</t>
        </is>
      </c>
      <c r="G1283" s="0" t="inlineStr">
        <is>
          <t>MENS</t>
        </is>
      </c>
      <c r="H1283" s="0" t="inlineStr">
        <is>
          <t>L</t>
        </is>
      </c>
      <c r="I1283" s="0">
        <v>82.99</v>
      </c>
      <c r="J1283" s="0">
        <v>2</v>
      </c>
    </row>
    <row r="1284" spans="1:10" customHeight="0">
      <c r="A1284" s="0">
        <f>HYPERLINK("https://dl.dropboxusercontent.com/scl/fi/s9o3olkarhqam62n6bbyt/117547-f.jpg?rlkey=rlz9xvmr96vu1hgxock769qmo&amp;dl=0","Click to download Image")</f>
      </c>
      <c r="B1284" s="0">
        <f>HYPERLINK("https://dl.dropboxusercontent.com/scl/fi/10ohpg5zqhl0lvtxiymkq/mens-jackets-size-chartsjaxtyn.jpg?rlkey=kruqshwpiwb4w1px9xras9q2v&amp;dl=0","Click to download SizeChart")</f>
      </c>
      <c r="C1284" s="0" t="inlineStr">
        <is>
          <t>Jaxtyn Men's Jacket</t>
        </is>
      </c>
      <c r="D1284" s="0" t="inlineStr">
        <is>
          <t>'117547</t>
        </is>
      </c>
      <c r="E1284" s="0" t="inlineStr">
        <is>
          <t>ISU JAXTYN M BLACK:117547D-XL</t>
        </is>
      </c>
      <c r="F1284" s="0" t="inlineStr">
        <is>
          <t>'801117547071</t>
        </is>
      </c>
      <c r="G1284" s="0" t="inlineStr">
        <is>
          <t>MENS</t>
        </is>
      </c>
      <c r="H1284" s="0" t="inlineStr">
        <is>
          <t>XL</t>
        </is>
      </c>
      <c r="I1284" s="0">
        <v>82.99</v>
      </c>
      <c r="J1284" s="0">
        <v>3</v>
      </c>
    </row>
    <row r="1285" spans="1:10" customHeight="0">
      <c r="A1285" s="0">
        <f>HYPERLINK("https://dl.dropboxusercontent.com/scl/fi/s9o3olkarhqam62n6bbyt/117547-f.jpg?rlkey=rlz9xvmr96vu1hgxock769qmo&amp;dl=0","Click to download Image")</f>
      </c>
      <c r="B1285" s="0">
        <f>HYPERLINK("https://dl.dropboxusercontent.com/scl/fi/10ohpg5zqhl0lvtxiymkq/mens-jackets-size-chartsjaxtyn.jpg?rlkey=kruqshwpiwb4w1px9xras9q2v&amp;dl=0","Click to download SizeChart")</f>
      </c>
      <c r="C1285" s="0" t="inlineStr">
        <is>
          <t>Jaxtyn Men's Jacket</t>
        </is>
      </c>
      <c r="D1285" s="0" t="inlineStr">
        <is>
          <t>'117547</t>
        </is>
      </c>
      <c r="E1285" s="0" t="inlineStr">
        <is>
          <t>ISU JAXTYN M BLACK:117547E-2XL</t>
        </is>
      </c>
      <c r="F1285" s="0" t="inlineStr">
        <is>
          <t>'801117547088</t>
        </is>
      </c>
      <c r="G1285" s="0" t="inlineStr">
        <is>
          <t>MENS</t>
        </is>
      </c>
      <c r="H1285" s="0" t="inlineStr">
        <is>
          <t>2XL</t>
        </is>
      </c>
      <c r="I1285" s="0">
        <v>82.99</v>
      </c>
      <c r="J1285" s="0">
        <v>1</v>
      </c>
    </row>
    <row r="1286" spans="1:10" customHeight="0">
      <c r="A1286" s="0">
        <f>HYPERLINK("https://dl.dropboxusercontent.com/scl/fi/s9o3olkarhqam62n6bbyt/117547-f.jpg?rlkey=rlz9xvmr96vu1hgxock769qmo&amp;dl=0","Click to download Image")</f>
      </c>
      <c r="B1286" s="0">
        <f>HYPERLINK("https://dl.dropboxusercontent.com/scl/fi/10ohpg5zqhl0lvtxiymkq/mens-jackets-size-chartsjaxtyn.jpg?rlkey=kruqshwpiwb4w1px9xras9q2v&amp;dl=0","Click to download SizeChart")</f>
      </c>
      <c r="C1286" s="0" t="inlineStr">
        <is>
          <t>Jaxtyn Men's Jacket</t>
        </is>
      </c>
      <c r="D1286" s="0" t="inlineStr">
        <is>
          <t>'117547</t>
        </is>
      </c>
      <c r="E1286" s="0" t="inlineStr">
        <is>
          <t>ISU JAXTYN M BLACK:117547F-3XL</t>
        </is>
      </c>
      <c r="F1286" s="0" t="inlineStr">
        <is>
          <t>'801117547095</t>
        </is>
      </c>
      <c r="G1286" s="0" t="inlineStr">
        <is>
          <t>MENS</t>
        </is>
      </c>
      <c r="H1286" s="0" t="inlineStr">
        <is>
          <t>3XL</t>
        </is>
      </c>
      <c r="I1286" s="0">
        <v>82.99</v>
      </c>
      <c r="J1286" s="0">
        <v>0</v>
      </c>
    </row>
    <row r="1287" spans="1:10" customHeight="0">
      <c r="A1287" s="0">
        <f>HYPERLINK("https://dl.dropboxusercontent.com/scl/fi/s9o3olkarhqam62n6bbyt/117547-f.jpg?rlkey=rlz9xvmr96vu1hgxock769qmo&amp;dl=0","Click to download Image")</f>
      </c>
      <c r="B1287" s="0">
        <f>HYPERLINK("https://dl.dropboxusercontent.com/scl/fi/10ohpg5zqhl0lvtxiymkq/mens-jackets-size-chartsjaxtyn.jpg?rlkey=kruqshwpiwb4w1px9xras9q2v&amp;dl=0","Click to download SizeChart")</f>
      </c>
      <c r="C1287" s="0" t="inlineStr">
        <is>
          <t>Jaxtyn Men's Jacket</t>
        </is>
      </c>
      <c r="D1287" s="0" t="inlineStr">
        <is>
          <t>'117547</t>
        </is>
      </c>
      <c r="E1287" s="0" t="inlineStr">
        <is>
          <t>ISU JAXTYN M BLACK 12 PACK:117547Z-12PK</t>
        </is>
      </c>
      <c r="F1287" s="0" t="inlineStr">
        <is>
          <t>'801117547996</t>
        </is>
      </c>
      <c r="G1287" s="0" t="inlineStr">
        <is>
          <t>MENS</t>
        </is>
      </c>
      <c r="H1287" s="0" t="inlineStr">
        <is>
          <t>12 PACK</t>
        </is>
      </c>
      <c r="I1287" s="0">
        <v>774</v>
      </c>
      <c r="J1287" s="0">
        <v>1</v>
      </c>
    </row>
    <row r="1288" spans="1:10" customHeight="0">
      <c r="A1288" s="0">
        <f>HYPERLINK("https://dl.dropboxusercontent.com/scl/fi/o7605z38j1vxsy7eyi8fs/117546-f.jpg?rlkey=ebv4ud1svkshyqxy7gvbu14fg&amp;dl=0","Click to download Image")</f>
      </c>
      <c r="B1288" s="0">
        <f>HYPERLINK("https://dl.dropboxusercontent.com/scl/fi/10ohpg5zqhl0lvtxiymkq/mens-jackets-size-chartsjaxtyn.jpg?rlkey=kruqshwpiwb4w1px9xras9q2v&amp;dl=0","Click to download SizeChart")</f>
      </c>
      <c r="C1288" s="0" t="inlineStr">
        <is>
          <t>Jaxtyn Men's Jacket</t>
        </is>
      </c>
      <c r="D1288" s="0" t="inlineStr">
        <is>
          <t>'117546</t>
        </is>
      </c>
      <c r="E1288" s="0" t="inlineStr">
        <is>
          <t>IOWA JAXTYN M BLACK:117546A-S</t>
        </is>
      </c>
      <c r="F1288" s="0" t="inlineStr">
        <is>
          <t>'800117546046</t>
        </is>
      </c>
      <c r="G1288" s="0" t="inlineStr">
        <is>
          <t>MENS</t>
        </is>
      </c>
      <c r="H1288" s="0" t="inlineStr">
        <is>
          <t>S</t>
        </is>
      </c>
      <c r="I1288" s="0">
        <v>82.99</v>
      </c>
      <c r="J1288" s="0">
        <v>0</v>
      </c>
    </row>
    <row r="1289" spans="1:10" customHeight="0">
      <c r="A1289" s="0">
        <f>HYPERLINK("https://dl.dropboxusercontent.com/scl/fi/o7605z38j1vxsy7eyi8fs/117546-f.jpg?rlkey=ebv4ud1svkshyqxy7gvbu14fg&amp;dl=0","Click to download Image")</f>
      </c>
      <c r="B1289" s="0">
        <f>HYPERLINK("https://dl.dropboxusercontent.com/scl/fi/10ohpg5zqhl0lvtxiymkq/mens-jackets-size-chartsjaxtyn.jpg?rlkey=kruqshwpiwb4w1px9xras9q2v&amp;dl=0","Click to download SizeChart")</f>
      </c>
      <c r="C1289" s="0" t="inlineStr">
        <is>
          <t>Jaxtyn Men's Jacket</t>
        </is>
      </c>
      <c r="D1289" s="0" t="inlineStr">
        <is>
          <t>'117546</t>
        </is>
      </c>
      <c r="E1289" s="0" t="inlineStr">
        <is>
          <t>IOWA JAXTYN M BLACK:117546B-M</t>
        </is>
      </c>
      <c r="F1289" s="0" t="inlineStr">
        <is>
          <t>'800117546053</t>
        </is>
      </c>
      <c r="G1289" s="0" t="inlineStr">
        <is>
          <t>MENS</t>
        </is>
      </c>
      <c r="H1289" s="0" t="inlineStr">
        <is>
          <t>M</t>
        </is>
      </c>
      <c r="I1289" s="0">
        <v>82.99</v>
      </c>
      <c r="J1289" s="0">
        <v>2</v>
      </c>
    </row>
    <row r="1290" spans="1:10" customHeight="0">
      <c r="A1290" s="0">
        <f>HYPERLINK("https://dl.dropboxusercontent.com/scl/fi/o7605z38j1vxsy7eyi8fs/117546-f.jpg?rlkey=ebv4ud1svkshyqxy7gvbu14fg&amp;dl=0","Click to download Image")</f>
      </c>
      <c r="B1290" s="0">
        <f>HYPERLINK("https://dl.dropboxusercontent.com/scl/fi/10ohpg5zqhl0lvtxiymkq/mens-jackets-size-chartsjaxtyn.jpg?rlkey=kruqshwpiwb4w1px9xras9q2v&amp;dl=0","Click to download SizeChart")</f>
      </c>
      <c r="C1290" s="0" t="inlineStr">
        <is>
          <t>Jaxtyn Men's Jacket</t>
        </is>
      </c>
      <c r="D1290" s="0" t="inlineStr">
        <is>
          <t>'117546</t>
        </is>
      </c>
      <c r="E1290" s="0" t="inlineStr">
        <is>
          <t>IOWA JAXTYN M BLACK:117546C-L</t>
        </is>
      </c>
      <c r="F1290" s="0" t="inlineStr">
        <is>
          <t>'800117546060</t>
        </is>
      </c>
      <c r="G1290" s="0" t="inlineStr">
        <is>
          <t>MENS</t>
        </is>
      </c>
      <c r="H1290" s="0" t="inlineStr">
        <is>
          <t>L</t>
        </is>
      </c>
      <c r="I1290" s="0">
        <v>82.99</v>
      </c>
      <c r="J1290" s="0">
        <v>2</v>
      </c>
    </row>
    <row r="1291" spans="1:10" customHeight="0">
      <c r="A1291" s="0">
        <f>HYPERLINK("https://dl.dropboxusercontent.com/scl/fi/o7605z38j1vxsy7eyi8fs/117546-f.jpg?rlkey=ebv4ud1svkshyqxy7gvbu14fg&amp;dl=0","Click to download Image")</f>
      </c>
      <c r="B1291" s="0">
        <f>HYPERLINK("https://dl.dropboxusercontent.com/scl/fi/10ohpg5zqhl0lvtxiymkq/mens-jackets-size-chartsjaxtyn.jpg?rlkey=kruqshwpiwb4w1px9xras9q2v&amp;dl=0","Click to download SizeChart")</f>
      </c>
      <c r="C1291" s="0" t="inlineStr">
        <is>
          <t>Jaxtyn Men's Jacket</t>
        </is>
      </c>
      <c r="D1291" s="0" t="inlineStr">
        <is>
          <t>'117546</t>
        </is>
      </c>
      <c r="E1291" s="0" t="inlineStr">
        <is>
          <t>IOWA JAXTYN M BLACK:117546D-XL</t>
        </is>
      </c>
      <c r="F1291" s="0" t="inlineStr">
        <is>
          <t>'800117546077</t>
        </is>
      </c>
      <c r="G1291" s="0" t="inlineStr">
        <is>
          <t>MENS</t>
        </is>
      </c>
      <c r="H1291" s="0" t="inlineStr">
        <is>
          <t>XL</t>
        </is>
      </c>
      <c r="I1291" s="0">
        <v>82.99</v>
      </c>
      <c r="J1291" s="0">
        <v>2</v>
      </c>
    </row>
    <row r="1292" spans="1:10" customHeight="0">
      <c r="A1292" s="0">
        <f>HYPERLINK("https://dl.dropboxusercontent.com/scl/fi/o7605z38j1vxsy7eyi8fs/117546-f.jpg?rlkey=ebv4ud1svkshyqxy7gvbu14fg&amp;dl=0","Click to download Image")</f>
      </c>
      <c r="B1292" s="0">
        <f>HYPERLINK("https://dl.dropboxusercontent.com/scl/fi/10ohpg5zqhl0lvtxiymkq/mens-jackets-size-chartsjaxtyn.jpg?rlkey=kruqshwpiwb4w1px9xras9q2v&amp;dl=0","Click to download SizeChart")</f>
      </c>
      <c r="C1292" s="0" t="inlineStr">
        <is>
          <t>Jaxtyn Men's Jacket</t>
        </is>
      </c>
      <c r="D1292" s="0" t="inlineStr">
        <is>
          <t>'117546</t>
        </is>
      </c>
      <c r="E1292" s="0" t="inlineStr">
        <is>
          <t>IOWA JAXTYN M BLACK:117546E-2XL</t>
        </is>
      </c>
      <c r="F1292" s="0" t="inlineStr">
        <is>
          <t>'800117546084</t>
        </is>
      </c>
      <c r="G1292" s="0" t="inlineStr">
        <is>
          <t>MENS</t>
        </is>
      </c>
      <c r="H1292" s="0" t="inlineStr">
        <is>
          <t>2XL</t>
        </is>
      </c>
      <c r="I1292" s="0">
        <v>82.99</v>
      </c>
      <c r="J1292" s="0">
        <v>2</v>
      </c>
    </row>
    <row r="1293" spans="1:10" customHeight="0">
      <c r="A1293" s="0">
        <f>HYPERLINK("https://dl.dropboxusercontent.com/scl/fi/o7605z38j1vxsy7eyi8fs/117546-f.jpg?rlkey=ebv4ud1svkshyqxy7gvbu14fg&amp;dl=0","Click to download Image")</f>
      </c>
      <c r="B1293" s="0">
        <f>HYPERLINK("https://dl.dropboxusercontent.com/scl/fi/10ohpg5zqhl0lvtxiymkq/mens-jackets-size-chartsjaxtyn.jpg?rlkey=kruqshwpiwb4w1px9xras9q2v&amp;dl=0","Click to download SizeChart")</f>
      </c>
      <c r="C1293" s="0" t="inlineStr">
        <is>
          <t>Jaxtyn Men's Jacket</t>
        </is>
      </c>
      <c r="D1293" s="0" t="inlineStr">
        <is>
          <t>'117546</t>
        </is>
      </c>
      <c r="E1293" s="0" t="inlineStr">
        <is>
          <t>IOWA JAXTYN M BLACK:117546F-3XL</t>
        </is>
      </c>
      <c r="F1293" s="0" t="inlineStr">
        <is>
          <t>'800117546091</t>
        </is>
      </c>
      <c r="G1293" s="0" t="inlineStr">
        <is>
          <t>MENS</t>
        </is>
      </c>
      <c r="H1293" s="0" t="inlineStr">
        <is>
          <t>3XL</t>
        </is>
      </c>
      <c r="I1293" s="0">
        <v>82.99</v>
      </c>
      <c r="J1293" s="0">
        <v>1</v>
      </c>
    </row>
    <row r="1294" spans="1:10" customHeight="0">
      <c r="A1294" s="0">
        <f>HYPERLINK("https://dl.dropboxusercontent.com/scl/fi/o7605z38j1vxsy7eyi8fs/117546-f.jpg?rlkey=ebv4ud1svkshyqxy7gvbu14fg&amp;dl=0","Click to download Image")</f>
      </c>
      <c r="B1294" s="0">
        <f>HYPERLINK("https://dl.dropboxusercontent.com/scl/fi/10ohpg5zqhl0lvtxiymkq/mens-jackets-size-chartsjaxtyn.jpg?rlkey=kruqshwpiwb4w1px9xras9q2v&amp;dl=0","Click to download SizeChart")</f>
      </c>
      <c r="C1294" s="0" t="inlineStr">
        <is>
          <t>Jaxtyn Men's Jacket</t>
        </is>
      </c>
      <c r="D1294" s="0" t="inlineStr">
        <is>
          <t>'117546</t>
        </is>
      </c>
      <c r="E1294" s="0" t="inlineStr">
        <is>
          <t>IOWA JAXTYN M BLACK 12 PACK:117546Z-12PK</t>
        </is>
      </c>
      <c r="F1294" s="0" t="inlineStr">
        <is>
          <t>'800117546992</t>
        </is>
      </c>
      <c r="G1294" s="0" t="inlineStr">
        <is>
          <t>MENS</t>
        </is>
      </c>
      <c r="H1294" s="0" t="inlineStr">
        <is>
          <t>12 PACK</t>
        </is>
      </c>
      <c r="I1294" s="0">
        <v>774</v>
      </c>
      <c r="J1294" s="0">
        <v>0</v>
      </c>
    </row>
    <row r="1295" spans="1:10" customHeight="0">
      <c r="A1295" s="0">
        <f>HYPERLINK("https://dl.dropboxusercontent.com/scl/fi/0us1tzqeh0pw1i0n2l9sv/123481-f.jpg?rlkey=ynia0ho471iu57gora2zn9c9v&amp;dl=0","Click to download Image")</f>
      </c>
      <c r="B1295" s="0">
        <f>HYPERLINK("https://dl.dropboxusercontent.com/scl/fi/10ohpg5zqhl0lvtxiymkq/mens-jackets-size-chartsjaxtyn.jpg?rlkey=kruqshwpiwb4w1px9xras9q2v&amp;dl=0","Click to download SizeChart")</f>
      </c>
      <c r="C1295" s="0" t="inlineStr">
        <is>
          <t>Jaxtyn Men's Jacket</t>
        </is>
      </c>
      <c r="D1295" s="0" t="inlineStr">
        <is>
          <t>'123481</t>
        </is>
      </c>
      <c r="E1295" s="0" t="inlineStr">
        <is>
          <t>NDSU JAXTYN M BK:123481A-S</t>
        </is>
      </c>
      <c r="F1295" s="0" t="inlineStr">
        <is>
          <t>'813123481041</t>
        </is>
      </c>
      <c r="G1295" s="0" t="inlineStr">
        <is>
          <t>MENS</t>
        </is>
      </c>
      <c r="H1295" s="0" t="inlineStr">
        <is>
          <t>S</t>
        </is>
      </c>
      <c r="I1295" s="0">
        <v>82.99</v>
      </c>
      <c r="J1295" s="0">
        <v>2</v>
      </c>
    </row>
    <row r="1296" spans="1:10" customHeight="0">
      <c r="A1296" s="0">
        <f>HYPERLINK("https://dl.dropboxusercontent.com/scl/fi/0us1tzqeh0pw1i0n2l9sv/123481-f.jpg?rlkey=ynia0ho471iu57gora2zn9c9v&amp;dl=0","Click to download Image")</f>
      </c>
      <c r="B1296" s="0">
        <f>HYPERLINK("https://dl.dropboxusercontent.com/scl/fi/10ohpg5zqhl0lvtxiymkq/mens-jackets-size-chartsjaxtyn.jpg?rlkey=kruqshwpiwb4w1px9xras9q2v&amp;dl=0","Click to download SizeChart")</f>
      </c>
      <c r="C1296" s="0" t="inlineStr">
        <is>
          <t>Jaxtyn Men's Jacket</t>
        </is>
      </c>
      <c r="D1296" s="0" t="inlineStr">
        <is>
          <t>'123481</t>
        </is>
      </c>
      <c r="E1296" s="0" t="inlineStr">
        <is>
          <t>NDSU JAXTYN M BK:123481B-M</t>
        </is>
      </c>
      <c r="F1296" s="0" t="inlineStr">
        <is>
          <t>'813123481058</t>
        </is>
      </c>
      <c r="G1296" s="0" t="inlineStr">
        <is>
          <t>MENS</t>
        </is>
      </c>
      <c r="H1296" s="0" t="inlineStr">
        <is>
          <t>M</t>
        </is>
      </c>
      <c r="I1296" s="0">
        <v>82.99</v>
      </c>
      <c r="J1296" s="0">
        <v>4</v>
      </c>
    </row>
    <row r="1297" spans="1:10" customHeight="0">
      <c r="A1297" s="0">
        <f>HYPERLINK("https://dl.dropboxusercontent.com/scl/fi/0us1tzqeh0pw1i0n2l9sv/123481-f.jpg?rlkey=ynia0ho471iu57gora2zn9c9v&amp;dl=0","Click to download Image")</f>
      </c>
      <c r="B1297" s="0">
        <f>HYPERLINK("https://dl.dropboxusercontent.com/scl/fi/10ohpg5zqhl0lvtxiymkq/mens-jackets-size-chartsjaxtyn.jpg?rlkey=kruqshwpiwb4w1px9xras9q2v&amp;dl=0","Click to download SizeChart")</f>
      </c>
      <c r="C1297" s="0" t="inlineStr">
        <is>
          <t>Jaxtyn Men's Jacket</t>
        </is>
      </c>
      <c r="D1297" s="0" t="inlineStr">
        <is>
          <t>'123481</t>
        </is>
      </c>
      <c r="E1297" s="0" t="inlineStr">
        <is>
          <t>NDSU JAXTYN M BK:123481C-L</t>
        </is>
      </c>
      <c r="F1297" s="0" t="inlineStr">
        <is>
          <t>'813123481065</t>
        </is>
      </c>
      <c r="G1297" s="0" t="inlineStr">
        <is>
          <t>MENS</t>
        </is>
      </c>
      <c r="H1297" s="0" t="inlineStr">
        <is>
          <t>L</t>
        </is>
      </c>
      <c r="I1297" s="0">
        <v>82.99</v>
      </c>
      <c r="J1297" s="0">
        <v>4</v>
      </c>
    </row>
    <row r="1298" spans="1:10" customHeight="0">
      <c r="A1298" s="0">
        <f>HYPERLINK("https://dl.dropboxusercontent.com/scl/fi/0us1tzqeh0pw1i0n2l9sv/123481-f.jpg?rlkey=ynia0ho471iu57gora2zn9c9v&amp;dl=0","Click to download Image")</f>
      </c>
      <c r="B1298" s="0">
        <f>HYPERLINK("https://dl.dropboxusercontent.com/scl/fi/10ohpg5zqhl0lvtxiymkq/mens-jackets-size-chartsjaxtyn.jpg?rlkey=kruqshwpiwb4w1px9xras9q2v&amp;dl=0","Click to download SizeChart")</f>
      </c>
      <c r="C1298" s="0" t="inlineStr">
        <is>
          <t>Jaxtyn Men's Jacket</t>
        </is>
      </c>
      <c r="D1298" s="0" t="inlineStr">
        <is>
          <t>'123481</t>
        </is>
      </c>
      <c r="E1298" s="0" t="inlineStr">
        <is>
          <t>NDSU JAXTYN M BK:123481D-XL</t>
        </is>
      </c>
      <c r="F1298" s="0" t="inlineStr">
        <is>
          <t>'813123481072</t>
        </is>
      </c>
      <c r="G1298" s="0" t="inlineStr">
        <is>
          <t>MENS</t>
        </is>
      </c>
      <c r="H1298" s="0" t="inlineStr">
        <is>
          <t>XL</t>
        </is>
      </c>
      <c r="I1298" s="0">
        <v>82.99</v>
      </c>
      <c r="J1298" s="0">
        <v>5</v>
      </c>
    </row>
    <row r="1299" spans="1:10" customHeight="0">
      <c r="A1299" s="0">
        <f>HYPERLINK("https://dl.dropboxusercontent.com/scl/fi/0us1tzqeh0pw1i0n2l9sv/123481-f.jpg?rlkey=ynia0ho471iu57gora2zn9c9v&amp;dl=0","Click to download Image")</f>
      </c>
      <c r="B1299" s="0">
        <f>HYPERLINK("https://dl.dropboxusercontent.com/scl/fi/10ohpg5zqhl0lvtxiymkq/mens-jackets-size-chartsjaxtyn.jpg?rlkey=kruqshwpiwb4w1px9xras9q2v&amp;dl=0","Click to download SizeChart")</f>
      </c>
      <c r="C1299" s="0" t="inlineStr">
        <is>
          <t>Jaxtyn Men's Jacket</t>
        </is>
      </c>
      <c r="D1299" s="0" t="inlineStr">
        <is>
          <t>'123481</t>
        </is>
      </c>
      <c r="E1299" s="0" t="inlineStr">
        <is>
          <t>NDSU JAXTYN M BK:123481E-2XL</t>
        </is>
      </c>
      <c r="F1299" s="0" t="inlineStr">
        <is>
          <t>'813123481089</t>
        </is>
      </c>
      <c r="G1299" s="0" t="inlineStr">
        <is>
          <t>MENS</t>
        </is>
      </c>
      <c r="H1299" s="0" t="inlineStr">
        <is>
          <t>2XL</t>
        </is>
      </c>
      <c r="I1299" s="0">
        <v>82.99</v>
      </c>
      <c r="J1299" s="0">
        <v>4</v>
      </c>
    </row>
    <row r="1300" spans="1:10" customHeight="0">
      <c r="A1300" s="0">
        <f>HYPERLINK("https://dl.dropboxusercontent.com/scl/fi/0us1tzqeh0pw1i0n2l9sv/123481-f.jpg?rlkey=ynia0ho471iu57gora2zn9c9v&amp;dl=0","Click to download Image")</f>
      </c>
      <c r="B1300" s="0">
        <f>HYPERLINK("https://dl.dropboxusercontent.com/scl/fi/10ohpg5zqhl0lvtxiymkq/mens-jackets-size-chartsjaxtyn.jpg?rlkey=kruqshwpiwb4w1px9xras9q2v&amp;dl=0","Click to download SizeChart")</f>
      </c>
      <c r="C1300" s="0" t="inlineStr">
        <is>
          <t>Jaxtyn Men's Jacket</t>
        </is>
      </c>
      <c r="D1300" s="0" t="inlineStr">
        <is>
          <t>'123481</t>
        </is>
      </c>
      <c r="E1300" s="0" t="inlineStr">
        <is>
          <t>NDSU JAXTYN M BK:123481F-3XL</t>
        </is>
      </c>
      <c r="F1300" s="0" t="inlineStr">
        <is>
          <t>'813123481096</t>
        </is>
      </c>
      <c r="G1300" s="0" t="inlineStr">
        <is>
          <t>MENS</t>
        </is>
      </c>
      <c r="H1300" s="0" t="inlineStr">
        <is>
          <t>3XL</t>
        </is>
      </c>
      <c r="I1300" s="0">
        <v>82.99</v>
      </c>
      <c r="J1300" s="0">
        <v>1</v>
      </c>
    </row>
    <row r="1301" spans="1:10" customHeight="0">
      <c r="A1301" s="0">
        <f>HYPERLINK("https://dl.dropboxusercontent.com/scl/fi/0us1tzqeh0pw1i0n2l9sv/123481-f.jpg?rlkey=ynia0ho471iu57gora2zn9c9v&amp;dl=0","Click to download Image")</f>
      </c>
      <c r="B1301" s="0">
        <f>HYPERLINK("https://dl.dropboxusercontent.com/scl/fi/10ohpg5zqhl0lvtxiymkq/mens-jackets-size-chartsjaxtyn.jpg?rlkey=kruqshwpiwb4w1px9xras9q2v&amp;dl=0","Click to download SizeChart")</f>
      </c>
      <c r="C1301" s="0" t="inlineStr">
        <is>
          <t>Jaxtyn Men's Jacket</t>
        </is>
      </c>
      <c r="D1301" s="0" t="inlineStr">
        <is>
          <t>'123481</t>
        </is>
      </c>
      <c r="E1301" s="0" t="inlineStr">
        <is>
          <t>NDSU JAXTYN M BK 12PK:123481Z-12PK</t>
        </is>
      </c>
      <c r="F1301" s="0" t="inlineStr">
        <is>
          <t>'813123481997</t>
        </is>
      </c>
      <c r="G1301" s="0" t="inlineStr">
        <is>
          <t>MENS</t>
        </is>
      </c>
      <c r="H1301" s="0" t="inlineStr">
        <is>
          <t>12 PACK</t>
        </is>
      </c>
      <c r="I1301" s="0">
        <v>774</v>
      </c>
      <c r="J1301" s="0">
        <v>1</v>
      </c>
    </row>
    <row r="1302" spans="1:10" customHeight="0">
      <c r="A1302" s="0">
        <f>HYPERLINK("https://dl.dropboxusercontent.com/scl/fi/po5c5krmhdrb7zc1ddebb/123505-f.jpg?rlkey=i99xjtjpv2gl61y5ijeiu56vb&amp;dl=0","Click to download Image")</f>
      </c>
      <c r="B1302" s="0">
        <f>HYPERLINK("https://dl.dropboxusercontent.com/scl/fi/10ohpg5zqhl0lvtxiymkq/mens-jackets-size-chartsjaxtyn.jpg?rlkey=kruqshwpiwb4w1px9xras9q2v&amp;dl=0","Click to download SizeChart")</f>
      </c>
      <c r="C1302" s="0" t="inlineStr">
        <is>
          <t>Jaxtyn Men's Jacket</t>
        </is>
      </c>
      <c r="D1302" s="0" t="inlineStr">
        <is>
          <t>'123505</t>
        </is>
      </c>
      <c r="E1302" s="0" t="inlineStr">
        <is>
          <t>UNI JAXTYN M BK:123505A-S</t>
        </is>
      </c>
      <c r="F1302" s="0" t="inlineStr">
        <is>
          <t>'802123505048</t>
        </is>
      </c>
      <c r="G1302" s="0" t="inlineStr">
        <is>
          <t>MENS</t>
        </is>
      </c>
      <c r="H1302" s="0" t="inlineStr">
        <is>
          <t>S</t>
        </is>
      </c>
      <c r="I1302" s="0">
        <v>82.99</v>
      </c>
      <c r="J1302" s="0">
        <v>2</v>
      </c>
    </row>
    <row r="1303" spans="1:10" customHeight="0">
      <c r="A1303" s="0">
        <f>HYPERLINK("https://dl.dropboxusercontent.com/scl/fi/po5c5krmhdrb7zc1ddebb/123505-f.jpg?rlkey=i99xjtjpv2gl61y5ijeiu56vb&amp;dl=0","Click to download Image")</f>
      </c>
      <c r="B1303" s="0">
        <f>HYPERLINK("https://dl.dropboxusercontent.com/scl/fi/10ohpg5zqhl0lvtxiymkq/mens-jackets-size-chartsjaxtyn.jpg?rlkey=kruqshwpiwb4w1px9xras9q2v&amp;dl=0","Click to download SizeChart")</f>
      </c>
      <c r="C1303" s="0" t="inlineStr">
        <is>
          <t>Jaxtyn Men's Jacket</t>
        </is>
      </c>
      <c r="D1303" s="0" t="inlineStr">
        <is>
          <t>'123505</t>
        </is>
      </c>
      <c r="E1303" s="0" t="inlineStr">
        <is>
          <t>UNI JAXTYN M BK:123505B-M</t>
        </is>
      </c>
      <c r="F1303" s="0" t="inlineStr">
        <is>
          <t>'802123505055</t>
        </is>
      </c>
      <c r="G1303" s="0" t="inlineStr">
        <is>
          <t>MENS</t>
        </is>
      </c>
      <c r="H1303" s="0" t="inlineStr">
        <is>
          <t>M</t>
        </is>
      </c>
      <c r="I1303" s="0">
        <v>82.99</v>
      </c>
      <c r="J1303" s="0">
        <v>4</v>
      </c>
    </row>
    <row r="1304" spans="1:10" customHeight="0">
      <c r="A1304" s="0">
        <f>HYPERLINK("https://dl.dropboxusercontent.com/scl/fi/po5c5krmhdrb7zc1ddebb/123505-f.jpg?rlkey=i99xjtjpv2gl61y5ijeiu56vb&amp;dl=0","Click to download Image")</f>
      </c>
      <c r="B1304" s="0">
        <f>HYPERLINK("https://dl.dropboxusercontent.com/scl/fi/10ohpg5zqhl0lvtxiymkq/mens-jackets-size-chartsjaxtyn.jpg?rlkey=kruqshwpiwb4w1px9xras9q2v&amp;dl=0","Click to download SizeChart")</f>
      </c>
      <c r="C1304" s="0" t="inlineStr">
        <is>
          <t>Jaxtyn Men's Jacket</t>
        </is>
      </c>
      <c r="D1304" s="0" t="inlineStr">
        <is>
          <t>'123505</t>
        </is>
      </c>
      <c r="E1304" s="0" t="inlineStr">
        <is>
          <t>UNI JAXTYN M BK:123505C-L</t>
        </is>
      </c>
      <c r="F1304" s="0" t="inlineStr">
        <is>
          <t>'802123505062</t>
        </is>
      </c>
      <c r="G1304" s="0" t="inlineStr">
        <is>
          <t>MENS</t>
        </is>
      </c>
      <c r="H1304" s="0" t="inlineStr">
        <is>
          <t>L</t>
        </is>
      </c>
      <c r="I1304" s="0">
        <v>82.99</v>
      </c>
      <c r="J1304" s="0">
        <v>4</v>
      </c>
    </row>
    <row r="1305" spans="1:10" customHeight="0">
      <c r="A1305" s="0">
        <f>HYPERLINK("https://dl.dropboxusercontent.com/scl/fi/po5c5krmhdrb7zc1ddebb/123505-f.jpg?rlkey=i99xjtjpv2gl61y5ijeiu56vb&amp;dl=0","Click to download Image")</f>
      </c>
      <c r="B1305" s="0">
        <f>HYPERLINK("https://dl.dropboxusercontent.com/scl/fi/10ohpg5zqhl0lvtxiymkq/mens-jackets-size-chartsjaxtyn.jpg?rlkey=kruqshwpiwb4w1px9xras9q2v&amp;dl=0","Click to download SizeChart")</f>
      </c>
      <c r="C1305" s="0" t="inlineStr">
        <is>
          <t>Jaxtyn Men's Jacket</t>
        </is>
      </c>
      <c r="D1305" s="0" t="inlineStr">
        <is>
          <t>'123505</t>
        </is>
      </c>
      <c r="E1305" s="0" t="inlineStr">
        <is>
          <t>UNI JAXTYN M BK:123505D-XL</t>
        </is>
      </c>
      <c r="F1305" s="0" t="inlineStr">
        <is>
          <t>'802123505079</t>
        </is>
      </c>
      <c r="G1305" s="0" t="inlineStr">
        <is>
          <t>MENS</t>
        </is>
      </c>
      <c r="H1305" s="0" t="inlineStr">
        <is>
          <t>XL</t>
        </is>
      </c>
      <c r="I1305" s="0">
        <v>82.99</v>
      </c>
      <c r="J1305" s="0">
        <v>6</v>
      </c>
    </row>
    <row r="1306" spans="1:10" customHeight="0">
      <c r="A1306" s="0">
        <f>HYPERLINK("https://dl.dropboxusercontent.com/scl/fi/po5c5krmhdrb7zc1ddebb/123505-f.jpg?rlkey=i99xjtjpv2gl61y5ijeiu56vb&amp;dl=0","Click to download Image")</f>
      </c>
      <c r="B1306" s="0">
        <f>HYPERLINK("https://dl.dropboxusercontent.com/scl/fi/10ohpg5zqhl0lvtxiymkq/mens-jackets-size-chartsjaxtyn.jpg?rlkey=kruqshwpiwb4w1px9xras9q2v&amp;dl=0","Click to download SizeChart")</f>
      </c>
      <c r="C1306" s="0" t="inlineStr">
        <is>
          <t>Jaxtyn Men's Jacket</t>
        </is>
      </c>
      <c r="D1306" s="0" t="inlineStr">
        <is>
          <t>'123505</t>
        </is>
      </c>
      <c r="E1306" s="0" t="inlineStr">
        <is>
          <t>UNI JAXTYN M BK:123505E-2XL</t>
        </is>
      </c>
      <c r="F1306" s="0" t="inlineStr">
        <is>
          <t>'802123505086</t>
        </is>
      </c>
      <c r="G1306" s="0" t="inlineStr">
        <is>
          <t>MENS</t>
        </is>
      </c>
      <c r="H1306" s="0" t="inlineStr">
        <is>
          <t>2XL</t>
        </is>
      </c>
      <c r="I1306" s="0">
        <v>82.99</v>
      </c>
      <c r="J1306" s="0">
        <v>3</v>
      </c>
    </row>
    <row r="1307" spans="1:10" customHeight="0">
      <c r="A1307" s="0">
        <f>HYPERLINK("https://dl.dropboxusercontent.com/scl/fi/po5c5krmhdrb7zc1ddebb/123505-f.jpg?rlkey=i99xjtjpv2gl61y5ijeiu56vb&amp;dl=0","Click to download Image")</f>
      </c>
      <c r="B1307" s="0">
        <f>HYPERLINK("https://dl.dropboxusercontent.com/scl/fi/10ohpg5zqhl0lvtxiymkq/mens-jackets-size-chartsjaxtyn.jpg?rlkey=kruqshwpiwb4w1px9xras9q2v&amp;dl=0","Click to download SizeChart")</f>
      </c>
      <c r="C1307" s="0" t="inlineStr">
        <is>
          <t>Jaxtyn Men's Jacket</t>
        </is>
      </c>
      <c r="D1307" s="0" t="inlineStr">
        <is>
          <t>'123505</t>
        </is>
      </c>
      <c r="E1307" s="0" t="inlineStr">
        <is>
          <t>UNI JAXTYN M BK:123505F-3XL</t>
        </is>
      </c>
      <c r="F1307" s="0" t="inlineStr">
        <is>
          <t>'802123505093</t>
        </is>
      </c>
      <c r="G1307" s="0" t="inlineStr">
        <is>
          <t>MENS</t>
        </is>
      </c>
      <c r="H1307" s="0" t="inlineStr">
        <is>
          <t>3XL</t>
        </is>
      </c>
      <c r="I1307" s="0">
        <v>82.99</v>
      </c>
      <c r="J1307" s="0">
        <v>1</v>
      </c>
    </row>
    <row r="1308" spans="1:10" customHeight="0">
      <c r="A1308" s="0">
        <f>HYPERLINK("https://dl.dropboxusercontent.com/scl/fi/po5c5krmhdrb7zc1ddebb/123505-f.jpg?rlkey=i99xjtjpv2gl61y5ijeiu56vb&amp;dl=0","Click to download Image")</f>
      </c>
      <c r="B1308" s="0">
        <f>HYPERLINK("https://dl.dropboxusercontent.com/scl/fi/10ohpg5zqhl0lvtxiymkq/mens-jackets-size-chartsjaxtyn.jpg?rlkey=kruqshwpiwb4w1px9xras9q2v&amp;dl=0","Click to download SizeChart")</f>
      </c>
      <c r="C1308" s="0" t="inlineStr">
        <is>
          <t>Jaxtyn Men's Jacket</t>
        </is>
      </c>
      <c r="D1308" s="0" t="inlineStr">
        <is>
          <t>'123505</t>
        </is>
      </c>
      <c r="E1308" s="0" t="inlineStr">
        <is>
          <t>UNI JAXTYN M BK 12PK:123505Z-12PK</t>
        </is>
      </c>
      <c r="F1308" s="0" t="inlineStr">
        <is>
          <t>'802123505994</t>
        </is>
      </c>
      <c r="G1308" s="0" t="inlineStr">
        <is>
          <t>MENS</t>
        </is>
      </c>
      <c r="H1308" s="0" t="inlineStr">
        <is>
          <t>12 PACK</t>
        </is>
      </c>
      <c r="I1308" s="0">
        <v>774</v>
      </c>
      <c r="J1308" s="0">
        <v>0</v>
      </c>
    </row>
    <row r="1309" spans="1:10" customHeight="0">
      <c r="A1309" s="0">
        <f>HYPERLINK("https://dl.dropboxusercontent.com/scl/fi/e68lbmup1kg75pskxd9vi/124039-f.jpg?rlkey=aqqmhqe1nsdrjw4xvy685h4xq&amp;dl=0","Click to download Image")</f>
      </c>
      <c r="B1309" s="0">
        <f>HYPERLINK("https://dl.dropboxusercontent.com/scl/fi/10ohpg5zqhl0lvtxiymkq/mens-jackets-size-chartsjaxtyn.jpg?rlkey=kruqshwpiwb4w1px9xras9q2v&amp;dl=0","Click to download SizeChart")</f>
      </c>
      <c r="C1309" s="0" t="inlineStr">
        <is>
          <t>Jaxtyn Men's Jacket</t>
        </is>
      </c>
      <c r="D1309" s="0" t="inlineStr">
        <is>
          <t>'124039</t>
        </is>
      </c>
      <c r="E1309" s="0" t="inlineStr">
        <is>
          <t>CU JAXTYN M BK:124039A-S</t>
        </is>
      </c>
      <c r="F1309" s="0" t="inlineStr">
        <is>
          <t>'810124039042</t>
        </is>
      </c>
      <c r="G1309" s="0" t="inlineStr">
        <is>
          <t>MENS</t>
        </is>
      </c>
      <c r="H1309" s="0" t="inlineStr">
        <is>
          <t>S</t>
        </is>
      </c>
      <c r="I1309" s="0">
        <v>82.99</v>
      </c>
      <c r="J1309" s="0">
        <v>2</v>
      </c>
    </row>
    <row r="1310" spans="1:10" customHeight="0">
      <c r="A1310" s="0">
        <f>HYPERLINK("https://dl.dropboxusercontent.com/scl/fi/e68lbmup1kg75pskxd9vi/124039-f.jpg?rlkey=aqqmhqe1nsdrjw4xvy685h4xq&amp;dl=0","Click to download Image")</f>
      </c>
      <c r="B1310" s="0">
        <f>HYPERLINK("https://dl.dropboxusercontent.com/scl/fi/10ohpg5zqhl0lvtxiymkq/mens-jackets-size-chartsjaxtyn.jpg?rlkey=kruqshwpiwb4w1px9xras9q2v&amp;dl=0","Click to download SizeChart")</f>
      </c>
      <c r="C1310" s="0" t="inlineStr">
        <is>
          <t>Jaxtyn Men's Jacket</t>
        </is>
      </c>
      <c r="D1310" s="0" t="inlineStr">
        <is>
          <t>'124039</t>
        </is>
      </c>
      <c r="E1310" s="0" t="inlineStr">
        <is>
          <t>CU JAXTYN M BK:124039B-M</t>
        </is>
      </c>
      <c r="F1310" s="0" t="inlineStr">
        <is>
          <t>'810124039059</t>
        </is>
      </c>
      <c r="G1310" s="0" t="inlineStr">
        <is>
          <t>MENS</t>
        </is>
      </c>
      <c r="H1310" s="0" t="inlineStr">
        <is>
          <t>M</t>
        </is>
      </c>
      <c r="I1310" s="0">
        <v>82.99</v>
      </c>
      <c r="J1310" s="0">
        <v>4</v>
      </c>
    </row>
    <row r="1311" spans="1:10" customHeight="0">
      <c r="A1311" s="0">
        <f>HYPERLINK("https://dl.dropboxusercontent.com/scl/fi/e68lbmup1kg75pskxd9vi/124039-f.jpg?rlkey=aqqmhqe1nsdrjw4xvy685h4xq&amp;dl=0","Click to download Image")</f>
      </c>
      <c r="B1311" s="0">
        <f>HYPERLINK("https://dl.dropboxusercontent.com/scl/fi/10ohpg5zqhl0lvtxiymkq/mens-jackets-size-chartsjaxtyn.jpg?rlkey=kruqshwpiwb4w1px9xras9q2v&amp;dl=0","Click to download SizeChart")</f>
      </c>
      <c r="C1311" s="0" t="inlineStr">
        <is>
          <t>Jaxtyn Men's Jacket</t>
        </is>
      </c>
      <c r="D1311" s="0" t="inlineStr">
        <is>
          <t>'124039</t>
        </is>
      </c>
      <c r="E1311" s="0" t="inlineStr">
        <is>
          <t>CU JAXTYN M BK:124039C-L</t>
        </is>
      </c>
      <c r="F1311" s="0" t="inlineStr">
        <is>
          <t>'810124039066</t>
        </is>
      </c>
      <c r="G1311" s="0" t="inlineStr">
        <is>
          <t>MENS</t>
        </is>
      </c>
      <c r="H1311" s="0" t="inlineStr">
        <is>
          <t>L</t>
        </is>
      </c>
      <c r="I1311" s="0">
        <v>82.99</v>
      </c>
      <c r="J1311" s="0">
        <v>4</v>
      </c>
    </row>
    <row r="1312" spans="1:10" customHeight="0">
      <c r="A1312" s="0">
        <f>HYPERLINK("https://dl.dropboxusercontent.com/scl/fi/e68lbmup1kg75pskxd9vi/124039-f.jpg?rlkey=aqqmhqe1nsdrjw4xvy685h4xq&amp;dl=0","Click to download Image")</f>
      </c>
      <c r="B1312" s="0">
        <f>HYPERLINK("https://dl.dropboxusercontent.com/scl/fi/10ohpg5zqhl0lvtxiymkq/mens-jackets-size-chartsjaxtyn.jpg?rlkey=kruqshwpiwb4w1px9xras9q2v&amp;dl=0","Click to download SizeChart")</f>
      </c>
      <c r="C1312" s="0" t="inlineStr">
        <is>
          <t>Jaxtyn Men's Jacket</t>
        </is>
      </c>
      <c r="D1312" s="0" t="inlineStr">
        <is>
          <t>'124039</t>
        </is>
      </c>
      <c r="E1312" s="0" t="inlineStr">
        <is>
          <t>CU JAXTYN M BK:124039D-XL</t>
        </is>
      </c>
      <c r="F1312" s="0" t="inlineStr">
        <is>
          <t>'810124039073</t>
        </is>
      </c>
      <c r="G1312" s="0" t="inlineStr">
        <is>
          <t>MENS</t>
        </is>
      </c>
      <c r="H1312" s="0" t="inlineStr">
        <is>
          <t>XL</t>
        </is>
      </c>
      <c r="I1312" s="0">
        <v>82.99</v>
      </c>
      <c r="J1312" s="0">
        <v>6</v>
      </c>
    </row>
    <row r="1313" spans="1:10" customHeight="0">
      <c r="A1313" s="0">
        <f>HYPERLINK("https://dl.dropboxusercontent.com/scl/fi/e68lbmup1kg75pskxd9vi/124039-f.jpg?rlkey=aqqmhqe1nsdrjw4xvy685h4xq&amp;dl=0","Click to download Image")</f>
      </c>
      <c r="B1313" s="0">
        <f>HYPERLINK("https://dl.dropboxusercontent.com/scl/fi/10ohpg5zqhl0lvtxiymkq/mens-jackets-size-chartsjaxtyn.jpg?rlkey=kruqshwpiwb4w1px9xras9q2v&amp;dl=0","Click to download SizeChart")</f>
      </c>
      <c r="C1313" s="0" t="inlineStr">
        <is>
          <t>Jaxtyn Men's Jacket</t>
        </is>
      </c>
      <c r="D1313" s="0" t="inlineStr">
        <is>
          <t>'124039</t>
        </is>
      </c>
      <c r="E1313" s="0" t="inlineStr">
        <is>
          <t>CU JAXTYN M BK:124039E-2XL</t>
        </is>
      </c>
      <c r="F1313" s="0" t="inlineStr">
        <is>
          <t>'810124039080</t>
        </is>
      </c>
      <c r="G1313" s="0" t="inlineStr">
        <is>
          <t>MENS</t>
        </is>
      </c>
      <c r="H1313" s="0" t="inlineStr">
        <is>
          <t>2XL</t>
        </is>
      </c>
      <c r="I1313" s="0">
        <v>82.99</v>
      </c>
      <c r="J1313" s="0">
        <v>4</v>
      </c>
    </row>
    <row r="1314" spans="1:10" customHeight="0">
      <c r="A1314" s="0">
        <f>HYPERLINK("https://dl.dropboxusercontent.com/scl/fi/e68lbmup1kg75pskxd9vi/124039-f.jpg?rlkey=aqqmhqe1nsdrjw4xvy685h4xq&amp;dl=0","Click to download Image")</f>
      </c>
      <c r="B1314" s="0">
        <f>HYPERLINK("https://dl.dropboxusercontent.com/scl/fi/10ohpg5zqhl0lvtxiymkq/mens-jackets-size-chartsjaxtyn.jpg?rlkey=kruqshwpiwb4w1px9xras9q2v&amp;dl=0","Click to download SizeChart")</f>
      </c>
      <c r="C1314" s="0" t="inlineStr">
        <is>
          <t>Jaxtyn Men's Jacket</t>
        </is>
      </c>
      <c r="D1314" s="0" t="inlineStr">
        <is>
          <t>'124039</t>
        </is>
      </c>
      <c r="E1314" s="0" t="inlineStr">
        <is>
          <t>CU JAXTYN M BK:124039F-3XL</t>
        </is>
      </c>
      <c r="F1314" s="0" t="inlineStr">
        <is>
          <t>'810124039097</t>
        </is>
      </c>
      <c r="G1314" s="0" t="inlineStr">
        <is>
          <t>MENS</t>
        </is>
      </c>
      <c r="H1314" s="0" t="inlineStr">
        <is>
          <t>3XL</t>
        </is>
      </c>
      <c r="I1314" s="0">
        <v>82.99</v>
      </c>
      <c r="J1314" s="0">
        <v>1</v>
      </c>
    </row>
    <row r="1315" spans="1:10" customHeight="0">
      <c r="A1315" s="0">
        <f>HYPERLINK("https://dl.dropboxusercontent.com/scl/fi/e68lbmup1kg75pskxd9vi/124039-f.jpg?rlkey=aqqmhqe1nsdrjw4xvy685h4xq&amp;dl=0","Click to download Image")</f>
      </c>
      <c r="B1315" s="0">
        <f>HYPERLINK("https://dl.dropboxusercontent.com/scl/fi/10ohpg5zqhl0lvtxiymkq/mens-jackets-size-chartsjaxtyn.jpg?rlkey=kruqshwpiwb4w1px9xras9q2v&amp;dl=0","Click to download SizeChart")</f>
      </c>
      <c r="C1315" s="0" t="inlineStr">
        <is>
          <t>Jaxtyn Men's Jacket</t>
        </is>
      </c>
      <c r="D1315" s="0" t="inlineStr">
        <is>
          <t>'124039</t>
        </is>
      </c>
      <c r="E1315" s="0" t="inlineStr">
        <is>
          <t>CU JAXTYN M BK 12PK:124039Z-12PK</t>
        </is>
      </c>
      <c r="F1315" s="0" t="inlineStr">
        <is>
          <t>'810124039998</t>
        </is>
      </c>
      <c r="G1315" s="0" t="inlineStr">
        <is>
          <t>MENS</t>
        </is>
      </c>
      <c r="H1315" s="0" t="inlineStr">
        <is>
          <t>12 PACK</t>
        </is>
      </c>
      <c r="I1315" s="0">
        <v>774</v>
      </c>
      <c r="J1315" s="0">
        <v>0</v>
      </c>
    </row>
    <row r="1316" spans="1:10" customHeight="0">
      <c r="A1316" s="0">
        <f>HYPERLINK("https://dl.dropboxusercontent.com/scl/fi/j66fsh12e9f4rl0x3wy2x/vrtl-drk-jaxtyn-bk-032124f07893.jpg?rlkey=vr82lv5zu6poyogi5pdgg5ifj&amp;dl=0","Click to download Image")</f>
      </c>
      <c r="B1316" s="0">
        <f>HYPERLINK("https://dl.dropboxusercontent.com/scl/fi/10ohpg5zqhl0lvtxiymkq/mens-jackets-size-chartsjaxtyn.jpg?rlkey=kruqshwpiwb4w1px9xras9q2v&amp;dl=0","Click to download SizeChart")</f>
      </c>
      <c r="C1316" s="0" t="inlineStr">
        <is>
          <t>Jaxtyn Men's Jacket</t>
        </is>
      </c>
      <c r="D1316" s="0" t="inlineStr">
        <is>
          <t>'152936</t>
        </is>
      </c>
      <c r="E1316" s="0" t="inlineStr">
        <is>
          <t>DRK JAXTYN M BK:152936A-S</t>
        </is>
      </c>
      <c r="F1316" s="0" t="inlineStr">
        <is>
          <t>'817152936046</t>
        </is>
      </c>
      <c r="G1316" s="0" t="inlineStr">
        <is>
          <t>MENS</t>
        </is>
      </c>
      <c r="H1316" s="0" t="inlineStr">
        <is>
          <t>S</t>
        </is>
      </c>
      <c r="I1316" s="0">
        <v>82.99</v>
      </c>
      <c r="J1316" s="0">
        <v>2</v>
      </c>
    </row>
    <row r="1317" spans="1:10" customHeight="0">
      <c r="A1317" s="0">
        <f>HYPERLINK("https://dl.dropboxusercontent.com/scl/fi/j66fsh12e9f4rl0x3wy2x/vrtl-drk-jaxtyn-bk-032124f07893.jpg?rlkey=vr82lv5zu6poyogi5pdgg5ifj&amp;dl=0","Click to download Image")</f>
      </c>
      <c r="B1317" s="0">
        <f>HYPERLINK("https://dl.dropboxusercontent.com/scl/fi/10ohpg5zqhl0lvtxiymkq/mens-jackets-size-chartsjaxtyn.jpg?rlkey=kruqshwpiwb4w1px9xras9q2v&amp;dl=0","Click to download SizeChart")</f>
      </c>
      <c r="C1317" s="0" t="inlineStr">
        <is>
          <t>Jaxtyn Men's Jacket</t>
        </is>
      </c>
      <c r="D1317" s="0" t="inlineStr">
        <is>
          <t>'152936</t>
        </is>
      </c>
      <c r="E1317" s="0" t="inlineStr">
        <is>
          <t>DRK JAXTYN M BK:152936B-M</t>
        </is>
      </c>
      <c r="F1317" s="0" t="inlineStr">
        <is>
          <t>'817152936053</t>
        </is>
      </c>
      <c r="G1317" s="0" t="inlineStr">
        <is>
          <t>MENS</t>
        </is>
      </c>
      <c r="H1317" s="0" t="inlineStr">
        <is>
          <t>M</t>
        </is>
      </c>
      <c r="I1317" s="0">
        <v>82.99</v>
      </c>
      <c r="J1317" s="0">
        <v>4</v>
      </c>
    </row>
    <row r="1318" spans="1:10" customHeight="0">
      <c r="A1318" s="0">
        <f>HYPERLINK("https://dl.dropboxusercontent.com/scl/fi/j66fsh12e9f4rl0x3wy2x/vrtl-drk-jaxtyn-bk-032124f07893.jpg?rlkey=vr82lv5zu6poyogi5pdgg5ifj&amp;dl=0","Click to download Image")</f>
      </c>
      <c r="B1318" s="0">
        <f>HYPERLINK("https://dl.dropboxusercontent.com/scl/fi/10ohpg5zqhl0lvtxiymkq/mens-jackets-size-chartsjaxtyn.jpg?rlkey=kruqshwpiwb4w1px9xras9q2v&amp;dl=0","Click to download SizeChart")</f>
      </c>
      <c r="C1318" s="0" t="inlineStr">
        <is>
          <t>Jaxtyn Men's Jacket</t>
        </is>
      </c>
      <c r="D1318" s="0" t="inlineStr">
        <is>
          <t>'152936</t>
        </is>
      </c>
      <c r="E1318" s="0" t="inlineStr">
        <is>
          <t>DRK JAXTYN M BK:152936C-L</t>
        </is>
      </c>
      <c r="F1318" s="0" t="inlineStr">
        <is>
          <t>'817152936060</t>
        </is>
      </c>
      <c r="G1318" s="0" t="inlineStr">
        <is>
          <t>MENS</t>
        </is>
      </c>
      <c r="H1318" s="0" t="inlineStr">
        <is>
          <t>L</t>
        </is>
      </c>
      <c r="I1318" s="0">
        <v>82.99</v>
      </c>
      <c r="J1318" s="0">
        <v>2</v>
      </c>
    </row>
    <row r="1319" spans="1:10" customHeight="0">
      <c r="A1319" s="0">
        <f>HYPERLINK("https://dl.dropboxusercontent.com/scl/fi/j66fsh12e9f4rl0x3wy2x/vrtl-drk-jaxtyn-bk-032124f07893.jpg?rlkey=vr82lv5zu6poyogi5pdgg5ifj&amp;dl=0","Click to download Image")</f>
      </c>
      <c r="B1319" s="0">
        <f>HYPERLINK("https://dl.dropboxusercontent.com/scl/fi/10ohpg5zqhl0lvtxiymkq/mens-jackets-size-chartsjaxtyn.jpg?rlkey=kruqshwpiwb4w1px9xras9q2v&amp;dl=0","Click to download SizeChart")</f>
      </c>
      <c r="C1319" s="0" t="inlineStr">
        <is>
          <t>Jaxtyn Men's Jacket</t>
        </is>
      </c>
      <c r="D1319" s="0" t="inlineStr">
        <is>
          <t>'152936</t>
        </is>
      </c>
      <c r="E1319" s="0" t="inlineStr">
        <is>
          <t>DRK JAXTYN M BK:152936D-XL</t>
        </is>
      </c>
      <c r="F1319" s="0" t="inlineStr">
        <is>
          <t>'817152936077</t>
        </is>
      </c>
      <c r="G1319" s="0" t="inlineStr">
        <is>
          <t>MENS</t>
        </is>
      </c>
      <c r="H1319" s="0" t="inlineStr">
        <is>
          <t>XL</t>
        </is>
      </c>
      <c r="I1319" s="0">
        <v>82.99</v>
      </c>
      <c r="J1319" s="0">
        <v>5</v>
      </c>
    </row>
    <row r="1320" spans="1:10" customHeight="0">
      <c r="A1320" s="0">
        <f>HYPERLINK("https://dl.dropboxusercontent.com/scl/fi/j66fsh12e9f4rl0x3wy2x/vrtl-drk-jaxtyn-bk-032124f07893.jpg?rlkey=vr82lv5zu6poyogi5pdgg5ifj&amp;dl=0","Click to download Image")</f>
      </c>
      <c r="B1320" s="0">
        <f>HYPERLINK("https://dl.dropboxusercontent.com/scl/fi/10ohpg5zqhl0lvtxiymkq/mens-jackets-size-chartsjaxtyn.jpg?rlkey=kruqshwpiwb4w1px9xras9q2v&amp;dl=0","Click to download SizeChart")</f>
      </c>
      <c r="C1320" s="0" t="inlineStr">
        <is>
          <t>Jaxtyn Men's Jacket</t>
        </is>
      </c>
      <c r="D1320" s="0" t="inlineStr">
        <is>
          <t>'152936</t>
        </is>
      </c>
      <c r="E1320" s="0" t="inlineStr">
        <is>
          <t>DRK JAXTYN M BK:152936E-2XL</t>
        </is>
      </c>
      <c r="F1320" s="0" t="inlineStr">
        <is>
          <t>'817152936084</t>
        </is>
      </c>
      <c r="G1320" s="0" t="inlineStr">
        <is>
          <t>MENS</t>
        </is>
      </c>
      <c r="H1320" s="0" t="inlineStr">
        <is>
          <t>2XL</t>
        </is>
      </c>
      <c r="I1320" s="0">
        <v>82.99</v>
      </c>
      <c r="J1320" s="0">
        <v>2</v>
      </c>
    </row>
    <row r="1321" spans="1:10" customHeight="0">
      <c r="A1321" s="0">
        <f>HYPERLINK("https://dl.dropboxusercontent.com/scl/fi/j66fsh12e9f4rl0x3wy2x/vrtl-drk-jaxtyn-bk-032124f07893.jpg?rlkey=vr82lv5zu6poyogi5pdgg5ifj&amp;dl=0","Click to download Image")</f>
      </c>
      <c r="B1321" s="0">
        <f>HYPERLINK("https://dl.dropboxusercontent.com/scl/fi/10ohpg5zqhl0lvtxiymkq/mens-jackets-size-chartsjaxtyn.jpg?rlkey=kruqshwpiwb4w1px9xras9q2v&amp;dl=0","Click to download SizeChart")</f>
      </c>
      <c r="C1321" s="0" t="inlineStr">
        <is>
          <t>Jaxtyn Men's Jacket</t>
        </is>
      </c>
      <c r="D1321" s="0" t="inlineStr">
        <is>
          <t>'152936</t>
        </is>
      </c>
      <c r="E1321" s="0" t="inlineStr">
        <is>
          <t>DRK JAXTYN M BK:152936F-3XL</t>
        </is>
      </c>
      <c r="F1321" s="0" t="inlineStr">
        <is>
          <t>'817152936091</t>
        </is>
      </c>
      <c r="G1321" s="0" t="inlineStr">
        <is>
          <t>MENS</t>
        </is>
      </c>
      <c r="H1321" s="0" t="inlineStr">
        <is>
          <t>3XL</t>
        </is>
      </c>
      <c r="I1321" s="0">
        <v>82.99</v>
      </c>
      <c r="J1321" s="0">
        <v>0</v>
      </c>
    </row>
    <row r="1322" spans="1:10" customHeight="0">
      <c r="A1322" s="0">
        <f>HYPERLINK("https://dl.dropboxusercontent.com/scl/fi/fw1g39rs3kwje5nuz63d9/113285f.jpg?rlkey=7bgch1gv2mb4drwekkz228zu4&amp;dl=0","Click to download Image")</f>
      </c>
      <c r="C1322" s="0" t="inlineStr">
        <is>
          <t>Hampton Youth Polo</t>
        </is>
      </c>
      <c r="D1322" s="0" t="inlineStr">
        <is>
          <t>'113285</t>
        </is>
      </c>
      <c r="E1322" s="0" t="inlineStr">
        <is>
          <t>IOWA HAMPTON Y WHITE:113285B-YS</t>
        </is>
      </c>
      <c r="F1322" s="0" t="inlineStr">
        <is>
          <t>'800113285017</t>
        </is>
      </c>
      <c r="G1322" s="0" t="inlineStr">
        <is>
          <t>YOUTH</t>
        </is>
      </c>
      <c r="H1322" s="0" t="inlineStr">
        <is>
          <t>YS</t>
        </is>
      </c>
      <c r="I1322" s="0">
        <v>39.99</v>
      </c>
      <c r="J1322" s="0">
        <v>18</v>
      </c>
    </row>
    <row r="1323" spans="1:10" customHeight="0">
      <c r="A1323" s="0">
        <f>HYPERLINK("https://dl.dropboxusercontent.com/scl/fi/fw1g39rs3kwje5nuz63d9/113285f.jpg?rlkey=7bgch1gv2mb4drwekkz228zu4&amp;dl=0","Click to download Image")</f>
      </c>
      <c r="C1323" s="0" t="inlineStr">
        <is>
          <t>Hampton Youth Polo</t>
        </is>
      </c>
      <c r="D1323" s="0" t="inlineStr">
        <is>
          <t>'113285</t>
        </is>
      </c>
      <c r="E1323" s="0" t="inlineStr">
        <is>
          <t>IOWA HAMPTON Y WHITE:113285C-YM</t>
        </is>
      </c>
      <c r="F1323" s="0" t="inlineStr">
        <is>
          <t>'800113285024</t>
        </is>
      </c>
      <c r="G1323" s="0" t="inlineStr">
        <is>
          <t>YOUTH</t>
        </is>
      </c>
      <c r="H1323" s="0" t="inlineStr">
        <is>
          <t>YM</t>
        </is>
      </c>
      <c r="I1323" s="0">
        <v>39.99</v>
      </c>
      <c r="J1323" s="0">
        <v>14</v>
      </c>
    </row>
    <row r="1324" spans="1:10" customHeight="0">
      <c r="A1324" s="0">
        <f>HYPERLINK("https://dl.dropboxusercontent.com/scl/fi/fw1g39rs3kwje5nuz63d9/113285f.jpg?rlkey=7bgch1gv2mb4drwekkz228zu4&amp;dl=0","Click to download Image")</f>
      </c>
      <c r="C1324" s="0" t="inlineStr">
        <is>
          <t>Hampton Youth Polo</t>
        </is>
      </c>
      <c r="D1324" s="0" t="inlineStr">
        <is>
          <t>'113285</t>
        </is>
      </c>
      <c r="E1324" s="0" t="inlineStr">
        <is>
          <t>IOWA HAMPTON Y WHITE:113285D-YL</t>
        </is>
      </c>
      <c r="F1324" s="0" t="inlineStr">
        <is>
          <t>'800113285031</t>
        </is>
      </c>
      <c r="G1324" s="0" t="inlineStr">
        <is>
          <t>YOUTH</t>
        </is>
      </c>
      <c r="H1324" s="0" t="inlineStr">
        <is>
          <t>YL</t>
        </is>
      </c>
      <c r="I1324" s="0">
        <v>39.99</v>
      </c>
      <c r="J1324" s="0">
        <v>14</v>
      </c>
    </row>
    <row r="1325" spans="1:10" customHeight="0">
      <c r="A1325" s="0">
        <f>HYPERLINK("https://dl.dropboxusercontent.com/scl/fi/fw1g39rs3kwje5nuz63d9/113285f.jpg?rlkey=7bgch1gv2mb4drwekkz228zu4&amp;dl=0","Click to download Image")</f>
      </c>
      <c r="C1325" s="0" t="inlineStr">
        <is>
          <t>Hampton Youth Polo</t>
        </is>
      </c>
      <c r="D1325" s="0" t="inlineStr">
        <is>
          <t>'113285</t>
        </is>
      </c>
      <c r="E1325" s="0" t="inlineStr">
        <is>
          <t>IOWA HAMPTON Y WHITE:113285E-YXL</t>
        </is>
      </c>
      <c r="F1325" s="0" t="inlineStr">
        <is>
          <t>'800113285048</t>
        </is>
      </c>
      <c r="G1325" s="0" t="inlineStr">
        <is>
          <t>YOUTH</t>
        </is>
      </c>
      <c r="H1325" s="0" t="inlineStr">
        <is>
          <t>YXL</t>
        </is>
      </c>
      <c r="I1325" s="0">
        <v>39.99</v>
      </c>
      <c r="J1325" s="0">
        <v>20</v>
      </c>
    </row>
    <row r="1326" spans="1:10" customHeight="0">
      <c r="A1326" s="0">
        <f>HYPERLINK("https://dl.dropboxusercontent.com/scl/fi/fw1g39rs3kwje5nuz63d9/113285f.jpg?rlkey=7bgch1gv2mb4drwekkz228zu4&amp;dl=0","Click to download Image")</f>
      </c>
      <c r="C1326" s="0" t="inlineStr">
        <is>
          <t>Hampton Youth Polo</t>
        </is>
      </c>
      <c r="D1326" s="0" t="inlineStr">
        <is>
          <t>'113285</t>
        </is>
      </c>
      <c r="E1326" s="0" t="inlineStr">
        <is>
          <t>IOWA HAMPTON Y WHITE 12 PACK:113285Z-12PK</t>
        </is>
      </c>
      <c r="F1326" s="0" t="inlineStr">
        <is>
          <t>'800113285994</t>
        </is>
      </c>
      <c r="G1326" s="0" t="inlineStr">
        <is>
          <t>YOUTH</t>
        </is>
      </c>
      <c r="H1326" s="0" t="inlineStr">
        <is>
          <t>12 PACK</t>
        </is>
      </c>
      <c r="I1326" s="0">
        <v>390</v>
      </c>
      <c r="J1326" s="0">
        <v>0</v>
      </c>
    </row>
    <row r="1327" spans="1:10" customHeight="0">
      <c r="A1327" s="0">
        <f>HYPERLINK("https://dl.dropboxusercontent.com/scl/fi/vtmqb79eepiwh8ecvlndx/123889-f.jpg?rlkey=vayyltgilenrv82txmuflj3mg&amp;dl=0","Click to download Image")</f>
      </c>
      <c r="C1327" s="0" t="inlineStr">
        <is>
          <t>Hampton Youth Polo</t>
        </is>
      </c>
      <c r="D1327" s="0" t="inlineStr">
        <is>
          <t>'123889</t>
        </is>
      </c>
      <c r="E1327" s="0" t="inlineStr">
        <is>
          <t>NDSU HAMPTON Y GN:123889B-YS</t>
        </is>
      </c>
      <c r="F1327" s="0" t="inlineStr">
        <is>
          <t>'813123889014</t>
        </is>
      </c>
      <c r="G1327" s="0" t="inlineStr">
        <is>
          <t>YOUTH</t>
        </is>
      </c>
      <c r="H1327" s="0" t="inlineStr">
        <is>
          <t>YS</t>
        </is>
      </c>
      <c r="I1327" s="0">
        <v>39.99</v>
      </c>
      <c r="J1327" s="0">
        <v>4</v>
      </c>
    </row>
    <row r="1328" spans="1:10" customHeight="0">
      <c r="A1328" s="0">
        <f>HYPERLINK("https://dl.dropboxusercontent.com/scl/fi/vtmqb79eepiwh8ecvlndx/123889-f.jpg?rlkey=vayyltgilenrv82txmuflj3mg&amp;dl=0","Click to download Image")</f>
      </c>
      <c r="C1328" s="0" t="inlineStr">
        <is>
          <t>Hampton Youth Polo</t>
        </is>
      </c>
      <c r="D1328" s="0" t="inlineStr">
        <is>
          <t>'123889</t>
        </is>
      </c>
      <c r="E1328" s="0" t="inlineStr">
        <is>
          <t>NDSU HAMPTON Y GN:123889C-YM</t>
        </is>
      </c>
      <c r="F1328" s="0" t="inlineStr">
        <is>
          <t>'813123889021</t>
        </is>
      </c>
      <c r="G1328" s="0" t="inlineStr">
        <is>
          <t>YOUTH</t>
        </is>
      </c>
      <c r="H1328" s="0" t="inlineStr">
        <is>
          <t>YM</t>
        </is>
      </c>
      <c r="I1328" s="0">
        <v>39.99</v>
      </c>
      <c r="J1328" s="0">
        <v>1</v>
      </c>
    </row>
    <row r="1329" spans="1:10" customHeight="0">
      <c r="A1329" s="0">
        <f>HYPERLINK("https://dl.dropboxusercontent.com/scl/fi/vtmqb79eepiwh8ecvlndx/123889-f.jpg?rlkey=vayyltgilenrv82txmuflj3mg&amp;dl=0","Click to download Image")</f>
      </c>
      <c r="C1329" s="0" t="inlineStr">
        <is>
          <t>Hampton Youth Polo</t>
        </is>
      </c>
      <c r="D1329" s="0" t="inlineStr">
        <is>
          <t>'123889</t>
        </is>
      </c>
      <c r="E1329" s="0" t="inlineStr">
        <is>
          <t>NDSU HAMPTON Y GN:123889D-YL</t>
        </is>
      </c>
      <c r="F1329" s="0" t="inlineStr">
        <is>
          <t>'813123889038</t>
        </is>
      </c>
      <c r="G1329" s="0" t="inlineStr">
        <is>
          <t>YOUTH</t>
        </is>
      </c>
      <c r="H1329" s="0" t="inlineStr">
        <is>
          <t>YL</t>
        </is>
      </c>
      <c r="I1329" s="0">
        <v>39.99</v>
      </c>
      <c r="J1329" s="0">
        <v>1</v>
      </c>
    </row>
    <row r="1330" spans="1:10" customHeight="0">
      <c r="A1330" s="0">
        <f>HYPERLINK("https://dl.dropboxusercontent.com/scl/fi/vtmqb79eepiwh8ecvlndx/123889-f.jpg?rlkey=vayyltgilenrv82txmuflj3mg&amp;dl=0","Click to download Image")</f>
      </c>
      <c r="C1330" s="0" t="inlineStr">
        <is>
          <t>Hampton Youth Polo</t>
        </is>
      </c>
      <c r="D1330" s="0" t="inlineStr">
        <is>
          <t>'123889</t>
        </is>
      </c>
      <c r="E1330" s="0" t="inlineStr">
        <is>
          <t>NDSU HAMPTON Y GN:123889E-YXL</t>
        </is>
      </c>
      <c r="F1330" s="0" t="inlineStr">
        <is>
          <t>'813123889045</t>
        </is>
      </c>
      <c r="G1330" s="0" t="inlineStr">
        <is>
          <t>YOUTH</t>
        </is>
      </c>
      <c r="H1330" s="0" t="inlineStr">
        <is>
          <t>YXL</t>
        </is>
      </c>
      <c r="I1330" s="0">
        <v>39.99</v>
      </c>
      <c r="J1330" s="0">
        <v>3</v>
      </c>
    </row>
    <row r="1331" spans="1:10" customHeight="0">
      <c r="A1331" s="0">
        <f>HYPERLINK("https://dl.dropboxusercontent.com/scl/fi/vtmqb79eepiwh8ecvlndx/123889-f.jpg?rlkey=vayyltgilenrv82txmuflj3mg&amp;dl=0","Click to download Image")</f>
      </c>
      <c r="C1331" s="0" t="inlineStr">
        <is>
          <t>Hampton Youth Polo</t>
        </is>
      </c>
      <c r="D1331" s="0" t="inlineStr">
        <is>
          <t>'123889</t>
        </is>
      </c>
      <c r="E1331" s="0" t="inlineStr">
        <is>
          <t>NDSU HAMPTON Y GN 12PK:123889Z-12PK</t>
        </is>
      </c>
      <c r="F1331" s="0" t="inlineStr">
        <is>
          <t>'813123889991</t>
        </is>
      </c>
      <c r="G1331" s="0" t="inlineStr">
        <is>
          <t>YOUTH</t>
        </is>
      </c>
      <c r="H1331" s="0" t="inlineStr">
        <is>
          <t>12 PACK</t>
        </is>
      </c>
      <c r="I1331" s="0">
        <v>390</v>
      </c>
      <c r="J1331" s="0">
        <v>0</v>
      </c>
    </row>
    <row r="1332" spans="1:10" customHeight="0">
      <c r="A1332" s="0">
        <f>HYPERLINK("https://dl.dropboxusercontent.com/scl/fi/42jljfi3xue7z2igjcemh/121033-f.jpg?rlkey=cv3fhnt2fb5sty21h58yyupal&amp;dl=0","Click to download Image")</f>
      </c>
      <c r="B1332" s="0">
        <f>HYPERLINK("https://dl.dropboxusercontent.com/scl/fi/cswpinhdizdbldkw1utc2/womens-size-chartskaylee.jpg?rlkey=j50frmjjkg2fssmpcw8l5jgo8&amp;dl=0","Click to download SizeChart")</f>
      </c>
      <c r="C1332" s="0" t="inlineStr">
        <is>
          <t>Kaylee Women's Jacket</t>
        </is>
      </c>
      <c r="D1332" s="0" t="inlineStr">
        <is>
          <t>'121033</t>
        </is>
      </c>
      <c r="E1332" s="0" t="inlineStr">
        <is>
          <t>ISU KAYLEE W CL:121033A-S</t>
        </is>
      </c>
      <c r="F1332" s="0" t="inlineStr">
        <is>
          <t>'801121033041</t>
        </is>
      </c>
      <c r="G1332" s="0" t="inlineStr">
        <is>
          <t>WOMENS</t>
        </is>
      </c>
      <c r="H1332" s="0" t="inlineStr">
        <is>
          <t>S</t>
        </is>
      </c>
      <c r="I1332" s="0">
        <v>59.99</v>
      </c>
      <c r="J1332" s="0">
        <v>0</v>
      </c>
    </row>
    <row r="1333" spans="1:10" customHeight="0">
      <c r="A1333" s="0">
        <f>HYPERLINK("https://dl.dropboxusercontent.com/scl/fi/42jljfi3xue7z2igjcemh/121033-f.jpg?rlkey=cv3fhnt2fb5sty21h58yyupal&amp;dl=0","Click to download Image")</f>
      </c>
      <c r="B1333" s="0">
        <f>HYPERLINK("https://dl.dropboxusercontent.com/scl/fi/cswpinhdizdbldkw1utc2/womens-size-chartskaylee.jpg?rlkey=j50frmjjkg2fssmpcw8l5jgo8&amp;dl=0","Click to download SizeChart")</f>
      </c>
      <c r="C1333" s="0" t="inlineStr">
        <is>
          <t>Kaylee Women's Jacket</t>
        </is>
      </c>
      <c r="D1333" s="0" t="inlineStr">
        <is>
          <t>'121033</t>
        </is>
      </c>
      <c r="E1333" s="0" t="inlineStr">
        <is>
          <t>ISU KAYLEE W CL:121033B-M</t>
        </is>
      </c>
      <c r="F1333" s="0" t="inlineStr">
        <is>
          <t>'801121033058</t>
        </is>
      </c>
      <c r="G1333" s="0" t="inlineStr">
        <is>
          <t>WOMENS</t>
        </is>
      </c>
      <c r="H1333" s="0" t="inlineStr">
        <is>
          <t>M</t>
        </is>
      </c>
      <c r="I1333" s="0">
        <v>59.99</v>
      </c>
      <c r="J1333" s="0">
        <v>0</v>
      </c>
    </row>
    <row r="1334" spans="1:10" customHeight="0">
      <c r="A1334" s="0">
        <f>HYPERLINK("https://dl.dropboxusercontent.com/scl/fi/42jljfi3xue7z2igjcemh/121033-f.jpg?rlkey=cv3fhnt2fb5sty21h58yyupal&amp;dl=0","Click to download Image")</f>
      </c>
      <c r="B1334" s="0">
        <f>HYPERLINK("https://dl.dropboxusercontent.com/scl/fi/cswpinhdizdbldkw1utc2/womens-size-chartskaylee.jpg?rlkey=j50frmjjkg2fssmpcw8l5jgo8&amp;dl=0","Click to download SizeChart")</f>
      </c>
      <c r="C1334" s="0" t="inlineStr">
        <is>
          <t>Kaylee Women's Jacket</t>
        </is>
      </c>
      <c r="D1334" s="0" t="inlineStr">
        <is>
          <t>'121033</t>
        </is>
      </c>
      <c r="E1334" s="0" t="inlineStr">
        <is>
          <t>ISU KAYLEE W CL:121033C-L</t>
        </is>
      </c>
      <c r="F1334" s="0" t="inlineStr">
        <is>
          <t>'801121033065</t>
        </is>
      </c>
      <c r="G1334" s="0" t="inlineStr">
        <is>
          <t>WOMENS</t>
        </is>
      </c>
      <c r="H1334" s="0" t="inlineStr">
        <is>
          <t>L</t>
        </is>
      </c>
      <c r="I1334" s="0">
        <v>59.99</v>
      </c>
      <c r="J1334" s="0">
        <v>4</v>
      </c>
    </row>
    <row r="1335" spans="1:10" customHeight="0">
      <c r="A1335" s="0">
        <f>HYPERLINK("https://dl.dropboxusercontent.com/scl/fi/42jljfi3xue7z2igjcemh/121033-f.jpg?rlkey=cv3fhnt2fb5sty21h58yyupal&amp;dl=0","Click to download Image")</f>
      </c>
      <c r="B1335" s="0">
        <f>HYPERLINK("https://dl.dropboxusercontent.com/scl/fi/cswpinhdizdbldkw1utc2/womens-size-chartskaylee.jpg?rlkey=j50frmjjkg2fssmpcw8l5jgo8&amp;dl=0","Click to download SizeChart")</f>
      </c>
      <c r="C1335" s="0" t="inlineStr">
        <is>
          <t>Kaylee Women's Jacket</t>
        </is>
      </c>
      <c r="D1335" s="0" t="inlineStr">
        <is>
          <t>'121033</t>
        </is>
      </c>
      <c r="E1335" s="0" t="inlineStr">
        <is>
          <t>ISU KAYLEE W CL:121033D-XL</t>
        </is>
      </c>
      <c r="F1335" s="0" t="inlineStr">
        <is>
          <t>'801121033072</t>
        </is>
      </c>
      <c r="G1335" s="0" t="inlineStr">
        <is>
          <t>WOMENS</t>
        </is>
      </c>
      <c r="H1335" s="0" t="inlineStr">
        <is>
          <t>XL</t>
        </is>
      </c>
      <c r="I1335" s="0">
        <v>59.99</v>
      </c>
      <c r="J1335" s="0">
        <v>0</v>
      </c>
    </row>
    <row r="1336" spans="1:10" customHeight="0">
      <c r="A1336" s="0">
        <f>HYPERLINK("https://dl.dropboxusercontent.com/scl/fi/42jljfi3xue7z2igjcemh/121033-f.jpg?rlkey=cv3fhnt2fb5sty21h58yyupal&amp;dl=0","Click to download Image")</f>
      </c>
      <c r="B1336" s="0">
        <f>HYPERLINK("https://dl.dropboxusercontent.com/scl/fi/cswpinhdizdbldkw1utc2/womens-size-chartskaylee.jpg?rlkey=j50frmjjkg2fssmpcw8l5jgo8&amp;dl=0","Click to download SizeChart")</f>
      </c>
      <c r="C1336" s="0" t="inlineStr">
        <is>
          <t>Kaylee Women's Jacket</t>
        </is>
      </c>
      <c r="D1336" s="0" t="inlineStr">
        <is>
          <t>'121033</t>
        </is>
      </c>
      <c r="E1336" s="0" t="inlineStr">
        <is>
          <t>ISU KAYLEE W CL:121033E-2XL</t>
        </is>
      </c>
      <c r="F1336" s="0" t="inlineStr">
        <is>
          <t>'801121033089</t>
        </is>
      </c>
      <c r="G1336" s="0" t="inlineStr">
        <is>
          <t>WOMENS</t>
        </is>
      </c>
      <c r="H1336" s="0" t="inlineStr">
        <is>
          <t>2XL</t>
        </is>
      </c>
      <c r="I1336" s="0">
        <v>59.99</v>
      </c>
      <c r="J1336" s="0">
        <v>0</v>
      </c>
    </row>
    <row r="1337" spans="1:10" customHeight="0">
      <c r="A1337" s="0">
        <f>HYPERLINK("https://dl.dropboxusercontent.com/scl/fi/42jljfi3xue7z2igjcemh/121033-f.jpg?rlkey=cv3fhnt2fb5sty21h58yyupal&amp;dl=0","Click to download Image")</f>
      </c>
      <c r="B1337" s="0">
        <f>HYPERLINK("https://dl.dropboxusercontent.com/scl/fi/cswpinhdizdbldkw1utc2/womens-size-chartskaylee.jpg?rlkey=j50frmjjkg2fssmpcw8l5jgo8&amp;dl=0","Click to download SizeChart")</f>
      </c>
      <c r="C1337" s="0" t="inlineStr">
        <is>
          <t>Kaylee Women's Jacket</t>
        </is>
      </c>
      <c r="D1337" s="0" t="inlineStr">
        <is>
          <t>'121033</t>
        </is>
      </c>
      <c r="E1337" s="0" t="inlineStr">
        <is>
          <t>ISU KAYLEE W CL:121033F-3XL</t>
        </is>
      </c>
      <c r="F1337" s="0" t="inlineStr">
        <is>
          <t>'801121033096</t>
        </is>
      </c>
      <c r="G1337" s="0" t="inlineStr">
        <is>
          <t>WOMENS</t>
        </is>
      </c>
      <c r="H1337" s="0" t="inlineStr">
        <is>
          <t>3XL</t>
        </is>
      </c>
      <c r="I1337" s="0">
        <v>59.99</v>
      </c>
      <c r="J1337" s="0">
        <v>0</v>
      </c>
    </row>
    <row r="1338" spans="1:10" customHeight="0">
      <c r="A1338" s="0">
        <f>HYPERLINK("https://dl.dropboxusercontent.com/scl/fi/42jljfi3xue7z2igjcemh/121033-f.jpg?rlkey=cv3fhnt2fb5sty21h58yyupal&amp;dl=0","Click to download Image")</f>
      </c>
      <c r="B1338" s="0">
        <f>HYPERLINK("https://dl.dropboxusercontent.com/scl/fi/cswpinhdizdbldkw1utc2/womens-size-chartskaylee.jpg?rlkey=j50frmjjkg2fssmpcw8l5jgo8&amp;dl=0","Click to download SizeChart")</f>
      </c>
      <c r="C1338" s="0" t="inlineStr">
        <is>
          <t>Kaylee Women's Jacket</t>
        </is>
      </c>
      <c r="D1338" s="0" t="inlineStr">
        <is>
          <t>'121033</t>
        </is>
      </c>
      <c r="E1338" s="0" t="inlineStr">
        <is>
          <t>ISU KAYLEE W CL 12PK:121033Z-12PK</t>
        </is>
      </c>
      <c r="F1338" s="0" t="inlineStr">
        <is>
          <t>'801121033997</t>
        </is>
      </c>
      <c r="G1338" s="0" t="inlineStr">
        <is>
          <t>WOMENS</t>
        </is>
      </c>
      <c r="H1338" s="0" t="inlineStr">
        <is>
          <t>12 PACK</t>
        </is>
      </c>
      <c r="I1338" s="0">
        <v>576</v>
      </c>
      <c r="J1338" s="0">
        <v>0</v>
      </c>
    </row>
    <row r="1339" spans="1:10" customHeight="0">
      <c r="A1339" s="0">
        <f>HYPERLINK("https://dl.dropboxusercontent.com/scl/fi/i5yvpl6m9adtvmk8hkfct/124066f06162.jpg?rlkey=9323h62677zv1oz8wkclj1kox&amp;dl=0","Click to download Image")</f>
      </c>
      <c r="B1339" s="0">
        <f>HYPERLINK("https://dl.dropboxusercontent.com/scl/fi/cswpinhdizdbldkw1utc2/womens-size-chartskaylee.jpg?rlkey=j50frmjjkg2fssmpcw8l5jgo8&amp;dl=0","Click to download SizeChart")</f>
      </c>
      <c r="C1339" s="0" t="inlineStr">
        <is>
          <t>Kaylee Women's Jacket</t>
        </is>
      </c>
      <c r="D1339" s="0" t="inlineStr">
        <is>
          <t>'124066</t>
        </is>
      </c>
      <c r="E1339" s="0" t="inlineStr">
        <is>
          <t>USD KAYLEE W BK:124066A-S</t>
        </is>
      </c>
      <c r="F1339" s="0" t="inlineStr">
        <is>
          <t>'811124066045</t>
        </is>
      </c>
      <c r="G1339" s="0" t="inlineStr">
        <is>
          <t>WOMENS</t>
        </is>
      </c>
      <c r="H1339" s="0" t="inlineStr">
        <is>
          <t>S</t>
        </is>
      </c>
      <c r="I1339" s="0">
        <v>59.99</v>
      </c>
      <c r="J1339" s="0">
        <v>7</v>
      </c>
    </row>
    <row r="1340" spans="1:10" customHeight="0">
      <c r="A1340" s="0">
        <f>HYPERLINK("https://dl.dropboxusercontent.com/scl/fi/i5yvpl6m9adtvmk8hkfct/124066f06162.jpg?rlkey=9323h62677zv1oz8wkclj1kox&amp;dl=0","Click to download Image")</f>
      </c>
      <c r="B1340" s="0">
        <f>HYPERLINK("https://dl.dropboxusercontent.com/scl/fi/cswpinhdizdbldkw1utc2/womens-size-chartskaylee.jpg?rlkey=j50frmjjkg2fssmpcw8l5jgo8&amp;dl=0","Click to download SizeChart")</f>
      </c>
      <c r="C1340" s="0" t="inlineStr">
        <is>
          <t>Kaylee Women's Jacket</t>
        </is>
      </c>
      <c r="D1340" s="0" t="inlineStr">
        <is>
          <t>'124066</t>
        </is>
      </c>
      <c r="E1340" s="0" t="inlineStr">
        <is>
          <t>USD KAYLEE W BK:124066B-M</t>
        </is>
      </c>
      <c r="F1340" s="0" t="inlineStr">
        <is>
          <t>'811124066052</t>
        </is>
      </c>
      <c r="G1340" s="0" t="inlineStr">
        <is>
          <t>WOMENS</t>
        </is>
      </c>
      <c r="H1340" s="0" t="inlineStr">
        <is>
          <t>M</t>
        </is>
      </c>
      <c r="I1340" s="0">
        <v>59.99</v>
      </c>
      <c r="J1340" s="0">
        <v>12</v>
      </c>
    </row>
    <row r="1341" spans="1:10" customHeight="0">
      <c r="A1341" s="0">
        <f>HYPERLINK("https://dl.dropboxusercontent.com/scl/fi/i5yvpl6m9adtvmk8hkfct/124066f06162.jpg?rlkey=9323h62677zv1oz8wkclj1kox&amp;dl=0","Click to download Image")</f>
      </c>
      <c r="B1341" s="0">
        <f>HYPERLINK("https://dl.dropboxusercontent.com/scl/fi/cswpinhdizdbldkw1utc2/womens-size-chartskaylee.jpg?rlkey=j50frmjjkg2fssmpcw8l5jgo8&amp;dl=0","Click to download SizeChart")</f>
      </c>
      <c r="C1341" s="0" t="inlineStr">
        <is>
          <t>Kaylee Women's Jacket</t>
        </is>
      </c>
      <c r="D1341" s="0" t="inlineStr">
        <is>
          <t>'124066</t>
        </is>
      </c>
      <c r="E1341" s="0" t="inlineStr">
        <is>
          <t>USD KAYLEE W BK:124066C-L</t>
        </is>
      </c>
      <c r="F1341" s="0" t="inlineStr">
        <is>
          <t>'811124066069</t>
        </is>
      </c>
      <c r="G1341" s="0" t="inlineStr">
        <is>
          <t>WOMENS</t>
        </is>
      </c>
      <c r="H1341" s="0" t="inlineStr">
        <is>
          <t>L</t>
        </is>
      </c>
      <c r="I1341" s="0">
        <v>59.99</v>
      </c>
      <c r="J1341" s="0">
        <v>12</v>
      </c>
    </row>
    <row r="1342" spans="1:10" customHeight="0">
      <c r="A1342" s="0">
        <f>HYPERLINK("https://dl.dropboxusercontent.com/scl/fi/i5yvpl6m9adtvmk8hkfct/124066f06162.jpg?rlkey=9323h62677zv1oz8wkclj1kox&amp;dl=0","Click to download Image")</f>
      </c>
      <c r="B1342" s="0">
        <f>HYPERLINK("https://dl.dropboxusercontent.com/scl/fi/cswpinhdizdbldkw1utc2/womens-size-chartskaylee.jpg?rlkey=j50frmjjkg2fssmpcw8l5jgo8&amp;dl=0","Click to download SizeChart")</f>
      </c>
      <c r="C1342" s="0" t="inlineStr">
        <is>
          <t>Kaylee Women's Jacket</t>
        </is>
      </c>
      <c r="D1342" s="0" t="inlineStr">
        <is>
          <t>'124066</t>
        </is>
      </c>
      <c r="E1342" s="0" t="inlineStr">
        <is>
          <t>USD KAYLEE W BK:124066D-XL</t>
        </is>
      </c>
      <c r="F1342" s="0" t="inlineStr">
        <is>
          <t>'811124066076</t>
        </is>
      </c>
      <c r="G1342" s="0" t="inlineStr">
        <is>
          <t>WOMENS</t>
        </is>
      </c>
      <c r="H1342" s="0" t="inlineStr">
        <is>
          <t>XL</t>
        </is>
      </c>
      <c r="I1342" s="0">
        <v>59.99</v>
      </c>
      <c r="J1342" s="0">
        <v>6</v>
      </c>
    </row>
    <row r="1343" spans="1:10" customHeight="0">
      <c r="A1343" s="0">
        <f>HYPERLINK("https://dl.dropboxusercontent.com/scl/fi/i5yvpl6m9adtvmk8hkfct/124066f06162.jpg?rlkey=9323h62677zv1oz8wkclj1kox&amp;dl=0","Click to download Image")</f>
      </c>
      <c r="B1343" s="0">
        <f>HYPERLINK("https://dl.dropboxusercontent.com/scl/fi/cswpinhdizdbldkw1utc2/womens-size-chartskaylee.jpg?rlkey=j50frmjjkg2fssmpcw8l5jgo8&amp;dl=0","Click to download SizeChart")</f>
      </c>
      <c r="C1343" s="0" t="inlineStr">
        <is>
          <t>Kaylee Women's Jacket</t>
        </is>
      </c>
      <c r="D1343" s="0" t="inlineStr">
        <is>
          <t>'124066</t>
        </is>
      </c>
      <c r="E1343" s="0" t="inlineStr">
        <is>
          <t>USD KAYLEE W BK:124066E-2XL</t>
        </is>
      </c>
      <c r="F1343" s="0" t="inlineStr">
        <is>
          <t>'811124066083</t>
        </is>
      </c>
      <c r="G1343" s="0" t="inlineStr">
        <is>
          <t>WOMENS</t>
        </is>
      </c>
      <c r="H1343" s="0" t="inlineStr">
        <is>
          <t>2XL</t>
        </is>
      </c>
      <c r="I1343" s="0">
        <v>59.99</v>
      </c>
      <c r="J1343" s="0">
        <v>3</v>
      </c>
    </row>
    <row r="1344" spans="1:10" customHeight="0">
      <c r="A1344" s="0">
        <f>HYPERLINK("https://dl.dropboxusercontent.com/scl/fi/i5yvpl6m9adtvmk8hkfct/124066f06162.jpg?rlkey=9323h62677zv1oz8wkclj1kox&amp;dl=0","Click to download Image")</f>
      </c>
      <c r="B1344" s="0">
        <f>HYPERLINK("https://dl.dropboxusercontent.com/scl/fi/cswpinhdizdbldkw1utc2/womens-size-chartskaylee.jpg?rlkey=j50frmjjkg2fssmpcw8l5jgo8&amp;dl=0","Click to download SizeChart")</f>
      </c>
      <c r="C1344" s="0" t="inlineStr">
        <is>
          <t>Kaylee Women's Jacket</t>
        </is>
      </c>
      <c r="D1344" s="0" t="inlineStr">
        <is>
          <t>'124066</t>
        </is>
      </c>
      <c r="E1344" s="0" t="inlineStr">
        <is>
          <t>USD KAYLEE W BK:124066F-3XL</t>
        </is>
      </c>
      <c r="F1344" s="0" t="inlineStr">
        <is>
          <t>'811124066090</t>
        </is>
      </c>
      <c r="G1344" s="0" t="inlineStr">
        <is>
          <t>WOMENS</t>
        </is>
      </c>
      <c r="H1344" s="0" t="inlineStr">
        <is>
          <t>3XL</t>
        </is>
      </c>
      <c r="I1344" s="0">
        <v>59.99</v>
      </c>
      <c r="J1344" s="0">
        <v>2</v>
      </c>
    </row>
    <row r="1345" spans="1:10" customHeight="0">
      <c r="A1345" s="0">
        <f>HYPERLINK("https://dl.dropboxusercontent.com/scl/fi/i5yvpl6m9adtvmk8hkfct/124066f06162.jpg?rlkey=9323h62677zv1oz8wkclj1kox&amp;dl=0","Click to download Image")</f>
      </c>
      <c r="B1345" s="0">
        <f>HYPERLINK("https://dl.dropboxusercontent.com/scl/fi/cswpinhdizdbldkw1utc2/womens-size-chartskaylee.jpg?rlkey=j50frmjjkg2fssmpcw8l5jgo8&amp;dl=0","Click to download SizeChart")</f>
      </c>
      <c r="C1345" s="0" t="inlineStr">
        <is>
          <t>Kaylee Women's Jacket</t>
        </is>
      </c>
      <c r="D1345" s="0" t="inlineStr">
        <is>
          <t>'124066</t>
        </is>
      </c>
      <c r="E1345" s="0" t="inlineStr">
        <is>
          <t>USD KAYLEE W BK 12PK:124066Z-12PK</t>
        </is>
      </c>
      <c r="F1345" s="0" t="inlineStr">
        <is>
          <t>'811124066991</t>
        </is>
      </c>
      <c r="G1345" s="0" t="inlineStr">
        <is>
          <t>WOMENS</t>
        </is>
      </c>
      <c r="H1345" s="0" t="inlineStr">
        <is>
          <t>12 PACK</t>
        </is>
      </c>
      <c r="I1345" s="0">
        <v>576</v>
      </c>
      <c r="J1345" s="0">
        <v>0</v>
      </c>
    </row>
    <row r="1346" spans="1:10" customHeight="0">
      <c r="A1346" s="0">
        <f>HYPERLINK("https://dl.dropboxusercontent.com/scl/fi/lu3mknrqp2es4lxnhsous/125221-f.jpg?rlkey=vhy3a5d5vrfs30l93z28olr57&amp;dl=0","Click to download Image")</f>
      </c>
      <c r="B1346" s="0">
        <f>HYPERLINK("https://dl.dropboxusercontent.com/scl/fi/cswpinhdizdbldkw1utc2/womens-size-chartskaylee.jpg?rlkey=j50frmjjkg2fssmpcw8l5jgo8&amp;dl=0","Click to download SizeChart")</f>
      </c>
      <c r="C1346" s="0" t="inlineStr">
        <is>
          <t>Kaylee Women's Jacket</t>
        </is>
      </c>
      <c r="D1346" s="0" t="inlineStr">
        <is>
          <t>'125221</t>
        </is>
      </c>
      <c r="E1346" s="0" t="inlineStr">
        <is>
          <t>UNO KAYLEE W BK:125221A-S</t>
        </is>
      </c>
      <c r="F1346" s="0" t="inlineStr">
        <is>
          <t>'809125221044</t>
        </is>
      </c>
      <c r="G1346" s="0" t="inlineStr">
        <is>
          <t>WOMENS</t>
        </is>
      </c>
      <c r="H1346" s="0" t="inlineStr">
        <is>
          <t>S</t>
        </is>
      </c>
      <c r="I1346" s="0">
        <v>59.99</v>
      </c>
      <c r="J1346" s="0">
        <v>0</v>
      </c>
    </row>
    <row r="1347" spans="1:10" customHeight="0">
      <c r="A1347" s="0">
        <f>HYPERLINK("https://dl.dropboxusercontent.com/scl/fi/lu3mknrqp2es4lxnhsous/125221-f.jpg?rlkey=vhy3a5d5vrfs30l93z28olr57&amp;dl=0","Click to download Image")</f>
      </c>
      <c r="B1347" s="0">
        <f>HYPERLINK("https://dl.dropboxusercontent.com/scl/fi/cswpinhdizdbldkw1utc2/womens-size-chartskaylee.jpg?rlkey=j50frmjjkg2fssmpcw8l5jgo8&amp;dl=0","Click to download SizeChart")</f>
      </c>
      <c r="C1347" s="0" t="inlineStr">
        <is>
          <t>Kaylee Women's Jacket</t>
        </is>
      </c>
      <c r="D1347" s="0" t="inlineStr">
        <is>
          <t>'125221</t>
        </is>
      </c>
      <c r="E1347" s="0" t="inlineStr">
        <is>
          <t>UNO KAYLEE W BK:125221B-M</t>
        </is>
      </c>
      <c r="F1347" s="0" t="inlineStr">
        <is>
          <t>'809125221051</t>
        </is>
      </c>
      <c r="G1347" s="0" t="inlineStr">
        <is>
          <t>WOMENS</t>
        </is>
      </c>
      <c r="H1347" s="0" t="inlineStr">
        <is>
          <t>M</t>
        </is>
      </c>
      <c r="I1347" s="0">
        <v>59.99</v>
      </c>
      <c r="J1347" s="0">
        <v>1</v>
      </c>
    </row>
    <row r="1348" spans="1:10" customHeight="0">
      <c r="A1348" s="0">
        <f>HYPERLINK("https://dl.dropboxusercontent.com/scl/fi/lu3mknrqp2es4lxnhsous/125221-f.jpg?rlkey=vhy3a5d5vrfs30l93z28olr57&amp;dl=0","Click to download Image")</f>
      </c>
      <c r="B1348" s="0">
        <f>HYPERLINK("https://dl.dropboxusercontent.com/scl/fi/cswpinhdizdbldkw1utc2/womens-size-chartskaylee.jpg?rlkey=j50frmjjkg2fssmpcw8l5jgo8&amp;dl=0","Click to download SizeChart")</f>
      </c>
      <c r="C1348" s="0" t="inlineStr">
        <is>
          <t>Kaylee Women's Jacket</t>
        </is>
      </c>
      <c r="D1348" s="0" t="inlineStr">
        <is>
          <t>'125221</t>
        </is>
      </c>
      <c r="E1348" s="0" t="inlineStr">
        <is>
          <t>UNO KAYLEE W BK:125221C-L</t>
        </is>
      </c>
      <c r="F1348" s="0" t="inlineStr">
        <is>
          <t>'809125221068</t>
        </is>
      </c>
      <c r="G1348" s="0" t="inlineStr">
        <is>
          <t>WOMENS</t>
        </is>
      </c>
      <c r="H1348" s="0" t="inlineStr">
        <is>
          <t>L</t>
        </is>
      </c>
      <c r="I1348" s="0">
        <v>59.99</v>
      </c>
      <c r="J1348" s="0">
        <v>0</v>
      </c>
    </row>
    <row r="1349" spans="1:10" customHeight="0">
      <c r="A1349" s="0">
        <f>HYPERLINK("https://dl.dropboxusercontent.com/scl/fi/lu3mknrqp2es4lxnhsous/125221-f.jpg?rlkey=vhy3a5d5vrfs30l93z28olr57&amp;dl=0","Click to download Image")</f>
      </c>
      <c r="B1349" s="0">
        <f>HYPERLINK("https://dl.dropboxusercontent.com/scl/fi/cswpinhdizdbldkw1utc2/womens-size-chartskaylee.jpg?rlkey=j50frmjjkg2fssmpcw8l5jgo8&amp;dl=0","Click to download SizeChart")</f>
      </c>
      <c r="C1349" s="0" t="inlineStr">
        <is>
          <t>Kaylee Women's Jacket</t>
        </is>
      </c>
      <c r="D1349" s="0" t="inlineStr">
        <is>
          <t>'125221</t>
        </is>
      </c>
      <c r="E1349" s="0" t="inlineStr">
        <is>
          <t>UNO KAYLEE W BK:125221D-XL</t>
        </is>
      </c>
      <c r="F1349" s="0" t="inlineStr">
        <is>
          <t>'809125221075</t>
        </is>
      </c>
      <c r="G1349" s="0" t="inlineStr">
        <is>
          <t>WOMENS</t>
        </is>
      </c>
      <c r="H1349" s="0" t="inlineStr">
        <is>
          <t>XL</t>
        </is>
      </c>
      <c r="I1349" s="0">
        <v>59.99</v>
      </c>
      <c r="J1349" s="0">
        <v>0</v>
      </c>
    </row>
    <row r="1350" spans="1:10" customHeight="0">
      <c r="A1350" s="0">
        <f>HYPERLINK("https://dl.dropboxusercontent.com/scl/fi/lu3mknrqp2es4lxnhsous/125221-f.jpg?rlkey=vhy3a5d5vrfs30l93z28olr57&amp;dl=0","Click to download Image")</f>
      </c>
      <c r="B1350" s="0">
        <f>HYPERLINK("https://dl.dropboxusercontent.com/scl/fi/cswpinhdizdbldkw1utc2/womens-size-chartskaylee.jpg?rlkey=j50frmjjkg2fssmpcw8l5jgo8&amp;dl=0","Click to download SizeChart")</f>
      </c>
      <c r="C1350" s="0" t="inlineStr">
        <is>
          <t>Kaylee Women's Jacket</t>
        </is>
      </c>
      <c r="D1350" s="0" t="inlineStr">
        <is>
          <t>'125221</t>
        </is>
      </c>
      <c r="E1350" s="0" t="inlineStr">
        <is>
          <t>UNO KAYLEE W BK:125221E-2XL</t>
        </is>
      </c>
      <c r="F1350" s="0" t="inlineStr">
        <is>
          <t>'809125221082</t>
        </is>
      </c>
      <c r="G1350" s="0" t="inlineStr">
        <is>
          <t>WOMENS</t>
        </is>
      </c>
      <c r="H1350" s="0" t="inlineStr">
        <is>
          <t>2XL</t>
        </is>
      </c>
      <c r="I1350" s="0">
        <v>59.99</v>
      </c>
      <c r="J1350" s="0">
        <v>0</v>
      </c>
    </row>
    <row r="1351" spans="1:10" customHeight="0">
      <c r="A1351" s="0">
        <f>HYPERLINK("https://dl.dropboxusercontent.com/scl/fi/lu3mknrqp2es4lxnhsous/125221-f.jpg?rlkey=vhy3a5d5vrfs30l93z28olr57&amp;dl=0","Click to download Image")</f>
      </c>
      <c r="B1351" s="0">
        <f>HYPERLINK("https://dl.dropboxusercontent.com/scl/fi/cswpinhdizdbldkw1utc2/womens-size-chartskaylee.jpg?rlkey=j50frmjjkg2fssmpcw8l5jgo8&amp;dl=0","Click to download SizeChart")</f>
      </c>
      <c r="C1351" s="0" t="inlineStr">
        <is>
          <t>Kaylee Women's Jacket</t>
        </is>
      </c>
      <c r="D1351" s="0" t="inlineStr">
        <is>
          <t>'125221</t>
        </is>
      </c>
      <c r="E1351" s="0" t="inlineStr">
        <is>
          <t>UNO KAYLEE W BK:125221F-3XL</t>
        </is>
      </c>
      <c r="F1351" s="0" t="inlineStr">
        <is>
          <t>'809125221099</t>
        </is>
      </c>
      <c r="G1351" s="0" t="inlineStr">
        <is>
          <t>WOMENS</t>
        </is>
      </c>
      <c r="H1351" s="0" t="inlineStr">
        <is>
          <t>3XL</t>
        </is>
      </c>
      <c r="I1351" s="0">
        <v>59.99</v>
      </c>
      <c r="J1351" s="0">
        <v>0</v>
      </c>
    </row>
    <row r="1352" spans="1:10" customHeight="0">
      <c r="A1352" s="0">
        <f>HYPERLINK("https://dl.dropboxusercontent.com/scl/fi/lu3mknrqp2es4lxnhsous/125221-f.jpg?rlkey=vhy3a5d5vrfs30l93z28olr57&amp;dl=0","Click to download Image")</f>
      </c>
      <c r="B1352" s="0">
        <f>HYPERLINK("https://dl.dropboxusercontent.com/scl/fi/cswpinhdizdbldkw1utc2/womens-size-chartskaylee.jpg?rlkey=j50frmjjkg2fssmpcw8l5jgo8&amp;dl=0","Click to download SizeChart")</f>
      </c>
      <c r="C1352" s="0" t="inlineStr">
        <is>
          <t>Kaylee Women's Jacket</t>
        </is>
      </c>
      <c r="D1352" s="0" t="inlineStr">
        <is>
          <t>'125221</t>
        </is>
      </c>
      <c r="E1352" s="0" t="inlineStr">
        <is>
          <t>UNO KAYLEE W BK 12PK:125221Z-12PK</t>
        </is>
      </c>
      <c r="F1352" s="0" t="inlineStr">
        <is>
          <t>'809125221990</t>
        </is>
      </c>
      <c r="G1352" s="0" t="inlineStr">
        <is>
          <t>WOMENS</t>
        </is>
      </c>
      <c r="H1352" s="0" t="inlineStr">
        <is>
          <t>12 PACK</t>
        </is>
      </c>
      <c r="I1352" s="0">
        <v>576</v>
      </c>
      <c r="J1352" s="0">
        <v>0</v>
      </c>
    </row>
    <row r="1353" spans="1:10" customHeight="0">
      <c r="A1353" s="0">
        <f>HYPERLINK("https://dl.dropboxusercontent.com/scl/fi/xzto376qoaui2srzsniiz/slate-150001-f.jpg?rlkey=xbvdfqis2wl4yqfh1oes95rg2&amp;dl=0","Click to download Image")</f>
      </c>
      <c r="B1353" s="0">
        <f>HYPERLINK("https://dl.dropboxusercontent.com/scl/fi/w5sfhff8fyh94k8zm5rtb/mens-t-shirt-size-chartsslate-cason.jpg?rlkey=03biombodw14q4tqqjuzc7dyt&amp;dl=0","Click to download SizeChart")</f>
      </c>
      <c r="C1353" s="0" t="inlineStr">
        <is>
          <t>Slate Men's T-Shirt</t>
        </is>
      </c>
      <c r="D1353" s="0" t="inlineStr">
        <is>
          <t>'150001</t>
        </is>
      </c>
      <c r="E1353" s="0" t="inlineStr">
        <is>
          <t>DRK SLATE M LB:150001A-S</t>
        </is>
      </c>
      <c r="F1353" s="0" t="inlineStr">
        <is>
          <t>'817150001043</t>
        </is>
      </c>
      <c r="G1353" s="0" t="inlineStr">
        <is>
          <t>MENS</t>
        </is>
      </c>
      <c r="H1353" s="0" t="inlineStr">
        <is>
          <t>S</t>
        </is>
      </c>
      <c r="I1353" s="0">
        <v>29.99</v>
      </c>
      <c r="J1353" s="0">
        <v>1</v>
      </c>
    </row>
    <row r="1354" spans="1:10" customHeight="0">
      <c r="A1354" s="0">
        <f>HYPERLINK("https://dl.dropboxusercontent.com/scl/fi/xzto376qoaui2srzsniiz/slate-150001-f.jpg?rlkey=xbvdfqis2wl4yqfh1oes95rg2&amp;dl=0","Click to download Image")</f>
      </c>
      <c r="B1354" s="0">
        <f>HYPERLINK("https://dl.dropboxusercontent.com/scl/fi/w5sfhff8fyh94k8zm5rtb/mens-t-shirt-size-chartsslate-cason.jpg?rlkey=03biombodw14q4tqqjuzc7dyt&amp;dl=0","Click to download SizeChart")</f>
      </c>
      <c r="C1354" s="0" t="inlineStr">
        <is>
          <t>Slate Men's T-Shirt</t>
        </is>
      </c>
      <c r="D1354" s="0" t="inlineStr">
        <is>
          <t>'150001</t>
        </is>
      </c>
      <c r="E1354" s="0" t="inlineStr">
        <is>
          <t>DRK SLATE M LB:150001B-M</t>
        </is>
      </c>
      <c r="F1354" s="0" t="inlineStr">
        <is>
          <t>'817150001050</t>
        </is>
      </c>
      <c r="G1354" s="0" t="inlineStr">
        <is>
          <t>MENS</t>
        </is>
      </c>
      <c r="H1354" s="0" t="inlineStr">
        <is>
          <t>M</t>
        </is>
      </c>
      <c r="I1354" s="0">
        <v>29.99</v>
      </c>
      <c r="J1354" s="0">
        <v>2</v>
      </c>
    </row>
    <row r="1355" spans="1:10" customHeight="0">
      <c r="A1355" s="0">
        <f>HYPERLINK("https://dl.dropboxusercontent.com/scl/fi/xzto376qoaui2srzsniiz/slate-150001-f.jpg?rlkey=xbvdfqis2wl4yqfh1oes95rg2&amp;dl=0","Click to download Image")</f>
      </c>
      <c r="B1355" s="0">
        <f>HYPERLINK("https://dl.dropboxusercontent.com/scl/fi/w5sfhff8fyh94k8zm5rtb/mens-t-shirt-size-chartsslate-cason.jpg?rlkey=03biombodw14q4tqqjuzc7dyt&amp;dl=0","Click to download SizeChart")</f>
      </c>
      <c r="C1355" s="0" t="inlineStr">
        <is>
          <t>Slate Men's T-Shirt</t>
        </is>
      </c>
      <c r="D1355" s="0" t="inlineStr">
        <is>
          <t>'150001</t>
        </is>
      </c>
      <c r="E1355" s="0" t="inlineStr">
        <is>
          <t>DRK SLATE M LB:150001C-L</t>
        </is>
      </c>
      <c r="F1355" s="0" t="inlineStr">
        <is>
          <t>'817150001067</t>
        </is>
      </c>
      <c r="G1355" s="0" t="inlineStr">
        <is>
          <t>MENS</t>
        </is>
      </c>
      <c r="H1355" s="0" t="inlineStr">
        <is>
          <t>L</t>
        </is>
      </c>
      <c r="I1355" s="0">
        <v>29.99</v>
      </c>
      <c r="J1355" s="0">
        <v>2</v>
      </c>
    </row>
    <row r="1356" spans="1:10" customHeight="0">
      <c r="A1356" s="0">
        <f>HYPERLINK("https://dl.dropboxusercontent.com/scl/fi/xzto376qoaui2srzsniiz/slate-150001-f.jpg?rlkey=xbvdfqis2wl4yqfh1oes95rg2&amp;dl=0","Click to download Image")</f>
      </c>
      <c r="B1356" s="0">
        <f>HYPERLINK("https://dl.dropboxusercontent.com/scl/fi/w5sfhff8fyh94k8zm5rtb/mens-t-shirt-size-chartsslate-cason.jpg?rlkey=03biombodw14q4tqqjuzc7dyt&amp;dl=0","Click to download SizeChart")</f>
      </c>
      <c r="C1356" s="0" t="inlineStr">
        <is>
          <t>Slate Men's T-Shirt</t>
        </is>
      </c>
      <c r="D1356" s="0" t="inlineStr">
        <is>
          <t>'150001</t>
        </is>
      </c>
      <c r="E1356" s="0" t="inlineStr">
        <is>
          <t>DRK SLATE M LB:150001D-XL</t>
        </is>
      </c>
      <c r="F1356" s="0" t="inlineStr">
        <is>
          <t>'817150001074</t>
        </is>
      </c>
      <c r="G1356" s="0" t="inlineStr">
        <is>
          <t>MENS</t>
        </is>
      </c>
      <c r="H1356" s="0" t="inlineStr">
        <is>
          <t>XL</t>
        </is>
      </c>
      <c r="I1356" s="0">
        <v>29.99</v>
      </c>
      <c r="J1356" s="0">
        <v>1</v>
      </c>
    </row>
    <row r="1357" spans="1:10" customHeight="0">
      <c r="A1357" s="0">
        <f>HYPERLINK("https://dl.dropboxusercontent.com/scl/fi/xzto376qoaui2srzsniiz/slate-150001-f.jpg?rlkey=xbvdfqis2wl4yqfh1oes95rg2&amp;dl=0","Click to download Image")</f>
      </c>
      <c r="B1357" s="0">
        <f>HYPERLINK("https://dl.dropboxusercontent.com/scl/fi/w5sfhff8fyh94k8zm5rtb/mens-t-shirt-size-chartsslate-cason.jpg?rlkey=03biombodw14q4tqqjuzc7dyt&amp;dl=0","Click to download SizeChart")</f>
      </c>
      <c r="C1357" s="0" t="inlineStr">
        <is>
          <t>Slate Men's T-Shirt</t>
        </is>
      </c>
      <c r="D1357" s="0" t="inlineStr">
        <is>
          <t>'150001</t>
        </is>
      </c>
      <c r="E1357" s="0" t="inlineStr">
        <is>
          <t>DRK SLATE M LB:150001E-2XL</t>
        </is>
      </c>
      <c r="F1357" s="0" t="inlineStr">
        <is>
          <t>'817150001081</t>
        </is>
      </c>
      <c r="G1357" s="0" t="inlineStr">
        <is>
          <t>MENS</t>
        </is>
      </c>
      <c r="H1357" s="0" t="inlineStr">
        <is>
          <t>2XL</t>
        </is>
      </c>
      <c r="I1357" s="0">
        <v>29.99</v>
      </c>
      <c r="J1357" s="0">
        <v>2</v>
      </c>
    </row>
    <row r="1358" spans="1:10" customHeight="0">
      <c r="A1358" s="0">
        <f>HYPERLINK("https://dl.dropboxusercontent.com/scl/fi/xzto376qoaui2srzsniiz/slate-150001-f.jpg?rlkey=xbvdfqis2wl4yqfh1oes95rg2&amp;dl=0","Click to download Image")</f>
      </c>
      <c r="B1358" s="0">
        <f>HYPERLINK("https://dl.dropboxusercontent.com/scl/fi/w5sfhff8fyh94k8zm5rtb/mens-t-shirt-size-chartsslate-cason.jpg?rlkey=03biombodw14q4tqqjuzc7dyt&amp;dl=0","Click to download SizeChart")</f>
      </c>
      <c r="C1358" s="0" t="inlineStr">
        <is>
          <t>Slate Men's T-Shirt</t>
        </is>
      </c>
      <c r="D1358" s="0" t="inlineStr">
        <is>
          <t>'150001</t>
        </is>
      </c>
      <c r="E1358" s="0" t="inlineStr">
        <is>
          <t>DRK SLATE M LB:150001F-3XL</t>
        </is>
      </c>
      <c r="F1358" s="0" t="inlineStr">
        <is>
          <t>'817150001098</t>
        </is>
      </c>
      <c r="G1358" s="0" t="inlineStr">
        <is>
          <t>MENS</t>
        </is>
      </c>
      <c r="H1358" s="0" t="inlineStr">
        <is>
          <t>3XL</t>
        </is>
      </c>
      <c r="I1358" s="0">
        <v>29.99</v>
      </c>
      <c r="J1358" s="0">
        <v>1</v>
      </c>
    </row>
    <row r="1359" spans="1:10" customHeight="0">
      <c r="A1359" s="0">
        <f>HYPERLINK("https://dl.dropboxusercontent.com/scl/fi/wwxbeln76i7c6qysu0er2/124061-af.jpg?rlkey=z517tsdjhire4zfq1u2p8t4md&amp;dl=0","Click to download Image")</f>
      </c>
      <c r="C1359" s="0" t="inlineStr">
        <is>
          <t>Kelsi Women's Headband</t>
        </is>
      </c>
      <c r="D1359" s="0" t="inlineStr">
        <is>
          <t>'124061</t>
        </is>
      </c>
      <c r="E1359" s="0" t="inlineStr">
        <is>
          <t>USD KELSI:124061</t>
        </is>
      </c>
      <c r="F1359" s="0" t="inlineStr">
        <is>
          <t>'711124061012</t>
        </is>
      </c>
      <c r="G1359" s="0" t="inlineStr">
        <is>
          <t>WOMENS</t>
        </is>
      </c>
      <c r="H1359" s="0" t="inlineStr">
        <is>
          <t>3.5 H- 8.5 WIDE</t>
        </is>
      </c>
      <c r="I1359" s="0">
        <v>19.99</v>
      </c>
      <c r="J1359" s="0">
        <v>36</v>
      </c>
    </row>
    <row r="1360" spans="1:10" customHeight="0">
      <c r="A1360" s="0">
        <f>HYPERLINK("https://dl.dropboxusercontent.com/scl/fi/qlxdvgtjw6dodlvf43qf7/113208-af.jpg?rlkey=fixf3rh56g570q59wm9hsn9zr&amp;dl=0","Click to download Image")</f>
      </c>
      <c r="C1360" s="0" t="inlineStr">
        <is>
          <t>Kenya Women's Scarf</t>
        </is>
      </c>
      <c r="D1360" s="0" t="inlineStr">
        <is>
          <t>'113208</t>
        </is>
      </c>
      <c r="E1360" s="0" t="inlineStr">
        <is>
          <t>ISU KENYA:113208</t>
        </is>
      </c>
      <c r="F1360" s="0" t="inlineStr">
        <is>
          <t>'701113208016</t>
        </is>
      </c>
      <c r="H1360" s="0" t="inlineStr">
        <is>
          <t>58 X 6</t>
        </is>
      </c>
      <c r="I1360" s="0">
        <v>24.99</v>
      </c>
      <c r="J1360" s="0">
        <v>23</v>
      </c>
    </row>
    <row r="1361" spans="1:10" customHeight="0">
      <c r="A1361" s="0">
        <f>HYPERLINK("https://dl.dropboxusercontent.com/scl/fi/daktoykf2bxa3eewg7y2m/113207-af.jpg?rlkey=dfxjyirmneyw21h0cf4ppnpda&amp;dl=0","Click to download Image")</f>
      </c>
      <c r="C1361" s="0" t="inlineStr">
        <is>
          <t>Kenya Women's Scarf</t>
        </is>
      </c>
      <c r="D1361" s="0" t="inlineStr">
        <is>
          <t>'113207</t>
        </is>
      </c>
      <c r="E1361" s="0" t="inlineStr">
        <is>
          <t>IOWA KENYA:113207</t>
        </is>
      </c>
      <c r="F1361" s="0" t="inlineStr">
        <is>
          <t>'700113207012</t>
        </is>
      </c>
      <c r="H1361" s="0" t="inlineStr">
        <is>
          <t>58 X 6</t>
        </is>
      </c>
      <c r="I1361" s="0">
        <v>24.99</v>
      </c>
      <c r="J1361" s="0">
        <v>48</v>
      </c>
    </row>
    <row r="1362" spans="1:10" customHeight="0">
      <c r="A1362" s="0">
        <f>HYPERLINK("https://dl.dropboxusercontent.com/scl/fi/7plgxpxn4ock1lsteoqdh/124062-af.jpg?rlkey=0cu5gu52u2rbhotiakzl86wwi&amp;dl=0","Click to download Image")</f>
      </c>
      <c r="C1362" s="0" t="inlineStr">
        <is>
          <t>Kenya Women's Scarf</t>
        </is>
      </c>
      <c r="D1362" s="0" t="inlineStr">
        <is>
          <t>'124062</t>
        </is>
      </c>
      <c r="E1362" s="0" t="inlineStr">
        <is>
          <t>USD KENYA:124062</t>
        </is>
      </c>
      <c r="F1362" s="0" t="inlineStr">
        <is>
          <t>'711124062019</t>
        </is>
      </c>
      <c r="H1362" s="0" t="inlineStr">
        <is>
          <t>58 X 6</t>
        </is>
      </c>
      <c r="I1362" s="0">
        <v>24.99</v>
      </c>
      <c r="J1362" s="0">
        <v>36</v>
      </c>
    </row>
    <row r="1363" spans="1:10" customHeight="0">
      <c r="A1363" s="0">
        <f>HYPERLINK("https://dl.dropboxusercontent.com/scl/fi/kq0nczi6yylnss4g3oe5y/crossover2.jpg?rlkey=zmvpnhbyd4l89ulj43zv3tu8r&amp;dl=0","Click to download Image")</f>
      </c>
      <c r="C1363" s="0" t="inlineStr">
        <is>
          <t>Crossover At Kinnick Maddox Cap</t>
        </is>
      </c>
      <c r="D1363" s="0" t="inlineStr">
        <is>
          <t>'144403</t>
        </is>
      </c>
      <c r="E1363" s="0" t="inlineStr">
        <is>
          <t>CROSS MADDOX M BK:144403</t>
        </is>
      </c>
      <c r="F1363" s="0" t="inlineStr">
        <is>
          <t>'700144403001</t>
        </is>
      </c>
      <c r="G1363" s="0" t="inlineStr">
        <is>
          <t>MENS</t>
        </is>
      </c>
      <c r="H1363" s="0" t="inlineStr">
        <is>
          <t>STANDARD MENS</t>
        </is>
      </c>
      <c r="I1363" s="0">
        <v>24.99</v>
      </c>
      <c r="J1363" s="0">
        <v>116</v>
      </c>
    </row>
    <row r="1364" spans="1:10" customHeight="0">
      <c r="A1364" s="0">
        <f>HYPERLINK("https://dl.dropboxusercontent.com/scl/fi/jyex5wat62dwx77f2fkwt/143310-af.jpg?rlkey=zy81cnltwjjd1hvywrczdxrgp&amp;dl=0","Click to download Image")</f>
      </c>
      <c r="B1364" s="0">
        <f>HYPERLINK("https://dl.dropboxusercontent.com/scl/fi/lybx44g1fpzhscy49wcn8/mens-hoodie-size-chartsquincy.jpg?rlkey=ufa7466pf3th02q1i44tn8r3o&amp;dl=0","Click to download SizeChart")</f>
      </c>
      <c r="C1364" s="0" t="inlineStr">
        <is>
          <t>Quincy Men's Fleece Hoodie</t>
        </is>
      </c>
      <c r="D1364" s="0" t="inlineStr">
        <is>
          <t>'143310</t>
        </is>
      </c>
      <c r="E1364" s="0" t="inlineStr">
        <is>
          <t>DRK QUINCY M RL:143310A-S</t>
        </is>
      </c>
      <c r="F1364" s="0" t="inlineStr">
        <is>
          <t>'817143310046</t>
        </is>
      </c>
      <c r="G1364" s="0" t="inlineStr">
        <is>
          <t>MENS</t>
        </is>
      </c>
      <c r="H1364" s="0" t="inlineStr">
        <is>
          <t>S</t>
        </is>
      </c>
      <c r="I1364" s="0">
        <v>39.99</v>
      </c>
      <c r="J1364" s="0">
        <v>3</v>
      </c>
    </row>
    <row r="1365" spans="1:10" customHeight="0">
      <c r="A1365" s="0">
        <f>HYPERLINK("https://dl.dropboxusercontent.com/scl/fi/jyex5wat62dwx77f2fkwt/143310-af.jpg?rlkey=zy81cnltwjjd1hvywrczdxrgp&amp;dl=0","Click to download Image")</f>
      </c>
      <c r="B1365" s="0">
        <f>HYPERLINK("https://dl.dropboxusercontent.com/scl/fi/lybx44g1fpzhscy49wcn8/mens-hoodie-size-chartsquincy.jpg?rlkey=ufa7466pf3th02q1i44tn8r3o&amp;dl=0","Click to download SizeChart")</f>
      </c>
      <c r="C1365" s="0" t="inlineStr">
        <is>
          <t>Quincy Men's Fleece Hoodie</t>
        </is>
      </c>
      <c r="D1365" s="0" t="inlineStr">
        <is>
          <t>'143310</t>
        </is>
      </c>
      <c r="E1365" s="0" t="inlineStr">
        <is>
          <t>DRK QUINCY M RL:143310B-M</t>
        </is>
      </c>
      <c r="F1365" s="0" t="inlineStr">
        <is>
          <t>'817143310053</t>
        </is>
      </c>
      <c r="G1365" s="0" t="inlineStr">
        <is>
          <t>MENS</t>
        </is>
      </c>
      <c r="H1365" s="0" t="inlineStr">
        <is>
          <t>M</t>
        </is>
      </c>
      <c r="I1365" s="0">
        <v>39.99</v>
      </c>
      <c r="J1365" s="0">
        <v>0</v>
      </c>
    </row>
    <row r="1366" spans="1:10" customHeight="0">
      <c r="A1366" s="0">
        <f>HYPERLINK("https://dl.dropboxusercontent.com/scl/fi/jyex5wat62dwx77f2fkwt/143310-af.jpg?rlkey=zy81cnltwjjd1hvywrczdxrgp&amp;dl=0","Click to download Image")</f>
      </c>
      <c r="B1366" s="0">
        <f>HYPERLINK("https://dl.dropboxusercontent.com/scl/fi/lybx44g1fpzhscy49wcn8/mens-hoodie-size-chartsquincy.jpg?rlkey=ufa7466pf3th02q1i44tn8r3o&amp;dl=0","Click to download SizeChart")</f>
      </c>
      <c r="C1366" s="0" t="inlineStr">
        <is>
          <t>Quincy Men's Fleece Hoodie</t>
        </is>
      </c>
      <c r="D1366" s="0" t="inlineStr">
        <is>
          <t>'143310</t>
        </is>
      </c>
      <c r="E1366" s="0" t="inlineStr">
        <is>
          <t>DRK QUINCY M RL:143310C-L</t>
        </is>
      </c>
      <c r="F1366" s="0" t="inlineStr">
        <is>
          <t>'817143310060</t>
        </is>
      </c>
      <c r="G1366" s="0" t="inlineStr">
        <is>
          <t>MENS</t>
        </is>
      </c>
      <c r="H1366" s="0" t="inlineStr">
        <is>
          <t>L</t>
        </is>
      </c>
      <c r="I1366" s="0">
        <v>39.99</v>
      </c>
      <c r="J1366" s="0">
        <v>2</v>
      </c>
    </row>
    <row r="1367" spans="1:10" customHeight="0">
      <c r="A1367" s="0">
        <f>HYPERLINK("https://dl.dropboxusercontent.com/scl/fi/jyex5wat62dwx77f2fkwt/143310-af.jpg?rlkey=zy81cnltwjjd1hvywrczdxrgp&amp;dl=0","Click to download Image")</f>
      </c>
      <c r="B1367" s="0">
        <f>HYPERLINK("https://dl.dropboxusercontent.com/scl/fi/lybx44g1fpzhscy49wcn8/mens-hoodie-size-chartsquincy.jpg?rlkey=ufa7466pf3th02q1i44tn8r3o&amp;dl=0","Click to download SizeChart")</f>
      </c>
      <c r="C1367" s="0" t="inlineStr">
        <is>
          <t>Quincy Men's Fleece Hoodie</t>
        </is>
      </c>
      <c r="D1367" s="0" t="inlineStr">
        <is>
          <t>'143310</t>
        </is>
      </c>
      <c r="E1367" s="0" t="inlineStr">
        <is>
          <t>DRK QUINCY M RL:143310D-XL</t>
        </is>
      </c>
      <c r="F1367" s="0" t="inlineStr">
        <is>
          <t>'817143310077</t>
        </is>
      </c>
      <c r="G1367" s="0" t="inlineStr">
        <is>
          <t>MENS</t>
        </is>
      </c>
      <c r="H1367" s="0" t="inlineStr">
        <is>
          <t>XL</t>
        </is>
      </c>
      <c r="I1367" s="0">
        <v>39.99</v>
      </c>
      <c r="J1367" s="0">
        <v>9</v>
      </c>
    </row>
    <row r="1368" spans="1:10" customHeight="0">
      <c r="A1368" s="0">
        <f>HYPERLINK("https://dl.dropboxusercontent.com/scl/fi/jyex5wat62dwx77f2fkwt/143310-af.jpg?rlkey=zy81cnltwjjd1hvywrczdxrgp&amp;dl=0","Click to download Image")</f>
      </c>
      <c r="B1368" s="0">
        <f>HYPERLINK("https://dl.dropboxusercontent.com/scl/fi/lybx44g1fpzhscy49wcn8/mens-hoodie-size-chartsquincy.jpg?rlkey=ufa7466pf3th02q1i44tn8r3o&amp;dl=0","Click to download SizeChart")</f>
      </c>
      <c r="C1368" s="0" t="inlineStr">
        <is>
          <t>Quincy Men's Fleece Hoodie</t>
        </is>
      </c>
      <c r="D1368" s="0" t="inlineStr">
        <is>
          <t>'143310</t>
        </is>
      </c>
      <c r="E1368" s="0" t="inlineStr">
        <is>
          <t>DRK QUINCY M RL:143310E-2XL</t>
        </is>
      </c>
      <c r="F1368" s="0" t="inlineStr">
        <is>
          <t>'817143310084</t>
        </is>
      </c>
      <c r="G1368" s="0" t="inlineStr">
        <is>
          <t>MENS</t>
        </is>
      </c>
      <c r="H1368" s="0" t="inlineStr">
        <is>
          <t>2XL</t>
        </is>
      </c>
      <c r="I1368" s="0">
        <v>41.99</v>
      </c>
      <c r="J1368" s="0">
        <v>15</v>
      </c>
    </row>
    <row r="1369" spans="1:10" customHeight="0">
      <c r="A1369" s="0">
        <f>HYPERLINK("https://dl.dropboxusercontent.com/scl/fi/jyex5wat62dwx77f2fkwt/143310-af.jpg?rlkey=zy81cnltwjjd1hvywrczdxrgp&amp;dl=0","Click to download Image")</f>
      </c>
      <c r="B1369" s="0">
        <f>HYPERLINK("https://dl.dropboxusercontent.com/scl/fi/lybx44g1fpzhscy49wcn8/mens-hoodie-size-chartsquincy.jpg?rlkey=ufa7466pf3th02q1i44tn8r3o&amp;dl=0","Click to download SizeChart")</f>
      </c>
      <c r="C1369" s="0" t="inlineStr">
        <is>
          <t>Quincy Men's Fleece Hoodie</t>
        </is>
      </c>
      <c r="D1369" s="0" t="inlineStr">
        <is>
          <t>'143310</t>
        </is>
      </c>
      <c r="E1369" s="0" t="inlineStr">
        <is>
          <t>DRK QUINCY M RL:143310F-3XL</t>
        </is>
      </c>
      <c r="F1369" s="0" t="inlineStr">
        <is>
          <t>'817143310091</t>
        </is>
      </c>
      <c r="G1369" s="0" t="inlineStr">
        <is>
          <t>MENS</t>
        </is>
      </c>
      <c r="H1369" s="0" t="inlineStr">
        <is>
          <t>3XL</t>
        </is>
      </c>
      <c r="I1369" s="0">
        <v>41.99</v>
      </c>
      <c r="J1369" s="0">
        <v>9</v>
      </c>
    </row>
    <row r="1370" spans="1:10" customHeight="0">
      <c r="A1370" s="0">
        <f>HYPERLINK("https://dl.dropboxusercontent.com/scl/fi/ql4b1elfz6y9rdlfte8bn/124343af41723.jpg?rlkey=kcd2o86hqa979774bwf3vmxi1&amp;dl=0","Click to download Image")</f>
      </c>
      <c r="B1370" s="0">
        <f>HYPERLINK("https://dl.dropboxusercontent.com/scl/fi/lybx44g1fpzhscy49wcn8/mens-hoodie-size-chartsquincy.jpg?rlkey=ufa7466pf3th02q1i44tn8r3o&amp;dl=0","Click to download SizeChart")</f>
      </c>
      <c r="C1370" s="0" t="inlineStr">
        <is>
          <t>Quincy Men's Fleece Hoodie</t>
        </is>
      </c>
      <c r="D1370" s="0" t="inlineStr">
        <is>
          <t>'127853</t>
        </is>
      </c>
      <c r="E1370" s="0" t="inlineStr">
        <is>
          <t>DRK M QUINCY RL:127853A-S</t>
        </is>
      </c>
      <c r="F1370" s="0" t="inlineStr">
        <is>
          <t>'817127853040</t>
        </is>
      </c>
      <c r="G1370" s="0" t="inlineStr">
        <is>
          <t>MENS</t>
        </is>
      </c>
      <c r="H1370" s="0" t="inlineStr">
        <is>
          <t>S</t>
        </is>
      </c>
      <c r="I1370" s="0">
        <v>39.99</v>
      </c>
      <c r="J1370" s="0">
        <v>5</v>
      </c>
    </row>
    <row r="1371" spans="1:10" customHeight="0">
      <c r="A1371" s="0">
        <f>HYPERLINK("https://dl.dropboxusercontent.com/scl/fi/ql4b1elfz6y9rdlfte8bn/124343af41723.jpg?rlkey=kcd2o86hqa979774bwf3vmxi1&amp;dl=0","Click to download Image")</f>
      </c>
      <c r="B1371" s="0">
        <f>HYPERLINK("https://dl.dropboxusercontent.com/scl/fi/lybx44g1fpzhscy49wcn8/mens-hoodie-size-chartsquincy.jpg?rlkey=ufa7466pf3th02q1i44tn8r3o&amp;dl=0","Click to download SizeChart")</f>
      </c>
      <c r="C1371" s="0" t="inlineStr">
        <is>
          <t>Quincy Men's Fleece Hoodie</t>
        </is>
      </c>
      <c r="D1371" s="0" t="inlineStr">
        <is>
          <t>'127853</t>
        </is>
      </c>
      <c r="E1371" s="0" t="inlineStr">
        <is>
          <t>DRK M QUINCY RL:127853B-M</t>
        </is>
      </c>
      <c r="F1371" s="0" t="inlineStr">
        <is>
          <t>'817127853057</t>
        </is>
      </c>
      <c r="G1371" s="0" t="inlineStr">
        <is>
          <t>MENS</t>
        </is>
      </c>
      <c r="H1371" s="0" t="inlineStr">
        <is>
          <t>M</t>
        </is>
      </c>
      <c r="I1371" s="0">
        <v>39.99</v>
      </c>
      <c r="J1371" s="0">
        <v>5</v>
      </c>
    </row>
    <row r="1372" spans="1:10" customHeight="0">
      <c r="A1372" s="0">
        <f>HYPERLINK("https://dl.dropboxusercontent.com/scl/fi/ql4b1elfz6y9rdlfte8bn/124343af41723.jpg?rlkey=kcd2o86hqa979774bwf3vmxi1&amp;dl=0","Click to download Image")</f>
      </c>
      <c r="B1372" s="0">
        <f>HYPERLINK("https://dl.dropboxusercontent.com/scl/fi/lybx44g1fpzhscy49wcn8/mens-hoodie-size-chartsquincy.jpg?rlkey=ufa7466pf3th02q1i44tn8r3o&amp;dl=0","Click to download SizeChart")</f>
      </c>
      <c r="C1372" s="0" t="inlineStr">
        <is>
          <t>Quincy Men's Fleece Hoodie</t>
        </is>
      </c>
      <c r="D1372" s="0" t="inlineStr">
        <is>
          <t>'127853</t>
        </is>
      </c>
      <c r="E1372" s="0" t="inlineStr">
        <is>
          <t>DRK M QUINCY RL:127853C-L</t>
        </is>
      </c>
      <c r="F1372" s="0" t="inlineStr">
        <is>
          <t>'817127853064</t>
        </is>
      </c>
      <c r="G1372" s="0" t="inlineStr">
        <is>
          <t>MENS</t>
        </is>
      </c>
      <c r="H1372" s="0" t="inlineStr">
        <is>
          <t>L</t>
        </is>
      </c>
      <c r="I1372" s="0">
        <v>39.99</v>
      </c>
      <c r="J1372" s="0">
        <v>0</v>
      </c>
    </row>
    <row r="1373" spans="1:10" customHeight="0">
      <c r="A1373" s="0">
        <f>HYPERLINK("https://dl.dropboxusercontent.com/scl/fi/ql4b1elfz6y9rdlfte8bn/124343af41723.jpg?rlkey=kcd2o86hqa979774bwf3vmxi1&amp;dl=0","Click to download Image")</f>
      </c>
      <c r="B1373" s="0">
        <f>HYPERLINK("https://dl.dropboxusercontent.com/scl/fi/lybx44g1fpzhscy49wcn8/mens-hoodie-size-chartsquincy.jpg?rlkey=ufa7466pf3th02q1i44tn8r3o&amp;dl=0","Click to download SizeChart")</f>
      </c>
      <c r="C1373" s="0" t="inlineStr">
        <is>
          <t>Quincy Men's Fleece Hoodie</t>
        </is>
      </c>
      <c r="D1373" s="0" t="inlineStr">
        <is>
          <t>'127853</t>
        </is>
      </c>
      <c r="E1373" s="0" t="inlineStr">
        <is>
          <t>DRK M QUINCY RL:127853D-XL</t>
        </is>
      </c>
      <c r="F1373" s="0" t="inlineStr">
        <is>
          <t>'817127853071</t>
        </is>
      </c>
      <c r="G1373" s="0" t="inlineStr">
        <is>
          <t>MENS</t>
        </is>
      </c>
      <c r="H1373" s="0" t="inlineStr">
        <is>
          <t>XL</t>
        </is>
      </c>
      <c r="I1373" s="0">
        <v>39.99</v>
      </c>
      <c r="J1373" s="0">
        <v>1</v>
      </c>
    </row>
    <row r="1374" spans="1:10" customHeight="0">
      <c r="A1374" s="0">
        <f>HYPERLINK("https://dl.dropboxusercontent.com/scl/fi/ql4b1elfz6y9rdlfte8bn/124343af41723.jpg?rlkey=kcd2o86hqa979774bwf3vmxi1&amp;dl=0","Click to download Image")</f>
      </c>
      <c r="B1374" s="0">
        <f>HYPERLINK("https://dl.dropboxusercontent.com/scl/fi/lybx44g1fpzhscy49wcn8/mens-hoodie-size-chartsquincy.jpg?rlkey=ufa7466pf3th02q1i44tn8r3o&amp;dl=0","Click to download SizeChart")</f>
      </c>
      <c r="C1374" s="0" t="inlineStr">
        <is>
          <t>Quincy Men's Fleece Hoodie</t>
        </is>
      </c>
      <c r="D1374" s="0" t="inlineStr">
        <is>
          <t>'127853</t>
        </is>
      </c>
      <c r="E1374" s="0" t="inlineStr">
        <is>
          <t>DRK M QUINCY RL:127853E-2XL</t>
        </is>
      </c>
      <c r="F1374" s="0" t="inlineStr">
        <is>
          <t>'817127853088</t>
        </is>
      </c>
      <c r="G1374" s="0" t="inlineStr">
        <is>
          <t>MENS</t>
        </is>
      </c>
      <c r="H1374" s="0" t="inlineStr">
        <is>
          <t>2XL</t>
        </is>
      </c>
      <c r="I1374" s="0">
        <v>39.99</v>
      </c>
      <c r="J1374" s="0">
        <v>20</v>
      </c>
    </row>
    <row r="1375" spans="1:10" customHeight="0">
      <c r="A1375" s="0">
        <f>HYPERLINK("https://dl.dropboxusercontent.com/scl/fi/ql4b1elfz6y9rdlfte8bn/124343af41723.jpg?rlkey=kcd2o86hqa979774bwf3vmxi1&amp;dl=0","Click to download Image")</f>
      </c>
      <c r="B1375" s="0">
        <f>HYPERLINK("https://dl.dropboxusercontent.com/scl/fi/lybx44g1fpzhscy49wcn8/mens-hoodie-size-chartsquincy.jpg?rlkey=ufa7466pf3th02q1i44tn8r3o&amp;dl=0","Click to download SizeChart")</f>
      </c>
      <c r="C1375" s="0" t="inlineStr">
        <is>
          <t>Quincy Men's Fleece Hoodie</t>
        </is>
      </c>
      <c r="D1375" s="0" t="inlineStr">
        <is>
          <t>'127853</t>
        </is>
      </c>
      <c r="E1375" s="0" t="inlineStr">
        <is>
          <t>DRK M QUINCY RL:127853F-3XL</t>
        </is>
      </c>
      <c r="F1375" s="0" t="inlineStr">
        <is>
          <t>'817127853095</t>
        </is>
      </c>
      <c r="G1375" s="0" t="inlineStr">
        <is>
          <t>MENS</t>
        </is>
      </c>
      <c r="H1375" s="0" t="inlineStr">
        <is>
          <t>3XL</t>
        </is>
      </c>
      <c r="I1375" s="0">
        <v>39.99</v>
      </c>
      <c r="J1375" s="0">
        <v>12</v>
      </c>
    </row>
    <row r="1376" spans="1:10" customHeight="0">
      <c r="A1376" s="0">
        <f>HYPERLINK("https://dl.dropboxusercontent.com/scl/fi/ql4b1elfz6y9rdlfte8bn/124343af41723.jpg?rlkey=kcd2o86hqa979774bwf3vmxi1&amp;dl=0","Click to download Image")</f>
      </c>
      <c r="B1376" s="0">
        <f>HYPERLINK("https://dl.dropboxusercontent.com/scl/fi/lybx44g1fpzhscy49wcn8/mens-hoodie-size-chartsquincy.jpg?rlkey=ufa7466pf3th02q1i44tn8r3o&amp;dl=0","Click to download SizeChart")</f>
      </c>
      <c r="C1376" s="0" t="inlineStr">
        <is>
          <t>Quincy Men's Fleece Hoodie</t>
        </is>
      </c>
      <c r="D1376" s="0" t="inlineStr">
        <is>
          <t>'127853</t>
        </is>
      </c>
      <c r="E1376" s="0" t="inlineStr">
        <is>
          <t>DRK M QUINCY RL:127853Z-12PK</t>
        </is>
      </c>
      <c r="F1376" s="0" t="inlineStr">
        <is>
          <t>'817127853996</t>
        </is>
      </c>
      <c r="G1376" s="0" t="inlineStr">
        <is>
          <t>MENS</t>
        </is>
      </c>
      <c r="H1376" s="0" t="inlineStr">
        <is>
          <t>12 PACK</t>
        </is>
      </c>
      <c r="I1376" s="0">
        <v>390</v>
      </c>
      <c r="J1376" s="0">
        <v>0</v>
      </c>
    </row>
    <row r="1377" spans="1:10" customHeight="0">
      <c r="A1377" s="0">
        <f>HYPERLINK("https://dl.dropboxusercontent.com/scl/fi/b9smbo1rsnkcxtcylfdke/123883-af.jpg?rlkey=vgtxgkl41jggyta40d2jht853&amp;dl=0","Click to download Image")</f>
      </c>
      <c r="B1377" s="0">
        <f>HYPERLINK("https://dl.dropboxusercontent.com/scl/fi/lybx44g1fpzhscy49wcn8/mens-hoodie-size-chartsquincy.jpg?rlkey=ufa7466pf3th02q1i44tn8r3o&amp;dl=0","Click to download SizeChart")</f>
      </c>
      <c r="C1377" s="0" t="inlineStr">
        <is>
          <t>Quincy Men's Fleece Hoodie</t>
        </is>
      </c>
      <c r="D1377" s="0" t="inlineStr">
        <is>
          <t>'123883</t>
        </is>
      </c>
      <c r="E1377" s="0" t="inlineStr">
        <is>
          <t>CU QUINCY M RL:123883A-S</t>
        </is>
      </c>
      <c r="F1377" s="0" t="inlineStr">
        <is>
          <t>'810123883042</t>
        </is>
      </c>
      <c r="G1377" s="0" t="inlineStr">
        <is>
          <t>MENS</t>
        </is>
      </c>
      <c r="H1377" s="0" t="inlineStr">
        <is>
          <t>S</t>
        </is>
      </c>
      <c r="I1377" s="0">
        <v>39.99</v>
      </c>
      <c r="J1377" s="0">
        <v>11</v>
      </c>
    </row>
    <row r="1378" spans="1:10" customHeight="0">
      <c r="A1378" s="0">
        <f>HYPERLINK("https://dl.dropboxusercontent.com/scl/fi/b9smbo1rsnkcxtcylfdke/123883-af.jpg?rlkey=vgtxgkl41jggyta40d2jht853&amp;dl=0","Click to download Image")</f>
      </c>
      <c r="B1378" s="0">
        <f>HYPERLINK("https://dl.dropboxusercontent.com/scl/fi/lybx44g1fpzhscy49wcn8/mens-hoodie-size-chartsquincy.jpg?rlkey=ufa7466pf3th02q1i44tn8r3o&amp;dl=0","Click to download SizeChart")</f>
      </c>
      <c r="C1378" s="0" t="inlineStr">
        <is>
          <t>Quincy Men's Fleece Hoodie</t>
        </is>
      </c>
      <c r="D1378" s="0" t="inlineStr">
        <is>
          <t>'123883</t>
        </is>
      </c>
      <c r="E1378" s="0" t="inlineStr">
        <is>
          <t>CU QUINCY M RL:123883B-M</t>
        </is>
      </c>
      <c r="F1378" s="0" t="inlineStr">
        <is>
          <t>'810123883059</t>
        </is>
      </c>
      <c r="G1378" s="0" t="inlineStr">
        <is>
          <t>MENS</t>
        </is>
      </c>
      <c r="H1378" s="0" t="inlineStr">
        <is>
          <t>M</t>
        </is>
      </c>
      <c r="I1378" s="0">
        <v>39.99</v>
      </c>
      <c r="J1378" s="0">
        <v>22</v>
      </c>
    </row>
    <row r="1379" spans="1:10" customHeight="0">
      <c r="A1379" s="0">
        <f>HYPERLINK("https://dl.dropboxusercontent.com/scl/fi/b9smbo1rsnkcxtcylfdke/123883-af.jpg?rlkey=vgtxgkl41jggyta40d2jht853&amp;dl=0","Click to download Image")</f>
      </c>
      <c r="B1379" s="0">
        <f>HYPERLINK("https://dl.dropboxusercontent.com/scl/fi/lybx44g1fpzhscy49wcn8/mens-hoodie-size-chartsquincy.jpg?rlkey=ufa7466pf3th02q1i44tn8r3o&amp;dl=0","Click to download SizeChart")</f>
      </c>
      <c r="C1379" s="0" t="inlineStr">
        <is>
          <t>Quincy Men's Fleece Hoodie</t>
        </is>
      </c>
      <c r="D1379" s="0" t="inlineStr">
        <is>
          <t>'123883</t>
        </is>
      </c>
      <c r="E1379" s="0" t="inlineStr">
        <is>
          <t>CU QUINCY M RL:123883C-L</t>
        </is>
      </c>
      <c r="F1379" s="0" t="inlineStr">
        <is>
          <t>'810123883066</t>
        </is>
      </c>
      <c r="G1379" s="0" t="inlineStr">
        <is>
          <t>MENS</t>
        </is>
      </c>
      <c r="H1379" s="0" t="inlineStr">
        <is>
          <t>L</t>
        </is>
      </c>
      <c r="I1379" s="0">
        <v>39.99</v>
      </c>
      <c r="J1379" s="0">
        <v>36</v>
      </c>
    </row>
    <row r="1380" spans="1:10" customHeight="0">
      <c r="A1380" s="0">
        <f>HYPERLINK("https://dl.dropboxusercontent.com/scl/fi/b9smbo1rsnkcxtcylfdke/123883-af.jpg?rlkey=vgtxgkl41jggyta40d2jht853&amp;dl=0","Click to download Image")</f>
      </c>
      <c r="B1380" s="0">
        <f>HYPERLINK("https://dl.dropboxusercontent.com/scl/fi/lybx44g1fpzhscy49wcn8/mens-hoodie-size-chartsquincy.jpg?rlkey=ufa7466pf3th02q1i44tn8r3o&amp;dl=0","Click to download SizeChart")</f>
      </c>
      <c r="C1380" s="0" t="inlineStr">
        <is>
          <t>Quincy Men's Fleece Hoodie</t>
        </is>
      </c>
      <c r="D1380" s="0" t="inlineStr">
        <is>
          <t>'123883</t>
        </is>
      </c>
      <c r="E1380" s="0" t="inlineStr">
        <is>
          <t>CU QUINCY M RL:123883D-XL</t>
        </is>
      </c>
      <c r="F1380" s="0" t="inlineStr">
        <is>
          <t>'810123883073</t>
        </is>
      </c>
      <c r="G1380" s="0" t="inlineStr">
        <is>
          <t>MENS</t>
        </is>
      </c>
      <c r="H1380" s="0" t="inlineStr">
        <is>
          <t>XL</t>
        </is>
      </c>
      <c r="I1380" s="0">
        <v>39.99</v>
      </c>
      <c r="J1380" s="0">
        <v>29</v>
      </c>
    </row>
    <row r="1381" spans="1:10" customHeight="0">
      <c r="A1381" s="0">
        <f>HYPERLINK("https://dl.dropboxusercontent.com/scl/fi/b9smbo1rsnkcxtcylfdke/123883-af.jpg?rlkey=vgtxgkl41jggyta40d2jht853&amp;dl=0","Click to download Image")</f>
      </c>
      <c r="B1381" s="0">
        <f>HYPERLINK("https://dl.dropboxusercontent.com/scl/fi/lybx44g1fpzhscy49wcn8/mens-hoodie-size-chartsquincy.jpg?rlkey=ufa7466pf3th02q1i44tn8r3o&amp;dl=0","Click to download SizeChart")</f>
      </c>
      <c r="C1381" s="0" t="inlineStr">
        <is>
          <t>Quincy Men's Fleece Hoodie</t>
        </is>
      </c>
      <c r="D1381" s="0" t="inlineStr">
        <is>
          <t>'123883</t>
        </is>
      </c>
      <c r="E1381" s="0" t="inlineStr">
        <is>
          <t>CU QUINCY M RL:123883-2XL</t>
        </is>
      </c>
      <c r="F1381" s="0" t="inlineStr">
        <is>
          <t>'810123883080</t>
        </is>
      </c>
      <c r="G1381" s="0" t="inlineStr">
        <is>
          <t>MENS</t>
        </is>
      </c>
      <c r="H1381" s="0" t="inlineStr">
        <is>
          <t>2XL</t>
        </is>
      </c>
      <c r="I1381" s="0">
        <v>39.99</v>
      </c>
      <c r="J1381" s="0">
        <v>18</v>
      </c>
    </row>
    <row r="1382" spans="1:10" customHeight="0">
      <c r="A1382" s="0">
        <f>HYPERLINK("https://dl.dropboxusercontent.com/scl/fi/b9smbo1rsnkcxtcylfdke/123883-af.jpg?rlkey=vgtxgkl41jggyta40d2jht853&amp;dl=0","Click to download Image")</f>
      </c>
      <c r="B1382" s="0">
        <f>HYPERLINK("https://dl.dropboxusercontent.com/scl/fi/lybx44g1fpzhscy49wcn8/mens-hoodie-size-chartsquincy.jpg?rlkey=ufa7466pf3th02q1i44tn8r3o&amp;dl=0","Click to download SizeChart")</f>
      </c>
      <c r="C1382" s="0" t="inlineStr">
        <is>
          <t>Quincy Men's Fleece Hoodie</t>
        </is>
      </c>
      <c r="D1382" s="0" t="inlineStr">
        <is>
          <t>'123883</t>
        </is>
      </c>
      <c r="E1382" s="0" t="inlineStr">
        <is>
          <t>CU QUINCY M RL:123883F-3XL</t>
        </is>
      </c>
      <c r="F1382" s="0" t="inlineStr">
        <is>
          <t>'810123883097</t>
        </is>
      </c>
      <c r="G1382" s="0" t="inlineStr">
        <is>
          <t>MENS</t>
        </is>
      </c>
      <c r="H1382" s="0" t="inlineStr">
        <is>
          <t>3XL</t>
        </is>
      </c>
      <c r="I1382" s="0">
        <v>39.99</v>
      </c>
      <c r="J1382" s="0">
        <v>10</v>
      </c>
    </row>
    <row r="1383" spans="1:10" customHeight="0">
      <c r="A1383" s="0">
        <f>HYPERLINK("https://dl.dropboxusercontent.com/scl/fi/b9smbo1rsnkcxtcylfdke/123883-af.jpg?rlkey=vgtxgkl41jggyta40d2jht853&amp;dl=0","Click to download Image")</f>
      </c>
      <c r="B1383" s="0">
        <f>HYPERLINK("https://dl.dropboxusercontent.com/scl/fi/lybx44g1fpzhscy49wcn8/mens-hoodie-size-chartsquincy.jpg?rlkey=ufa7466pf3th02q1i44tn8r3o&amp;dl=0","Click to download SizeChart")</f>
      </c>
      <c r="C1383" s="0" t="inlineStr">
        <is>
          <t>Quincy Men's Fleece Hoodie</t>
        </is>
      </c>
      <c r="D1383" s="0" t="inlineStr">
        <is>
          <t>'123883</t>
        </is>
      </c>
      <c r="E1383" s="0" t="inlineStr">
        <is>
          <t>CU QUINCY M RL 12PK 123883</t>
        </is>
      </c>
      <c r="F1383" s="0" t="inlineStr">
        <is>
          <t>'810123883998</t>
        </is>
      </c>
      <c r="G1383" s="0" t="inlineStr">
        <is>
          <t>MENS</t>
        </is>
      </c>
      <c r="H1383" s="0" t="inlineStr">
        <is>
          <t>12 PACK</t>
        </is>
      </c>
      <c r="I1383" s="0">
        <v>390</v>
      </c>
      <c r="J1383" s="0">
        <v>0</v>
      </c>
    </row>
    <row r="1384" spans="1:10" customHeight="0">
      <c r="A1384" s="0">
        <f>HYPERLINK("https://dl.dropboxusercontent.com/scl/fi/75bwl99dg9k7qhkj2jtd1/131470-f.jpg?rlkey=58zy4ohowb7rc99up24h0hw0s&amp;dl=0","Click to download Image")</f>
      </c>
      <c r="B1384" s="0">
        <f>HYPERLINK("https://dl.dropboxusercontent.com/scl/fi/b3qb498xs6ccl5ald6rbp/mens-hoodie-size-chartsquincy.jpg?rlkey=xlcinid7j7q30osk80m73gn0b&amp;dl=0","Click to download SizeChart")</f>
      </c>
      <c r="C1384" s="0" t="inlineStr">
        <is>
          <t>Quincy Men's Sports Hoodie</t>
        </is>
      </c>
      <c r="D1384" s="0" t="inlineStr">
        <is>
          <t>'131470</t>
        </is>
      </c>
      <c r="E1384" s="0" t="inlineStr">
        <is>
          <t>ISU QUINC2 M OD:131470A-S</t>
        </is>
      </c>
      <c r="F1384" s="0" t="inlineStr">
        <is>
          <t>'801131470041</t>
        </is>
      </c>
      <c r="G1384" s="0" t="inlineStr">
        <is>
          <t>MENS</t>
        </is>
      </c>
      <c r="H1384" s="0" t="inlineStr">
        <is>
          <t>S</t>
        </is>
      </c>
      <c r="I1384" s="0">
        <v>49.99</v>
      </c>
      <c r="J1384" s="0">
        <v>9</v>
      </c>
    </row>
    <row r="1385" spans="1:10" customHeight="0">
      <c r="A1385" s="0">
        <f>HYPERLINK("https://dl.dropboxusercontent.com/scl/fi/75bwl99dg9k7qhkj2jtd1/131470-f.jpg?rlkey=58zy4ohowb7rc99up24h0hw0s&amp;dl=0","Click to download Image")</f>
      </c>
      <c r="B1385" s="0">
        <f>HYPERLINK("https://dl.dropboxusercontent.com/scl/fi/b3qb498xs6ccl5ald6rbp/mens-hoodie-size-chartsquincy.jpg?rlkey=xlcinid7j7q30osk80m73gn0b&amp;dl=0","Click to download SizeChart")</f>
      </c>
      <c r="C1385" s="0" t="inlineStr">
        <is>
          <t>Quincy Men's Sports Hoodie</t>
        </is>
      </c>
      <c r="D1385" s="0" t="inlineStr">
        <is>
          <t>'131470</t>
        </is>
      </c>
      <c r="E1385" s="0" t="inlineStr">
        <is>
          <t>ISU QUINC2 M OD:131470B-M</t>
        </is>
      </c>
      <c r="F1385" s="0" t="inlineStr">
        <is>
          <t>'801131470058</t>
        </is>
      </c>
      <c r="G1385" s="0" t="inlineStr">
        <is>
          <t>MENS</t>
        </is>
      </c>
      <c r="H1385" s="0" t="inlineStr">
        <is>
          <t>M</t>
        </is>
      </c>
      <c r="I1385" s="0">
        <v>49.99</v>
      </c>
      <c r="J1385" s="0">
        <v>19</v>
      </c>
    </row>
    <row r="1386" spans="1:10" customHeight="0">
      <c r="A1386" s="0">
        <f>HYPERLINK("https://dl.dropboxusercontent.com/scl/fi/75bwl99dg9k7qhkj2jtd1/131470-f.jpg?rlkey=58zy4ohowb7rc99up24h0hw0s&amp;dl=0","Click to download Image")</f>
      </c>
      <c r="B1386" s="0">
        <f>HYPERLINK("https://dl.dropboxusercontent.com/scl/fi/b3qb498xs6ccl5ald6rbp/mens-hoodie-size-chartsquincy.jpg?rlkey=xlcinid7j7q30osk80m73gn0b&amp;dl=0","Click to download SizeChart")</f>
      </c>
      <c r="C1386" s="0" t="inlineStr">
        <is>
          <t>Quincy Men's Sports Hoodie</t>
        </is>
      </c>
      <c r="D1386" s="0" t="inlineStr">
        <is>
          <t>'131470</t>
        </is>
      </c>
      <c r="E1386" s="0" t="inlineStr">
        <is>
          <t>ISU QUINC2 M OD:131470C-L</t>
        </is>
      </c>
      <c r="F1386" s="0" t="inlineStr">
        <is>
          <t>'801131470065</t>
        </is>
      </c>
      <c r="G1386" s="0" t="inlineStr">
        <is>
          <t>MENS</t>
        </is>
      </c>
      <c r="H1386" s="0" t="inlineStr">
        <is>
          <t>L</t>
        </is>
      </c>
      <c r="I1386" s="0">
        <v>49.99</v>
      </c>
      <c r="J1386" s="0">
        <v>33</v>
      </c>
    </row>
    <row r="1387" spans="1:10" customHeight="0">
      <c r="A1387" s="0">
        <f>HYPERLINK("https://dl.dropboxusercontent.com/scl/fi/75bwl99dg9k7qhkj2jtd1/131470-f.jpg?rlkey=58zy4ohowb7rc99up24h0hw0s&amp;dl=0","Click to download Image")</f>
      </c>
      <c r="B1387" s="0">
        <f>HYPERLINK("https://dl.dropboxusercontent.com/scl/fi/b3qb498xs6ccl5ald6rbp/mens-hoodie-size-chartsquincy.jpg?rlkey=xlcinid7j7q30osk80m73gn0b&amp;dl=0","Click to download SizeChart")</f>
      </c>
      <c r="C1387" s="0" t="inlineStr">
        <is>
          <t>Quincy Men's Sports Hoodie</t>
        </is>
      </c>
      <c r="D1387" s="0" t="inlineStr">
        <is>
          <t>'131470</t>
        </is>
      </c>
      <c r="E1387" s="0" t="inlineStr">
        <is>
          <t>ISU QUINC2 M OD:131470D-XL</t>
        </is>
      </c>
      <c r="F1387" s="0" t="inlineStr">
        <is>
          <t>'801131470072</t>
        </is>
      </c>
      <c r="G1387" s="0" t="inlineStr">
        <is>
          <t>MENS</t>
        </is>
      </c>
      <c r="H1387" s="0" t="inlineStr">
        <is>
          <t>XL</t>
        </is>
      </c>
      <c r="I1387" s="0">
        <v>49.99</v>
      </c>
      <c r="J1387" s="0">
        <v>31</v>
      </c>
    </row>
    <row r="1388" spans="1:10" customHeight="0">
      <c r="A1388" s="0">
        <f>HYPERLINK("https://dl.dropboxusercontent.com/scl/fi/75bwl99dg9k7qhkj2jtd1/131470-f.jpg?rlkey=58zy4ohowb7rc99up24h0hw0s&amp;dl=0","Click to download Image")</f>
      </c>
      <c r="B1388" s="0">
        <f>HYPERLINK("https://dl.dropboxusercontent.com/scl/fi/b3qb498xs6ccl5ald6rbp/mens-hoodie-size-chartsquincy.jpg?rlkey=xlcinid7j7q30osk80m73gn0b&amp;dl=0","Click to download SizeChart")</f>
      </c>
      <c r="C1388" s="0" t="inlineStr">
        <is>
          <t>Quincy Men's Sports Hoodie</t>
        </is>
      </c>
      <c r="D1388" s="0" t="inlineStr">
        <is>
          <t>'131470</t>
        </is>
      </c>
      <c r="E1388" s="0" t="inlineStr">
        <is>
          <t>ISU QUINC2 M OD:131470E-2XL</t>
        </is>
      </c>
      <c r="F1388" s="0" t="inlineStr">
        <is>
          <t>'801131470089</t>
        </is>
      </c>
      <c r="G1388" s="0" t="inlineStr">
        <is>
          <t>MENS</t>
        </is>
      </c>
      <c r="H1388" s="0" t="inlineStr">
        <is>
          <t>2XL</t>
        </is>
      </c>
      <c r="I1388" s="0">
        <v>51.99</v>
      </c>
      <c r="J1388" s="0">
        <v>20</v>
      </c>
    </row>
    <row r="1389" spans="1:10" customHeight="0">
      <c r="A1389" s="0">
        <f>HYPERLINK("https://dl.dropboxusercontent.com/scl/fi/75bwl99dg9k7qhkj2jtd1/131470-f.jpg?rlkey=58zy4ohowb7rc99up24h0hw0s&amp;dl=0","Click to download Image")</f>
      </c>
      <c r="B1389" s="0">
        <f>HYPERLINK("https://dl.dropboxusercontent.com/scl/fi/b3qb498xs6ccl5ald6rbp/mens-hoodie-size-chartsquincy.jpg?rlkey=xlcinid7j7q30osk80m73gn0b&amp;dl=0","Click to download SizeChart")</f>
      </c>
      <c r="C1389" s="0" t="inlineStr">
        <is>
          <t>Quincy Men's Sports Hoodie</t>
        </is>
      </c>
      <c r="D1389" s="0" t="inlineStr">
        <is>
          <t>'131470</t>
        </is>
      </c>
      <c r="E1389" s="0" t="inlineStr">
        <is>
          <t>ISU QUINC2 M OD:131470F-3XL</t>
        </is>
      </c>
      <c r="F1389" s="0" t="inlineStr">
        <is>
          <t>'801131470096</t>
        </is>
      </c>
      <c r="G1389" s="0" t="inlineStr">
        <is>
          <t>MENS</t>
        </is>
      </c>
      <c r="H1389" s="0" t="inlineStr">
        <is>
          <t>3XL</t>
        </is>
      </c>
      <c r="I1389" s="0">
        <v>51.99</v>
      </c>
      <c r="J1389" s="0">
        <v>10</v>
      </c>
    </row>
    <row r="1390" spans="1:10" customHeight="0">
      <c r="A1390" s="0">
        <f>HYPERLINK("https://dl.dropboxusercontent.com/scl/fi/75bwl99dg9k7qhkj2jtd1/131470-f.jpg?rlkey=58zy4ohowb7rc99up24h0hw0s&amp;dl=0","Click to download Image")</f>
      </c>
      <c r="B1390" s="0">
        <f>HYPERLINK("https://dl.dropboxusercontent.com/scl/fi/b3qb498xs6ccl5ald6rbp/mens-hoodie-size-chartsquincy.jpg?rlkey=xlcinid7j7q30osk80m73gn0b&amp;dl=0","Click to download SizeChart")</f>
      </c>
      <c r="C1390" s="0" t="inlineStr">
        <is>
          <t>Quincy Men's Sports Hoodie</t>
        </is>
      </c>
      <c r="D1390" s="0" t="inlineStr">
        <is>
          <t>'131470</t>
        </is>
      </c>
      <c r="E1390" s="0" t="inlineStr">
        <is>
          <t>ISU QUINC2 M OD:131470Z-12PK</t>
        </is>
      </c>
      <c r="F1390" s="0" t="inlineStr">
        <is>
          <t>'801131470997</t>
        </is>
      </c>
      <c r="G1390" s="0" t="inlineStr">
        <is>
          <t>MENS</t>
        </is>
      </c>
      <c r="H1390" s="0" t="inlineStr">
        <is>
          <t>12 PACK</t>
        </is>
      </c>
      <c r="I1390" s="0">
        <v>486</v>
      </c>
      <c r="J1390" s="0">
        <v>11</v>
      </c>
    </row>
    <row r="1391" spans="1:10" customHeight="0">
      <c r="A1391" s="0">
        <f>HYPERLINK("https://dl.dropboxusercontent.com/scl/fi/is3iee60xtt5rrthg1jxv/124057-f.jpg?rlkey=7zlpa3zvb7ql8oq29mqofzpp4&amp;dl=0","Click to download Image")</f>
      </c>
      <c r="B1391" s="0">
        <f>HYPERLINK("https://dl.dropboxusercontent.com/scl/fi/b3qb498xs6ccl5ald6rbp/mens-hoodie-size-chartsquincy.jpg?rlkey=xlcinid7j7q30osk80m73gn0b&amp;dl=0","Click to download SizeChart")</f>
      </c>
      <c r="C1391" s="0" t="inlineStr">
        <is>
          <t>Quincy Men's Sports Hoodie</t>
        </is>
      </c>
      <c r="D1391" s="0" t="inlineStr">
        <is>
          <t>'124057</t>
        </is>
      </c>
      <c r="E1391" s="0" t="inlineStr">
        <is>
          <t>USD QUINCY M GY:124057A-S</t>
        </is>
      </c>
      <c r="F1391" s="0" t="inlineStr">
        <is>
          <t>'811124057043</t>
        </is>
      </c>
      <c r="G1391" s="0" t="inlineStr">
        <is>
          <t>MENS</t>
        </is>
      </c>
      <c r="H1391" s="0" t="inlineStr">
        <is>
          <t>S</t>
        </is>
      </c>
      <c r="I1391" s="0">
        <v>49.99</v>
      </c>
      <c r="J1391" s="0">
        <v>4</v>
      </c>
    </row>
    <row r="1392" spans="1:10" customHeight="0">
      <c r="A1392" s="0">
        <f>HYPERLINK("https://dl.dropboxusercontent.com/scl/fi/is3iee60xtt5rrthg1jxv/124057-f.jpg?rlkey=7zlpa3zvb7ql8oq29mqofzpp4&amp;dl=0","Click to download Image")</f>
      </c>
      <c r="B1392" s="0">
        <f>HYPERLINK("https://dl.dropboxusercontent.com/scl/fi/b3qb498xs6ccl5ald6rbp/mens-hoodie-size-chartsquincy.jpg?rlkey=xlcinid7j7q30osk80m73gn0b&amp;dl=0","Click to download SizeChart")</f>
      </c>
      <c r="C1392" s="0" t="inlineStr">
        <is>
          <t>Quincy Men's Sports Hoodie</t>
        </is>
      </c>
      <c r="D1392" s="0" t="inlineStr">
        <is>
          <t>'124057</t>
        </is>
      </c>
      <c r="E1392" s="0" t="inlineStr">
        <is>
          <t>USD QUINCY M GY:124057B-M</t>
        </is>
      </c>
      <c r="F1392" s="0" t="inlineStr">
        <is>
          <t>'811124057050</t>
        </is>
      </c>
      <c r="G1392" s="0" t="inlineStr">
        <is>
          <t>MENS</t>
        </is>
      </c>
      <c r="H1392" s="0" t="inlineStr">
        <is>
          <t>M</t>
        </is>
      </c>
      <c r="I1392" s="0">
        <v>49.99</v>
      </c>
      <c r="J1392" s="0">
        <v>8</v>
      </c>
    </row>
    <row r="1393" spans="1:10" customHeight="0">
      <c r="A1393" s="0">
        <f>HYPERLINK("https://dl.dropboxusercontent.com/scl/fi/is3iee60xtt5rrthg1jxv/124057-f.jpg?rlkey=7zlpa3zvb7ql8oq29mqofzpp4&amp;dl=0","Click to download Image")</f>
      </c>
      <c r="B1393" s="0">
        <f>HYPERLINK("https://dl.dropboxusercontent.com/scl/fi/b3qb498xs6ccl5ald6rbp/mens-hoodie-size-chartsquincy.jpg?rlkey=xlcinid7j7q30osk80m73gn0b&amp;dl=0","Click to download SizeChart")</f>
      </c>
      <c r="C1393" s="0" t="inlineStr">
        <is>
          <t>Quincy Men's Sports Hoodie</t>
        </is>
      </c>
      <c r="D1393" s="0" t="inlineStr">
        <is>
          <t>'124057</t>
        </is>
      </c>
      <c r="E1393" s="0" t="inlineStr">
        <is>
          <t>USD QUINCY M GY:124057C-L</t>
        </is>
      </c>
      <c r="F1393" s="0" t="inlineStr">
        <is>
          <t>'811124057067</t>
        </is>
      </c>
      <c r="G1393" s="0" t="inlineStr">
        <is>
          <t>MENS</t>
        </is>
      </c>
      <c r="H1393" s="0" t="inlineStr">
        <is>
          <t>L</t>
        </is>
      </c>
      <c r="I1393" s="0">
        <v>49.99</v>
      </c>
      <c r="J1393" s="0">
        <v>13</v>
      </c>
    </row>
    <row r="1394" spans="1:10" customHeight="0">
      <c r="A1394" s="0">
        <f>HYPERLINK("https://dl.dropboxusercontent.com/scl/fi/is3iee60xtt5rrthg1jxv/124057-f.jpg?rlkey=7zlpa3zvb7ql8oq29mqofzpp4&amp;dl=0","Click to download Image")</f>
      </c>
      <c r="B1394" s="0">
        <f>HYPERLINK("https://dl.dropboxusercontent.com/scl/fi/b3qb498xs6ccl5ald6rbp/mens-hoodie-size-chartsquincy.jpg?rlkey=xlcinid7j7q30osk80m73gn0b&amp;dl=0","Click to download SizeChart")</f>
      </c>
      <c r="C1394" s="0" t="inlineStr">
        <is>
          <t>Quincy Men's Sports Hoodie</t>
        </is>
      </c>
      <c r="D1394" s="0" t="inlineStr">
        <is>
          <t>'124057</t>
        </is>
      </c>
      <c r="E1394" s="0" t="inlineStr">
        <is>
          <t>USD QUINCY M GY:124057D-XL</t>
        </is>
      </c>
      <c r="F1394" s="0" t="inlineStr">
        <is>
          <t>'811124057074</t>
        </is>
      </c>
      <c r="G1394" s="0" t="inlineStr">
        <is>
          <t>MENS</t>
        </is>
      </c>
      <c r="H1394" s="0" t="inlineStr">
        <is>
          <t>XL</t>
        </is>
      </c>
      <c r="I1394" s="0">
        <v>49.99</v>
      </c>
      <c r="J1394" s="0">
        <v>12</v>
      </c>
    </row>
    <row r="1395" spans="1:10" customHeight="0">
      <c r="A1395" s="0">
        <f>HYPERLINK("https://dl.dropboxusercontent.com/scl/fi/is3iee60xtt5rrthg1jxv/124057-f.jpg?rlkey=7zlpa3zvb7ql8oq29mqofzpp4&amp;dl=0","Click to download Image")</f>
      </c>
      <c r="B1395" s="0">
        <f>HYPERLINK("https://dl.dropboxusercontent.com/scl/fi/b3qb498xs6ccl5ald6rbp/mens-hoodie-size-chartsquincy.jpg?rlkey=xlcinid7j7q30osk80m73gn0b&amp;dl=0","Click to download SizeChart")</f>
      </c>
      <c r="C1395" s="0" t="inlineStr">
        <is>
          <t>Quincy Men's Sports Hoodie</t>
        </is>
      </c>
      <c r="D1395" s="0" t="inlineStr">
        <is>
          <t>'124057</t>
        </is>
      </c>
      <c r="E1395" s="0" t="inlineStr">
        <is>
          <t>USD QUINCY M GY:124057E-2XL</t>
        </is>
      </c>
      <c r="F1395" s="0" t="inlineStr">
        <is>
          <t>'811124057081</t>
        </is>
      </c>
      <c r="G1395" s="0" t="inlineStr">
        <is>
          <t>MENS</t>
        </is>
      </c>
      <c r="H1395" s="0" t="inlineStr">
        <is>
          <t>2XL</t>
        </is>
      </c>
      <c r="I1395" s="0">
        <v>51.99</v>
      </c>
      <c r="J1395" s="0">
        <v>8</v>
      </c>
    </row>
    <row r="1396" spans="1:10" customHeight="0">
      <c r="A1396" s="0">
        <f>HYPERLINK("https://dl.dropboxusercontent.com/scl/fi/is3iee60xtt5rrthg1jxv/124057-f.jpg?rlkey=7zlpa3zvb7ql8oq29mqofzpp4&amp;dl=0","Click to download Image")</f>
      </c>
      <c r="B1396" s="0">
        <f>HYPERLINK("https://dl.dropboxusercontent.com/scl/fi/b3qb498xs6ccl5ald6rbp/mens-hoodie-size-chartsquincy.jpg?rlkey=xlcinid7j7q30osk80m73gn0b&amp;dl=0","Click to download SizeChart")</f>
      </c>
      <c r="C1396" s="0" t="inlineStr">
        <is>
          <t>Quincy Men's Sports Hoodie</t>
        </is>
      </c>
      <c r="D1396" s="0" t="inlineStr">
        <is>
          <t>'124057</t>
        </is>
      </c>
      <c r="E1396" s="0" t="inlineStr">
        <is>
          <t>USD QUINCY M GY:124057F-3XL</t>
        </is>
      </c>
      <c r="F1396" s="0" t="inlineStr">
        <is>
          <t>'811124057098</t>
        </is>
      </c>
      <c r="G1396" s="0" t="inlineStr">
        <is>
          <t>MENS</t>
        </is>
      </c>
      <c r="H1396" s="0" t="inlineStr">
        <is>
          <t>3XL</t>
        </is>
      </c>
      <c r="I1396" s="0">
        <v>51.99</v>
      </c>
      <c r="J1396" s="0">
        <v>3</v>
      </c>
    </row>
    <row r="1397" spans="1:10" customHeight="0">
      <c r="A1397" s="0">
        <f>HYPERLINK("https://dl.dropboxusercontent.com/scl/fi/is3iee60xtt5rrthg1jxv/124057-f.jpg?rlkey=7zlpa3zvb7ql8oq29mqofzpp4&amp;dl=0","Click to download Image")</f>
      </c>
      <c r="B1397" s="0">
        <f>HYPERLINK("https://dl.dropboxusercontent.com/scl/fi/b3qb498xs6ccl5ald6rbp/mens-hoodie-size-chartsquincy.jpg?rlkey=xlcinid7j7q30osk80m73gn0b&amp;dl=0","Click to download SizeChart")</f>
      </c>
      <c r="C1397" s="0" t="inlineStr">
        <is>
          <t>Quincy Men's Sports Hoodie</t>
        </is>
      </c>
      <c r="D1397" s="0" t="inlineStr">
        <is>
          <t>'124057</t>
        </is>
      </c>
      <c r="E1397" s="0" t="inlineStr">
        <is>
          <t>USD QUINCY M GY 12PK 124057</t>
        </is>
      </c>
      <c r="F1397" s="0" t="inlineStr">
        <is>
          <t>'811124057999</t>
        </is>
      </c>
      <c r="G1397" s="0" t="inlineStr">
        <is>
          <t>MENS</t>
        </is>
      </c>
      <c r="H1397" s="0" t="inlineStr">
        <is>
          <t>12 PACK</t>
        </is>
      </c>
      <c r="I1397" s="0">
        <v>486</v>
      </c>
      <c r="J1397" s="0">
        <v>3</v>
      </c>
    </row>
    <row r="1398" spans="1:10" customHeight="0">
      <c r="A1398" s="0">
        <f>HYPERLINK("https://dl.dropboxusercontent.com/scl/fi/xc7n8lqac8jot4wu65uih/117394-f.jpg?rlkey=rzn708umfx7916y5k2k6e8s6x&amp;dl=0","Click to download Image")</f>
      </c>
      <c r="B1398" s="0">
        <f>HYPERLINK("https://dl.dropboxusercontent.com/scl/fi/b3qb498xs6ccl5ald6rbp/mens-hoodie-size-chartsquincy.jpg?rlkey=xlcinid7j7q30osk80m73gn0b&amp;dl=0","Click to download SizeChart")</f>
      </c>
      <c r="C1398" s="0" t="inlineStr">
        <is>
          <t>Quincy Men's Sports Hoodie</t>
        </is>
      </c>
      <c r="D1398" s="0" t="inlineStr">
        <is>
          <t>'117394</t>
        </is>
      </c>
      <c r="E1398" s="0" t="inlineStr">
        <is>
          <t>UNI QUINCY M OG:117394A-S</t>
        </is>
      </c>
      <c r="F1398" s="0" t="inlineStr">
        <is>
          <t>'802117394047</t>
        </is>
      </c>
      <c r="G1398" s="0" t="inlineStr">
        <is>
          <t>MENS</t>
        </is>
      </c>
      <c r="H1398" s="0" t="inlineStr">
        <is>
          <t>S</t>
        </is>
      </c>
      <c r="I1398" s="0">
        <v>49.99</v>
      </c>
      <c r="J1398" s="0">
        <v>10</v>
      </c>
    </row>
    <row r="1399" spans="1:10" customHeight="0">
      <c r="A1399" s="0">
        <f>HYPERLINK("https://dl.dropboxusercontent.com/scl/fi/xc7n8lqac8jot4wu65uih/117394-f.jpg?rlkey=rzn708umfx7916y5k2k6e8s6x&amp;dl=0","Click to download Image")</f>
      </c>
      <c r="B1399" s="0">
        <f>HYPERLINK("https://dl.dropboxusercontent.com/scl/fi/b3qb498xs6ccl5ald6rbp/mens-hoodie-size-chartsquincy.jpg?rlkey=xlcinid7j7q30osk80m73gn0b&amp;dl=0","Click to download SizeChart")</f>
      </c>
      <c r="C1399" s="0" t="inlineStr">
        <is>
          <t>Quincy Men's Sports Hoodie</t>
        </is>
      </c>
      <c r="D1399" s="0" t="inlineStr">
        <is>
          <t>'117394</t>
        </is>
      </c>
      <c r="E1399" s="0" t="inlineStr">
        <is>
          <t>UNI QUINCY M OG:117394B-M</t>
        </is>
      </c>
      <c r="F1399" s="0" t="inlineStr">
        <is>
          <t>'802117394054</t>
        </is>
      </c>
      <c r="G1399" s="0" t="inlineStr">
        <is>
          <t>MENS</t>
        </is>
      </c>
      <c r="H1399" s="0" t="inlineStr">
        <is>
          <t>M</t>
        </is>
      </c>
      <c r="I1399" s="0">
        <v>49.99</v>
      </c>
      <c r="J1399" s="0">
        <v>16</v>
      </c>
    </row>
    <row r="1400" spans="1:10" customHeight="0">
      <c r="A1400" s="0">
        <f>HYPERLINK("https://dl.dropboxusercontent.com/scl/fi/xc7n8lqac8jot4wu65uih/117394-f.jpg?rlkey=rzn708umfx7916y5k2k6e8s6x&amp;dl=0","Click to download Image")</f>
      </c>
      <c r="B1400" s="0">
        <f>HYPERLINK("https://dl.dropboxusercontent.com/scl/fi/b3qb498xs6ccl5ald6rbp/mens-hoodie-size-chartsquincy.jpg?rlkey=xlcinid7j7q30osk80m73gn0b&amp;dl=0","Click to download SizeChart")</f>
      </c>
      <c r="C1400" s="0" t="inlineStr">
        <is>
          <t>Quincy Men's Sports Hoodie</t>
        </is>
      </c>
      <c r="D1400" s="0" t="inlineStr">
        <is>
          <t>'117394</t>
        </is>
      </c>
      <c r="E1400" s="0" t="inlineStr">
        <is>
          <t>UNI QUINCY M OG:117394C-L</t>
        </is>
      </c>
      <c r="F1400" s="0" t="inlineStr">
        <is>
          <t>'802117394061</t>
        </is>
      </c>
      <c r="G1400" s="0" t="inlineStr">
        <is>
          <t>MENS</t>
        </is>
      </c>
      <c r="H1400" s="0" t="inlineStr">
        <is>
          <t>L</t>
        </is>
      </c>
      <c r="I1400" s="0">
        <v>49.99</v>
      </c>
      <c r="J1400" s="0">
        <v>26</v>
      </c>
    </row>
    <row r="1401" spans="1:10" customHeight="0">
      <c r="A1401" s="0">
        <f>HYPERLINK("https://dl.dropboxusercontent.com/scl/fi/xc7n8lqac8jot4wu65uih/117394-f.jpg?rlkey=rzn708umfx7916y5k2k6e8s6x&amp;dl=0","Click to download Image")</f>
      </c>
      <c r="B1401" s="0">
        <f>HYPERLINK("https://dl.dropboxusercontent.com/scl/fi/b3qb498xs6ccl5ald6rbp/mens-hoodie-size-chartsquincy.jpg?rlkey=xlcinid7j7q30osk80m73gn0b&amp;dl=0","Click to download SizeChart")</f>
      </c>
      <c r="C1401" s="0" t="inlineStr">
        <is>
          <t>Quincy Men's Sports Hoodie</t>
        </is>
      </c>
      <c r="D1401" s="0" t="inlineStr">
        <is>
          <t>'117394</t>
        </is>
      </c>
      <c r="E1401" s="0" t="inlineStr">
        <is>
          <t>UNI QUINCY M OG:117394D-XL</t>
        </is>
      </c>
      <c r="F1401" s="0" t="inlineStr">
        <is>
          <t>'802117394078</t>
        </is>
      </c>
      <c r="G1401" s="0" t="inlineStr">
        <is>
          <t>MENS</t>
        </is>
      </c>
      <c r="H1401" s="0" t="inlineStr">
        <is>
          <t>XL</t>
        </is>
      </c>
      <c r="I1401" s="0">
        <v>49.99</v>
      </c>
      <c r="J1401" s="0">
        <v>27</v>
      </c>
    </row>
    <row r="1402" spans="1:10" customHeight="0">
      <c r="A1402" s="0">
        <f>HYPERLINK("https://dl.dropboxusercontent.com/scl/fi/xc7n8lqac8jot4wu65uih/117394-f.jpg?rlkey=rzn708umfx7916y5k2k6e8s6x&amp;dl=0","Click to download Image")</f>
      </c>
      <c r="B1402" s="0">
        <f>HYPERLINK("https://dl.dropboxusercontent.com/scl/fi/b3qb498xs6ccl5ald6rbp/mens-hoodie-size-chartsquincy.jpg?rlkey=xlcinid7j7q30osk80m73gn0b&amp;dl=0","Click to download SizeChart")</f>
      </c>
      <c r="C1402" s="0" t="inlineStr">
        <is>
          <t>Quincy Men's Sports Hoodie</t>
        </is>
      </c>
      <c r="D1402" s="0" t="inlineStr">
        <is>
          <t>'117394</t>
        </is>
      </c>
      <c r="E1402" s="0" t="inlineStr">
        <is>
          <t>UNI QUINCY M OG:117394E-2XL</t>
        </is>
      </c>
      <c r="F1402" s="0" t="inlineStr">
        <is>
          <t>'802117394085</t>
        </is>
      </c>
      <c r="G1402" s="0" t="inlineStr">
        <is>
          <t>MENS</t>
        </is>
      </c>
      <c r="H1402" s="0" t="inlineStr">
        <is>
          <t>2XL</t>
        </is>
      </c>
      <c r="I1402" s="0">
        <v>51.99</v>
      </c>
      <c r="J1402" s="0">
        <v>15</v>
      </c>
    </row>
    <row r="1403" spans="1:10" customHeight="0">
      <c r="A1403" s="0">
        <f>HYPERLINK("https://dl.dropboxusercontent.com/scl/fi/xc7n8lqac8jot4wu65uih/117394-f.jpg?rlkey=rzn708umfx7916y5k2k6e8s6x&amp;dl=0","Click to download Image")</f>
      </c>
      <c r="B1403" s="0">
        <f>HYPERLINK("https://dl.dropboxusercontent.com/scl/fi/b3qb498xs6ccl5ald6rbp/mens-hoodie-size-chartsquincy.jpg?rlkey=xlcinid7j7q30osk80m73gn0b&amp;dl=0","Click to download SizeChart")</f>
      </c>
      <c r="C1403" s="0" t="inlineStr">
        <is>
          <t>Quincy Men's Sports Hoodie</t>
        </is>
      </c>
      <c r="D1403" s="0" t="inlineStr">
        <is>
          <t>'117394</t>
        </is>
      </c>
      <c r="E1403" s="0" t="inlineStr">
        <is>
          <t>UNI QUINCY M OG:117394F-3XL</t>
        </is>
      </c>
      <c r="F1403" s="0" t="inlineStr">
        <is>
          <t>'802117394092</t>
        </is>
      </c>
      <c r="G1403" s="0" t="inlineStr">
        <is>
          <t>MENS</t>
        </is>
      </c>
      <c r="H1403" s="0" t="inlineStr">
        <is>
          <t>3XL</t>
        </is>
      </c>
      <c r="I1403" s="0">
        <v>51.99</v>
      </c>
      <c r="J1403" s="0">
        <v>12</v>
      </c>
    </row>
    <row r="1404" spans="1:10" customHeight="0">
      <c r="A1404" s="0">
        <f>HYPERLINK("https://dl.dropboxusercontent.com/scl/fi/xc7n8lqac8jot4wu65uih/117394-f.jpg?rlkey=rzn708umfx7916y5k2k6e8s6x&amp;dl=0","Click to download Image")</f>
      </c>
      <c r="B1404" s="0">
        <f>HYPERLINK("https://dl.dropboxusercontent.com/scl/fi/b3qb498xs6ccl5ald6rbp/mens-hoodie-size-chartsquincy.jpg?rlkey=xlcinid7j7q30osk80m73gn0b&amp;dl=0","Click to download SizeChart")</f>
      </c>
      <c r="C1404" s="0" t="inlineStr">
        <is>
          <t>Quincy Men's Sports Hoodie</t>
        </is>
      </c>
      <c r="D1404" s="0" t="inlineStr">
        <is>
          <t>'117394</t>
        </is>
      </c>
      <c r="E1404" s="0" t="inlineStr">
        <is>
          <t>UNI QUINCY M OG 12PK 117394</t>
        </is>
      </c>
      <c r="F1404" s="0" t="inlineStr">
        <is>
          <t>'802117394993</t>
        </is>
      </c>
      <c r="G1404" s="0" t="inlineStr">
        <is>
          <t>MENS</t>
        </is>
      </c>
      <c r="H1404" s="0" t="inlineStr">
        <is>
          <t>12 PACK</t>
        </is>
      </c>
      <c r="I1404" s="0">
        <v>486</v>
      </c>
      <c r="J1404" s="0">
        <v>7</v>
      </c>
    </row>
    <row r="1405" spans="1:10" customHeight="0">
      <c r="A1405" s="0">
        <f>HYPERLINK("https://dl.dropboxusercontent.com/scl/fi/73nfz0c3mlmqhx1ax8vrw/corey-143402-t.jpg?rlkey=16yhxfw9q53amn7swsgo60n58&amp;dl=0","Click to download Image")</f>
      </c>
      <c r="B1405" s="0">
        <f>HYPERLINK("https://dl.dropboxusercontent.com/scl/fi/m09aywzragy2b343fkih2/mens-pullover-size-chartscorey.jpg?rlkey=ft7llgsqxuvu83uvaupq5qswx&amp;dl=0","Click to download SizeChart")</f>
      </c>
      <c r="C1405" s="0" t="inlineStr">
        <is>
          <t>Corey Men's 1/4 Zip Scuba Pullover</t>
        </is>
      </c>
      <c r="D1405" s="0" t="inlineStr">
        <is>
          <t>'143402</t>
        </is>
      </c>
      <c r="E1405" s="0" t="inlineStr">
        <is>
          <t>SDSU COREY M NY:143402A-S</t>
        </is>
      </c>
      <c r="F1405" s="0" t="inlineStr">
        <is>
          <t>'816143402041</t>
        </is>
      </c>
      <c r="G1405" s="0" t="inlineStr">
        <is>
          <t>MENS</t>
        </is>
      </c>
      <c r="H1405" s="0" t="inlineStr">
        <is>
          <t>S</t>
        </is>
      </c>
      <c r="I1405" s="0">
        <v>49.99</v>
      </c>
      <c r="J1405" s="0">
        <v>2</v>
      </c>
    </row>
    <row r="1406" spans="1:10" customHeight="0">
      <c r="A1406" s="0">
        <f>HYPERLINK("https://dl.dropboxusercontent.com/scl/fi/73nfz0c3mlmqhx1ax8vrw/corey-143402-t.jpg?rlkey=16yhxfw9q53amn7swsgo60n58&amp;dl=0","Click to download Image")</f>
      </c>
      <c r="B1406" s="0">
        <f>HYPERLINK("https://dl.dropboxusercontent.com/scl/fi/m09aywzragy2b343fkih2/mens-pullover-size-chartscorey.jpg?rlkey=ft7llgsqxuvu83uvaupq5qswx&amp;dl=0","Click to download SizeChart")</f>
      </c>
      <c r="C1406" s="0" t="inlineStr">
        <is>
          <t>Corey Men's 1/4 Zip Scuba Pullover</t>
        </is>
      </c>
      <c r="D1406" s="0" t="inlineStr">
        <is>
          <t>'143402</t>
        </is>
      </c>
      <c r="E1406" s="0" t="inlineStr">
        <is>
          <t>SDSU COREY M NY:143402B-M</t>
        </is>
      </c>
      <c r="F1406" s="0" t="inlineStr">
        <is>
          <t>'816143402058</t>
        </is>
      </c>
      <c r="G1406" s="0" t="inlineStr">
        <is>
          <t>MENS</t>
        </is>
      </c>
      <c r="H1406" s="0" t="inlineStr">
        <is>
          <t>M</t>
        </is>
      </c>
      <c r="I1406" s="0">
        <v>49.99</v>
      </c>
      <c r="J1406" s="0">
        <v>3</v>
      </c>
    </row>
    <row r="1407" spans="1:10" customHeight="0">
      <c r="A1407" s="0">
        <f>HYPERLINK("https://dl.dropboxusercontent.com/scl/fi/73nfz0c3mlmqhx1ax8vrw/corey-143402-t.jpg?rlkey=16yhxfw9q53amn7swsgo60n58&amp;dl=0","Click to download Image")</f>
      </c>
      <c r="B1407" s="0">
        <f>HYPERLINK("https://dl.dropboxusercontent.com/scl/fi/m09aywzragy2b343fkih2/mens-pullover-size-chartscorey.jpg?rlkey=ft7llgsqxuvu83uvaupq5qswx&amp;dl=0","Click to download SizeChart")</f>
      </c>
      <c r="C1407" s="0" t="inlineStr">
        <is>
          <t>Corey Men's 1/4 Zip Scuba Pullover</t>
        </is>
      </c>
      <c r="D1407" s="0" t="inlineStr">
        <is>
          <t>'143402</t>
        </is>
      </c>
      <c r="E1407" s="0" t="inlineStr">
        <is>
          <t>SDSU COREY M NY:143402C-L</t>
        </is>
      </c>
      <c r="F1407" s="0" t="inlineStr">
        <is>
          <t>'816143402065</t>
        </is>
      </c>
      <c r="G1407" s="0" t="inlineStr">
        <is>
          <t>MENS</t>
        </is>
      </c>
      <c r="H1407" s="0" t="inlineStr">
        <is>
          <t>L</t>
        </is>
      </c>
      <c r="I1407" s="0">
        <v>49.99</v>
      </c>
      <c r="J1407" s="0">
        <v>5</v>
      </c>
    </row>
    <row r="1408" spans="1:10" customHeight="0">
      <c r="A1408" s="0">
        <f>HYPERLINK("https://dl.dropboxusercontent.com/scl/fi/73nfz0c3mlmqhx1ax8vrw/corey-143402-t.jpg?rlkey=16yhxfw9q53amn7swsgo60n58&amp;dl=0","Click to download Image")</f>
      </c>
      <c r="B1408" s="0">
        <f>HYPERLINK("https://dl.dropboxusercontent.com/scl/fi/m09aywzragy2b343fkih2/mens-pullover-size-chartscorey.jpg?rlkey=ft7llgsqxuvu83uvaupq5qswx&amp;dl=0","Click to download SizeChart")</f>
      </c>
      <c r="C1408" s="0" t="inlineStr">
        <is>
          <t>Corey Men's 1/4 Zip Scuba Pullover</t>
        </is>
      </c>
      <c r="D1408" s="0" t="inlineStr">
        <is>
          <t>'143402</t>
        </is>
      </c>
      <c r="E1408" s="0" t="inlineStr">
        <is>
          <t>SDSU COREY M NY:143402D-XL</t>
        </is>
      </c>
      <c r="F1408" s="0" t="inlineStr">
        <is>
          <t>'816143402072</t>
        </is>
      </c>
      <c r="G1408" s="0" t="inlineStr">
        <is>
          <t>MENS</t>
        </is>
      </c>
      <c r="H1408" s="0" t="inlineStr">
        <is>
          <t>XL</t>
        </is>
      </c>
      <c r="I1408" s="0">
        <v>49.99</v>
      </c>
      <c r="J1408" s="0">
        <v>0</v>
      </c>
    </row>
    <row r="1409" spans="1:10" customHeight="0">
      <c r="A1409" s="0">
        <f>HYPERLINK("https://dl.dropboxusercontent.com/scl/fi/73nfz0c3mlmqhx1ax8vrw/corey-143402-t.jpg?rlkey=16yhxfw9q53amn7swsgo60n58&amp;dl=0","Click to download Image")</f>
      </c>
      <c r="B1409" s="0">
        <f>HYPERLINK("https://dl.dropboxusercontent.com/scl/fi/m09aywzragy2b343fkih2/mens-pullover-size-chartscorey.jpg?rlkey=ft7llgsqxuvu83uvaupq5qswx&amp;dl=0","Click to download SizeChart")</f>
      </c>
      <c r="C1409" s="0" t="inlineStr">
        <is>
          <t>Corey Men's 1/4 Zip Scuba Pullover</t>
        </is>
      </c>
      <c r="D1409" s="0" t="inlineStr">
        <is>
          <t>'143402</t>
        </is>
      </c>
      <c r="E1409" s="0" t="inlineStr">
        <is>
          <t>SDSU COREY M NY:143402E-2XL</t>
        </is>
      </c>
      <c r="F1409" s="0" t="inlineStr">
        <is>
          <t>'816143402089</t>
        </is>
      </c>
      <c r="G1409" s="0" t="inlineStr">
        <is>
          <t>MENS</t>
        </is>
      </c>
      <c r="H1409" s="0" t="inlineStr">
        <is>
          <t>2XL</t>
        </is>
      </c>
      <c r="I1409" s="0">
        <v>51.99</v>
      </c>
      <c r="J1409" s="0">
        <v>3</v>
      </c>
    </row>
    <row r="1410" spans="1:10" customHeight="0">
      <c r="A1410" s="0">
        <f>HYPERLINK("https://dl.dropboxusercontent.com/scl/fi/73nfz0c3mlmqhx1ax8vrw/corey-143402-t.jpg?rlkey=16yhxfw9q53amn7swsgo60n58&amp;dl=0","Click to download Image")</f>
      </c>
      <c r="B1410" s="0">
        <f>HYPERLINK("https://dl.dropboxusercontent.com/scl/fi/m09aywzragy2b343fkih2/mens-pullover-size-chartscorey.jpg?rlkey=ft7llgsqxuvu83uvaupq5qswx&amp;dl=0","Click to download SizeChart")</f>
      </c>
      <c r="C1410" s="0" t="inlineStr">
        <is>
          <t>Corey Men's 1/4 Zip Scuba Pullover</t>
        </is>
      </c>
      <c r="D1410" s="0" t="inlineStr">
        <is>
          <t>'143402</t>
        </is>
      </c>
      <c r="E1410" s="0" t="inlineStr">
        <is>
          <t>SDSU COREY M NY:143402F-3XL</t>
        </is>
      </c>
      <c r="F1410" s="0" t="inlineStr">
        <is>
          <t>'816143402096</t>
        </is>
      </c>
      <c r="G1410" s="0" t="inlineStr">
        <is>
          <t>MENS</t>
        </is>
      </c>
      <c r="H1410" s="0" t="inlineStr">
        <is>
          <t>3XL</t>
        </is>
      </c>
      <c r="I1410" s="0">
        <v>51.99</v>
      </c>
      <c r="J1410" s="0">
        <v>2</v>
      </c>
    </row>
    <row r="1411" spans="1:10" customHeight="0">
      <c r="A1411" s="0">
        <f>HYPERLINK("https://dl.dropboxusercontent.com/scl/fi/yn0xiku53qd6pu225n0kj/116425-af.jpg?rlkey=97zz9rsjaxamlxltblkwh72kt&amp;dl=0","Click to download Image")</f>
      </c>
      <c r="B1411" s="0">
        <f>HYPERLINK("https://dl.dropboxusercontent.com/scl/fi/m09aywzragy2b343fkih2/mens-pullover-size-chartscorey.jpg?rlkey=ft7llgsqxuvu83uvaupq5qswx&amp;dl=0","Click to download SizeChart")</f>
      </c>
      <c r="C1411" s="0" t="inlineStr">
        <is>
          <t>Corey Men's 1/4 Zip Scuba Pullover</t>
        </is>
      </c>
      <c r="D1411" s="0" t="inlineStr">
        <is>
          <t>'116425</t>
        </is>
      </c>
      <c r="E1411" s="0" t="inlineStr">
        <is>
          <t>IOWA COREY M BLACK:116425A - S</t>
        </is>
      </c>
      <c r="F1411" s="0" t="inlineStr">
        <is>
          <t>'000000000000</t>
        </is>
      </c>
      <c r="G1411" s="0" t="inlineStr">
        <is>
          <t>MENS</t>
        </is>
      </c>
      <c r="H1411" s="0" t="inlineStr">
        <is>
          <t>S</t>
        </is>
      </c>
      <c r="I1411" s="0">
        <v>49.99</v>
      </c>
      <c r="J1411" s="0">
        <v>6</v>
      </c>
    </row>
    <row r="1412" spans="1:10" customHeight="0">
      <c r="A1412" s="0">
        <f>HYPERLINK("https://dl.dropboxusercontent.com/scl/fi/yn0xiku53qd6pu225n0kj/116425-af.jpg?rlkey=97zz9rsjaxamlxltblkwh72kt&amp;dl=0","Click to download Image")</f>
      </c>
      <c r="B1412" s="0">
        <f>HYPERLINK("https://dl.dropboxusercontent.com/scl/fi/m09aywzragy2b343fkih2/mens-pullover-size-chartscorey.jpg?rlkey=ft7llgsqxuvu83uvaupq5qswx&amp;dl=0","Click to download SizeChart")</f>
      </c>
      <c r="C1412" s="0" t="inlineStr">
        <is>
          <t>Corey Men's 1/4 Zip Scuba Pullover</t>
        </is>
      </c>
      <c r="D1412" s="0" t="inlineStr">
        <is>
          <t>'116425</t>
        </is>
      </c>
      <c r="E1412" s="0" t="inlineStr">
        <is>
          <t>IOWA COREY M BLACK:116425B - M</t>
        </is>
      </c>
      <c r="F1412" s="0" t="inlineStr">
        <is>
          <t>'000000000000</t>
        </is>
      </c>
      <c r="G1412" s="0" t="inlineStr">
        <is>
          <t>MENS</t>
        </is>
      </c>
      <c r="H1412" s="0" t="inlineStr">
        <is>
          <t>M</t>
        </is>
      </c>
      <c r="I1412" s="0">
        <v>49.99</v>
      </c>
      <c r="J1412" s="0">
        <v>8</v>
      </c>
    </row>
    <row r="1413" spans="1:10" customHeight="0">
      <c r="A1413" s="0">
        <f>HYPERLINK("https://dl.dropboxusercontent.com/scl/fi/yn0xiku53qd6pu225n0kj/116425-af.jpg?rlkey=97zz9rsjaxamlxltblkwh72kt&amp;dl=0","Click to download Image")</f>
      </c>
      <c r="B1413" s="0">
        <f>HYPERLINK("https://dl.dropboxusercontent.com/scl/fi/m09aywzragy2b343fkih2/mens-pullover-size-chartscorey.jpg?rlkey=ft7llgsqxuvu83uvaupq5qswx&amp;dl=0","Click to download SizeChart")</f>
      </c>
      <c r="C1413" s="0" t="inlineStr">
        <is>
          <t>Corey Men's 1/4 Zip Scuba Pullover</t>
        </is>
      </c>
      <c r="D1413" s="0" t="inlineStr">
        <is>
          <t>'116425</t>
        </is>
      </c>
      <c r="E1413" s="0" t="inlineStr">
        <is>
          <t>IOWA COREY M BLACK:116425C - L</t>
        </is>
      </c>
      <c r="F1413" s="0" t="inlineStr">
        <is>
          <t>'000000000000</t>
        </is>
      </c>
      <c r="G1413" s="0" t="inlineStr">
        <is>
          <t>MENS</t>
        </is>
      </c>
      <c r="H1413" s="0" t="inlineStr">
        <is>
          <t>L</t>
        </is>
      </c>
      <c r="I1413" s="0">
        <v>49.99</v>
      </c>
      <c r="J1413" s="0">
        <v>5</v>
      </c>
    </row>
    <row r="1414" spans="1:10" customHeight="0">
      <c r="A1414" s="0">
        <f>HYPERLINK("https://dl.dropboxusercontent.com/scl/fi/yn0xiku53qd6pu225n0kj/116425-af.jpg?rlkey=97zz9rsjaxamlxltblkwh72kt&amp;dl=0","Click to download Image")</f>
      </c>
      <c r="B1414" s="0">
        <f>HYPERLINK("https://dl.dropboxusercontent.com/scl/fi/m09aywzragy2b343fkih2/mens-pullover-size-chartscorey.jpg?rlkey=ft7llgsqxuvu83uvaupq5qswx&amp;dl=0","Click to download SizeChart")</f>
      </c>
      <c r="C1414" s="0" t="inlineStr">
        <is>
          <t>Corey Men's 1/4 Zip Scuba Pullover</t>
        </is>
      </c>
      <c r="D1414" s="0" t="inlineStr">
        <is>
          <t>'116425</t>
        </is>
      </c>
      <c r="E1414" s="0" t="inlineStr">
        <is>
          <t>IOWA COREY M BLACK:116425D - XL</t>
        </is>
      </c>
      <c r="F1414" s="0" t="inlineStr">
        <is>
          <t>'000000000000</t>
        </is>
      </c>
      <c r="G1414" s="0" t="inlineStr">
        <is>
          <t>MENS</t>
        </is>
      </c>
      <c r="H1414" s="0" t="inlineStr">
        <is>
          <t>XL</t>
        </is>
      </c>
      <c r="I1414" s="0">
        <v>49.99</v>
      </c>
      <c r="J1414" s="0">
        <v>3</v>
      </c>
    </row>
    <row r="1415" spans="1:10" customHeight="0">
      <c r="A1415" s="0">
        <f>HYPERLINK("https://dl.dropboxusercontent.com/scl/fi/yn0xiku53qd6pu225n0kj/116425-af.jpg?rlkey=97zz9rsjaxamlxltblkwh72kt&amp;dl=0","Click to download Image")</f>
      </c>
      <c r="B1415" s="0">
        <f>HYPERLINK("https://dl.dropboxusercontent.com/scl/fi/m09aywzragy2b343fkih2/mens-pullover-size-chartscorey.jpg?rlkey=ft7llgsqxuvu83uvaupq5qswx&amp;dl=0","Click to download SizeChart")</f>
      </c>
      <c r="C1415" s="0" t="inlineStr">
        <is>
          <t>Corey Men's 1/4 Zip Scuba Pullover</t>
        </is>
      </c>
      <c r="D1415" s="0" t="inlineStr">
        <is>
          <t>'116425</t>
        </is>
      </c>
      <c r="E1415" s="0" t="inlineStr">
        <is>
          <t>IOWA COREY M BLACK:116425E - 2XL</t>
        </is>
      </c>
      <c r="F1415" s="0" t="inlineStr">
        <is>
          <t>'000000000000</t>
        </is>
      </c>
      <c r="G1415" s="0" t="inlineStr">
        <is>
          <t>MENS</t>
        </is>
      </c>
      <c r="H1415" s="0" t="inlineStr">
        <is>
          <t>2XL</t>
        </is>
      </c>
      <c r="I1415" s="0">
        <v>51.99</v>
      </c>
      <c r="J1415" s="0">
        <v>0</v>
      </c>
    </row>
    <row r="1416" spans="1:10" customHeight="0">
      <c r="A1416" s="0">
        <f>HYPERLINK("https://dl.dropboxusercontent.com/scl/fi/yn0xiku53qd6pu225n0kj/116425-af.jpg?rlkey=97zz9rsjaxamlxltblkwh72kt&amp;dl=0","Click to download Image")</f>
      </c>
      <c r="B1416" s="0">
        <f>HYPERLINK("https://dl.dropboxusercontent.com/scl/fi/m09aywzragy2b343fkih2/mens-pullover-size-chartscorey.jpg?rlkey=ft7llgsqxuvu83uvaupq5qswx&amp;dl=0","Click to download SizeChart")</f>
      </c>
      <c r="C1416" s="0" t="inlineStr">
        <is>
          <t>Corey Men's 1/4 Zip Scuba Pullover</t>
        </is>
      </c>
      <c r="D1416" s="0" t="inlineStr">
        <is>
          <t>'116425</t>
        </is>
      </c>
      <c r="E1416" s="0" t="inlineStr">
        <is>
          <t>IOWA COREY M BLACK:116425F - 3XL</t>
        </is>
      </c>
      <c r="F1416" s="0" t="inlineStr">
        <is>
          <t>'000000000000</t>
        </is>
      </c>
      <c r="G1416" s="0" t="inlineStr">
        <is>
          <t>MENS</t>
        </is>
      </c>
      <c r="H1416" s="0" t="inlineStr">
        <is>
          <t>3XL</t>
        </is>
      </c>
      <c r="I1416" s="0">
        <v>51.99</v>
      </c>
      <c r="J1416" s="0">
        <v>4</v>
      </c>
    </row>
    <row r="1417" spans="1:10" customHeight="0">
      <c r="A1417" s="0">
        <f>HYPERLINK("https://dl.dropboxusercontent.com/scl/fi/yn0xiku53qd6pu225n0kj/116425-af.jpg?rlkey=97zz9rsjaxamlxltblkwh72kt&amp;dl=0","Click to download Image")</f>
      </c>
      <c r="B1417" s="0">
        <f>HYPERLINK("https://dl.dropboxusercontent.com/scl/fi/m09aywzragy2b343fkih2/mens-pullover-size-chartscorey.jpg?rlkey=ft7llgsqxuvu83uvaupq5qswx&amp;dl=0","Click to download SizeChart")</f>
      </c>
      <c r="C1417" s="0" t="inlineStr">
        <is>
          <t>Corey Men's 1/4 Zip Scuba Pullover</t>
        </is>
      </c>
      <c r="D1417" s="0" t="inlineStr">
        <is>
          <t>'116425</t>
        </is>
      </c>
      <c r="E1417" s="0" t="inlineStr">
        <is>
          <t>IOWA COREY M BLACK 12 PACK (116425)</t>
        </is>
      </c>
      <c r="F1417" s="0" t="inlineStr">
        <is>
          <t>'000000000000</t>
        </is>
      </c>
      <c r="G1417" s="0" t="inlineStr">
        <is>
          <t>MENS</t>
        </is>
      </c>
      <c r="H1417" s="0" t="inlineStr">
        <is>
          <t>12 PACK</t>
        </is>
      </c>
      <c r="I1417" s="0">
        <v>486</v>
      </c>
      <c r="J1417" s="0">
        <v>1</v>
      </c>
    </row>
    <row r="1418" spans="1:10" customHeight="0">
      <c r="A1418" s="0">
        <f>HYPERLINK("https://dl.dropboxusercontent.com/scl/fi/mzthbket0enn5iwzaegux/116427-af.jpg?rlkey=lply84pf1fra7xtdfsurcage8&amp;dl=0","Click to download Image")</f>
      </c>
      <c r="B1418" s="0">
        <f>HYPERLINK("https://dl.dropboxusercontent.com/scl/fi/m09aywzragy2b343fkih2/mens-pullover-size-chartscorey.jpg?rlkey=ft7llgsqxuvu83uvaupq5qswx&amp;dl=0","Click to download SizeChart")</f>
      </c>
      <c r="C1418" s="0" t="inlineStr">
        <is>
          <t>Corey Men's 1/4 Zip Scuba Pullover</t>
        </is>
      </c>
      <c r="D1418" s="0" t="inlineStr">
        <is>
          <t>'116427</t>
        </is>
      </c>
      <c r="E1418" s="0" t="inlineStr">
        <is>
          <t>UNI COREY M PURPLE:116427A - S</t>
        </is>
      </c>
      <c r="F1418" s="0" t="inlineStr">
        <is>
          <t>'000000000000</t>
        </is>
      </c>
      <c r="G1418" s="0" t="inlineStr">
        <is>
          <t>MENS</t>
        </is>
      </c>
      <c r="H1418" s="0" t="inlineStr">
        <is>
          <t>S</t>
        </is>
      </c>
      <c r="I1418" s="0">
        <v>49.99</v>
      </c>
      <c r="J1418" s="0">
        <v>3</v>
      </c>
    </row>
    <row r="1419" spans="1:10" customHeight="0">
      <c r="A1419" s="0">
        <f>HYPERLINK("https://dl.dropboxusercontent.com/scl/fi/mzthbket0enn5iwzaegux/116427-af.jpg?rlkey=lply84pf1fra7xtdfsurcage8&amp;dl=0","Click to download Image")</f>
      </c>
      <c r="B1419" s="0">
        <f>HYPERLINK("https://dl.dropboxusercontent.com/scl/fi/m09aywzragy2b343fkih2/mens-pullover-size-chartscorey.jpg?rlkey=ft7llgsqxuvu83uvaupq5qswx&amp;dl=0","Click to download SizeChart")</f>
      </c>
      <c r="C1419" s="0" t="inlineStr">
        <is>
          <t>Corey Men's 1/4 Zip Scuba Pullover</t>
        </is>
      </c>
      <c r="D1419" s="0" t="inlineStr">
        <is>
          <t>'116427</t>
        </is>
      </c>
      <c r="E1419" s="0" t="inlineStr">
        <is>
          <t>UNI COREY M PURPLE:116427B - M</t>
        </is>
      </c>
      <c r="F1419" s="0" t="inlineStr">
        <is>
          <t>'000000000000</t>
        </is>
      </c>
      <c r="G1419" s="0" t="inlineStr">
        <is>
          <t>MENS</t>
        </is>
      </c>
      <c r="H1419" s="0" t="inlineStr">
        <is>
          <t>M</t>
        </is>
      </c>
      <c r="I1419" s="0">
        <v>49.99</v>
      </c>
      <c r="J1419" s="0">
        <v>4</v>
      </c>
    </row>
    <row r="1420" spans="1:10" customHeight="0">
      <c r="A1420" s="0">
        <f>HYPERLINK("https://dl.dropboxusercontent.com/scl/fi/mzthbket0enn5iwzaegux/116427-af.jpg?rlkey=lply84pf1fra7xtdfsurcage8&amp;dl=0","Click to download Image")</f>
      </c>
      <c r="B1420" s="0">
        <f>HYPERLINK("https://dl.dropboxusercontent.com/scl/fi/m09aywzragy2b343fkih2/mens-pullover-size-chartscorey.jpg?rlkey=ft7llgsqxuvu83uvaupq5qswx&amp;dl=0","Click to download SizeChart")</f>
      </c>
      <c r="C1420" s="0" t="inlineStr">
        <is>
          <t>Corey Men's 1/4 Zip Scuba Pullover</t>
        </is>
      </c>
      <c r="D1420" s="0" t="inlineStr">
        <is>
          <t>'116427</t>
        </is>
      </c>
      <c r="E1420" s="0" t="inlineStr">
        <is>
          <t>UNI COREY M PURPLE:116427C - L</t>
        </is>
      </c>
      <c r="F1420" s="0" t="inlineStr">
        <is>
          <t>'000000000000</t>
        </is>
      </c>
      <c r="G1420" s="0" t="inlineStr">
        <is>
          <t>MENS</t>
        </is>
      </c>
      <c r="H1420" s="0" t="inlineStr">
        <is>
          <t>L</t>
        </is>
      </c>
      <c r="I1420" s="0">
        <v>49.99</v>
      </c>
      <c r="J1420" s="0">
        <v>7</v>
      </c>
    </row>
    <row r="1421" spans="1:10" customHeight="0">
      <c r="A1421" s="0">
        <f>HYPERLINK("https://dl.dropboxusercontent.com/scl/fi/mzthbket0enn5iwzaegux/116427-af.jpg?rlkey=lply84pf1fra7xtdfsurcage8&amp;dl=0","Click to download Image")</f>
      </c>
      <c r="B1421" s="0">
        <f>HYPERLINK("https://dl.dropboxusercontent.com/scl/fi/m09aywzragy2b343fkih2/mens-pullover-size-chartscorey.jpg?rlkey=ft7llgsqxuvu83uvaupq5qswx&amp;dl=0","Click to download SizeChart")</f>
      </c>
      <c r="C1421" s="0" t="inlineStr">
        <is>
          <t>Corey Men's 1/4 Zip Scuba Pullover</t>
        </is>
      </c>
      <c r="D1421" s="0" t="inlineStr">
        <is>
          <t>'116427</t>
        </is>
      </c>
      <c r="E1421" s="0" t="inlineStr">
        <is>
          <t>UNI COREY M PURPLE:116427D - XL</t>
        </is>
      </c>
      <c r="F1421" s="0" t="inlineStr">
        <is>
          <t>'000000000000</t>
        </is>
      </c>
      <c r="G1421" s="0" t="inlineStr">
        <is>
          <t>MENS</t>
        </is>
      </c>
      <c r="H1421" s="0" t="inlineStr">
        <is>
          <t>XL</t>
        </is>
      </c>
      <c r="I1421" s="0">
        <v>49.99</v>
      </c>
      <c r="J1421" s="0">
        <v>8</v>
      </c>
    </row>
    <row r="1422" spans="1:10" customHeight="0">
      <c r="A1422" s="0">
        <f>HYPERLINK("https://dl.dropboxusercontent.com/scl/fi/mzthbket0enn5iwzaegux/116427-af.jpg?rlkey=lply84pf1fra7xtdfsurcage8&amp;dl=0","Click to download Image")</f>
      </c>
      <c r="B1422" s="0">
        <f>HYPERLINK("https://dl.dropboxusercontent.com/scl/fi/m09aywzragy2b343fkih2/mens-pullover-size-chartscorey.jpg?rlkey=ft7llgsqxuvu83uvaupq5qswx&amp;dl=0","Click to download SizeChart")</f>
      </c>
      <c r="C1422" s="0" t="inlineStr">
        <is>
          <t>Corey Men's 1/4 Zip Scuba Pullover</t>
        </is>
      </c>
      <c r="D1422" s="0" t="inlineStr">
        <is>
          <t>'116427</t>
        </is>
      </c>
      <c r="E1422" s="0" t="inlineStr">
        <is>
          <t>UNI COREY M PURPLE:116427E - 2XL</t>
        </is>
      </c>
      <c r="F1422" s="0" t="inlineStr">
        <is>
          <t>'000000000000</t>
        </is>
      </c>
      <c r="G1422" s="0" t="inlineStr">
        <is>
          <t>MENS</t>
        </is>
      </c>
      <c r="H1422" s="0" t="inlineStr">
        <is>
          <t>2XL</t>
        </is>
      </c>
      <c r="I1422" s="0">
        <v>51.99</v>
      </c>
      <c r="J1422" s="0">
        <v>5</v>
      </c>
    </row>
    <row r="1423" spans="1:10" customHeight="0">
      <c r="A1423" s="0">
        <f>HYPERLINK("https://dl.dropboxusercontent.com/scl/fi/mzthbket0enn5iwzaegux/116427-af.jpg?rlkey=lply84pf1fra7xtdfsurcage8&amp;dl=0","Click to download Image")</f>
      </c>
      <c r="B1423" s="0">
        <f>HYPERLINK("https://dl.dropboxusercontent.com/scl/fi/m09aywzragy2b343fkih2/mens-pullover-size-chartscorey.jpg?rlkey=ft7llgsqxuvu83uvaupq5qswx&amp;dl=0","Click to download SizeChart")</f>
      </c>
      <c r="C1423" s="0" t="inlineStr">
        <is>
          <t>Corey Men's 1/4 Zip Scuba Pullover</t>
        </is>
      </c>
      <c r="D1423" s="0" t="inlineStr">
        <is>
          <t>'116427</t>
        </is>
      </c>
      <c r="E1423" s="0" t="inlineStr">
        <is>
          <t>UNI COREY M PURPLE:116427F - 3XL</t>
        </is>
      </c>
      <c r="F1423" s="0" t="inlineStr">
        <is>
          <t>'000000000000</t>
        </is>
      </c>
      <c r="G1423" s="0" t="inlineStr">
        <is>
          <t>MENS</t>
        </is>
      </c>
      <c r="H1423" s="0" t="inlineStr">
        <is>
          <t>3XL</t>
        </is>
      </c>
      <c r="I1423" s="0">
        <v>51.99</v>
      </c>
      <c r="J1423" s="0">
        <v>2</v>
      </c>
    </row>
    <row r="1424" spans="1:10" customHeight="0">
      <c r="A1424" s="0">
        <f>HYPERLINK("https://dl.dropboxusercontent.com/scl/fi/mzthbket0enn5iwzaegux/116427-af.jpg?rlkey=lply84pf1fra7xtdfsurcage8&amp;dl=0","Click to download Image")</f>
      </c>
      <c r="B1424" s="0">
        <f>HYPERLINK("https://dl.dropboxusercontent.com/scl/fi/m09aywzragy2b343fkih2/mens-pullover-size-chartscorey.jpg?rlkey=ft7llgsqxuvu83uvaupq5qswx&amp;dl=0","Click to download SizeChart")</f>
      </c>
      <c r="C1424" s="0" t="inlineStr">
        <is>
          <t>Corey Men's 1/4 Zip Scuba Pullover</t>
        </is>
      </c>
      <c r="D1424" s="0" t="inlineStr">
        <is>
          <t>'116427</t>
        </is>
      </c>
      <c r="E1424" s="0" t="inlineStr">
        <is>
          <t>UNI COREY M PURPLE 12 PACK (116427)</t>
        </is>
      </c>
      <c r="F1424" s="0" t="inlineStr">
        <is>
          <t>'000000000000</t>
        </is>
      </c>
      <c r="G1424" s="0" t="inlineStr">
        <is>
          <t>MENS</t>
        </is>
      </c>
      <c r="H1424" s="0" t="inlineStr">
        <is>
          <t>12 PACK</t>
        </is>
      </c>
      <c r="I1424" s="0">
        <v>486</v>
      </c>
      <c r="J1424" s="0">
        <v>2</v>
      </c>
    </row>
    <row r="1425" spans="1:10" customHeight="0">
      <c r="A1425" s="0">
        <f>HYPERLINK("https://dl.dropboxusercontent.com/scl/fi/qofdzs5b2mz83ek0vorrl/wilder-143073-f.jpg?rlkey=6pf0rjozjoxmpopauxu7ey0ck&amp;dl=0","Click to download Image")</f>
      </c>
      <c r="B1425" s="0">
        <f>HYPERLINK("https://dl.dropboxusercontent.com/scl/fi/g4y5n01kwvr7p2xwzmygk/womens-t-shirt-size-chartswilder.jpg?rlkey=te1dp9e55yf3n18v5o93oao3w&amp;dl=0","Click to download SizeChart")</f>
      </c>
      <c r="C1425" s="0" t="inlineStr">
        <is>
          <t>Black Out Wilder Women's Long Sleeve</t>
        </is>
      </c>
      <c r="D1425" s="0" t="inlineStr">
        <is>
          <t>'143073</t>
        </is>
      </c>
      <c r="E1425" s="0" t="inlineStr">
        <is>
          <t>IOWA WILDER W BK:143073A-S</t>
        </is>
      </c>
      <c r="F1425" s="0" t="inlineStr">
        <is>
          <t>'800143073042</t>
        </is>
      </c>
      <c r="G1425" s="0" t="inlineStr">
        <is>
          <t>WOMENS</t>
        </is>
      </c>
      <c r="H1425" s="0" t="inlineStr">
        <is>
          <t>S</t>
        </is>
      </c>
      <c r="I1425" s="0">
        <v>29.99</v>
      </c>
      <c r="J1425" s="0">
        <v>4</v>
      </c>
    </row>
    <row r="1426" spans="1:10" customHeight="0">
      <c r="A1426" s="0">
        <f>HYPERLINK("https://dl.dropboxusercontent.com/scl/fi/qofdzs5b2mz83ek0vorrl/wilder-143073-f.jpg?rlkey=6pf0rjozjoxmpopauxu7ey0ck&amp;dl=0","Click to download Image")</f>
      </c>
      <c r="B1426" s="0">
        <f>HYPERLINK("https://dl.dropboxusercontent.com/scl/fi/g4y5n01kwvr7p2xwzmygk/womens-t-shirt-size-chartswilder.jpg?rlkey=te1dp9e55yf3n18v5o93oao3w&amp;dl=0","Click to download SizeChart")</f>
      </c>
      <c r="C1426" s="0" t="inlineStr">
        <is>
          <t>Black Out Wilder Women's Long Sleeve</t>
        </is>
      </c>
      <c r="D1426" s="0" t="inlineStr">
        <is>
          <t>'143073</t>
        </is>
      </c>
      <c r="E1426" s="0" t="inlineStr">
        <is>
          <t>IOWA WILDER W BK:143073B-M</t>
        </is>
      </c>
      <c r="F1426" s="0" t="inlineStr">
        <is>
          <t>'800143073059</t>
        </is>
      </c>
      <c r="G1426" s="0" t="inlineStr">
        <is>
          <t>WOMENS</t>
        </is>
      </c>
      <c r="H1426" s="0" t="inlineStr">
        <is>
          <t>M</t>
        </is>
      </c>
      <c r="I1426" s="0">
        <v>29.99</v>
      </c>
      <c r="J1426" s="0">
        <v>4</v>
      </c>
    </row>
    <row r="1427" spans="1:10" customHeight="0">
      <c r="A1427" s="0">
        <f>HYPERLINK("https://dl.dropboxusercontent.com/scl/fi/qofdzs5b2mz83ek0vorrl/wilder-143073-f.jpg?rlkey=6pf0rjozjoxmpopauxu7ey0ck&amp;dl=0","Click to download Image")</f>
      </c>
      <c r="B1427" s="0">
        <f>HYPERLINK("https://dl.dropboxusercontent.com/scl/fi/g4y5n01kwvr7p2xwzmygk/womens-t-shirt-size-chartswilder.jpg?rlkey=te1dp9e55yf3n18v5o93oao3w&amp;dl=0","Click to download SizeChart")</f>
      </c>
      <c r="C1427" s="0" t="inlineStr">
        <is>
          <t>Black Out Wilder Women's Long Sleeve</t>
        </is>
      </c>
      <c r="D1427" s="0" t="inlineStr">
        <is>
          <t>'143073</t>
        </is>
      </c>
      <c r="E1427" s="0" t="inlineStr">
        <is>
          <t>IOWA WILDER W BK:143073C-L</t>
        </is>
      </c>
      <c r="F1427" s="0" t="inlineStr">
        <is>
          <t>'800143073066</t>
        </is>
      </c>
      <c r="G1427" s="0" t="inlineStr">
        <is>
          <t>WOMENS</t>
        </is>
      </c>
      <c r="H1427" s="0" t="inlineStr">
        <is>
          <t>L</t>
        </is>
      </c>
      <c r="I1427" s="0">
        <v>29.99</v>
      </c>
      <c r="J1427" s="0">
        <v>4</v>
      </c>
    </row>
    <row r="1428" spans="1:10" customHeight="0">
      <c r="A1428" s="0">
        <f>HYPERLINK("https://dl.dropboxusercontent.com/scl/fi/qofdzs5b2mz83ek0vorrl/wilder-143073-f.jpg?rlkey=6pf0rjozjoxmpopauxu7ey0ck&amp;dl=0","Click to download Image")</f>
      </c>
      <c r="B1428" s="0">
        <f>HYPERLINK("https://dl.dropboxusercontent.com/scl/fi/g4y5n01kwvr7p2xwzmygk/womens-t-shirt-size-chartswilder.jpg?rlkey=te1dp9e55yf3n18v5o93oao3w&amp;dl=0","Click to download SizeChart")</f>
      </c>
      <c r="C1428" s="0" t="inlineStr">
        <is>
          <t>Black Out Wilder Women's Long Sleeve</t>
        </is>
      </c>
      <c r="D1428" s="0" t="inlineStr">
        <is>
          <t>'143073</t>
        </is>
      </c>
      <c r="E1428" s="0" t="inlineStr">
        <is>
          <t>IOWA WILDER W BK:143073D-XL</t>
        </is>
      </c>
      <c r="F1428" s="0" t="inlineStr">
        <is>
          <t>'800143073073</t>
        </is>
      </c>
      <c r="G1428" s="0" t="inlineStr">
        <is>
          <t>WOMENS</t>
        </is>
      </c>
      <c r="H1428" s="0" t="inlineStr">
        <is>
          <t>XL</t>
        </is>
      </c>
      <c r="I1428" s="0">
        <v>29.99</v>
      </c>
      <c r="J1428" s="0">
        <v>0</v>
      </c>
    </row>
    <row r="1429" spans="1:10" customHeight="0">
      <c r="A1429" s="0">
        <f>HYPERLINK("https://dl.dropboxusercontent.com/scl/fi/qofdzs5b2mz83ek0vorrl/wilder-143073-f.jpg?rlkey=6pf0rjozjoxmpopauxu7ey0ck&amp;dl=0","Click to download Image")</f>
      </c>
      <c r="B1429" s="0">
        <f>HYPERLINK("https://dl.dropboxusercontent.com/scl/fi/g4y5n01kwvr7p2xwzmygk/womens-t-shirt-size-chartswilder.jpg?rlkey=te1dp9e55yf3n18v5o93oao3w&amp;dl=0","Click to download SizeChart")</f>
      </c>
      <c r="C1429" s="0" t="inlineStr">
        <is>
          <t>Black Out Wilder Women's Long Sleeve</t>
        </is>
      </c>
      <c r="D1429" s="0" t="inlineStr">
        <is>
          <t>'143073</t>
        </is>
      </c>
      <c r="E1429" s="0" t="inlineStr">
        <is>
          <t>IOWA WILDER W BK:143073E-2XL</t>
        </is>
      </c>
      <c r="F1429" s="0" t="inlineStr">
        <is>
          <t>'800143073080</t>
        </is>
      </c>
      <c r="G1429" s="0" t="inlineStr">
        <is>
          <t>WOMENS</t>
        </is>
      </c>
      <c r="H1429" s="0" t="inlineStr">
        <is>
          <t>2XL</t>
        </is>
      </c>
      <c r="I1429" s="0">
        <v>31.99</v>
      </c>
      <c r="J1429" s="0">
        <v>0</v>
      </c>
    </row>
    <row r="1430" spans="1:10" customHeight="0">
      <c r="A1430" s="0">
        <f>HYPERLINK("https://dl.dropboxusercontent.com/scl/fi/qofdzs5b2mz83ek0vorrl/wilder-143073-f.jpg?rlkey=6pf0rjozjoxmpopauxu7ey0ck&amp;dl=0","Click to download Image")</f>
      </c>
      <c r="B1430" s="0">
        <f>HYPERLINK("https://dl.dropboxusercontent.com/scl/fi/g4y5n01kwvr7p2xwzmygk/womens-t-shirt-size-chartswilder.jpg?rlkey=te1dp9e55yf3n18v5o93oao3w&amp;dl=0","Click to download SizeChart")</f>
      </c>
      <c r="C1430" s="0" t="inlineStr">
        <is>
          <t>Black Out Wilder Women's Long Sleeve</t>
        </is>
      </c>
      <c r="D1430" s="0" t="inlineStr">
        <is>
          <t>'143073</t>
        </is>
      </c>
      <c r="E1430" s="0" t="inlineStr">
        <is>
          <t>IOWA WILDER W BK:143073F-3XL</t>
        </is>
      </c>
      <c r="F1430" s="0" t="inlineStr">
        <is>
          <t>'800143073097</t>
        </is>
      </c>
      <c r="G1430" s="0" t="inlineStr">
        <is>
          <t>WOMENS</t>
        </is>
      </c>
      <c r="H1430" s="0" t="inlineStr">
        <is>
          <t>3XL</t>
        </is>
      </c>
      <c r="I1430" s="0">
        <v>31.99</v>
      </c>
      <c r="J1430" s="0">
        <v>0</v>
      </c>
    </row>
    <row r="1431" spans="1:10" customHeight="0">
      <c r="A1431" s="0">
        <f>HYPERLINK("https://dl.dropboxusercontent.com/scl/fi/y8q8ebqz0r7llnahi3ouv/reversiblevesttcbversion-0485018.jpg?rlkey=edyjy8cs008y9zw622ri67bdq&amp;dl=0","Click to download Image")</f>
      </c>
      <c r="B1431" s="0">
        <f>HYPERLINK("https://dl.dropboxusercontent.com/scl/fi/6ssdywp835exp4vyy2x0o/mens-jackets-size-chartsreversible.jpg?rlkey=2z80my7w47xwwcfaqfi97urbu&amp;dl=0","Click to download SizeChart")</f>
      </c>
      <c r="C1431" s="0" t="inlineStr">
        <is>
          <t>Ridley Reversible Men's Vest</t>
        </is>
      </c>
      <c r="D1431" s="0" t="inlineStr">
        <is>
          <t>'128797</t>
        </is>
      </c>
      <c r="E1431" s="0" t="inlineStr">
        <is>
          <t>DRK VEST M BK:128797A-S</t>
        </is>
      </c>
      <c r="F1431" s="0" t="inlineStr">
        <is>
          <t>'817128797046</t>
        </is>
      </c>
      <c r="G1431" s="0" t="inlineStr">
        <is>
          <t>MENS</t>
        </is>
      </c>
      <c r="H1431" s="0" t="inlineStr">
        <is>
          <t>S</t>
        </is>
      </c>
      <c r="I1431" s="0">
        <v>44.99</v>
      </c>
      <c r="J1431" s="0">
        <v>1</v>
      </c>
    </row>
    <row r="1432" spans="1:10" customHeight="0">
      <c r="A1432" s="0">
        <f>HYPERLINK("https://dl.dropboxusercontent.com/scl/fi/y8q8ebqz0r7llnahi3ouv/reversiblevesttcbversion-0485018.jpg?rlkey=edyjy8cs008y9zw622ri67bdq&amp;dl=0","Click to download Image")</f>
      </c>
      <c r="B1432" s="0">
        <f>HYPERLINK("https://dl.dropboxusercontent.com/scl/fi/6ssdywp835exp4vyy2x0o/mens-jackets-size-chartsreversible.jpg?rlkey=2z80my7w47xwwcfaqfi97urbu&amp;dl=0","Click to download SizeChart")</f>
      </c>
      <c r="C1432" s="0" t="inlineStr">
        <is>
          <t>Ridley Reversible Men's Vest</t>
        </is>
      </c>
      <c r="D1432" s="0" t="inlineStr">
        <is>
          <t>'128797</t>
        </is>
      </c>
      <c r="E1432" s="0" t="inlineStr">
        <is>
          <t>DRK VEST M BK:128797B-M</t>
        </is>
      </c>
      <c r="F1432" s="0" t="inlineStr">
        <is>
          <t>'817128797053</t>
        </is>
      </c>
      <c r="G1432" s="0" t="inlineStr">
        <is>
          <t>MENS</t>
        </is>
      </c>
      <c r="H1432" s="0" t="inlineStr">
        <is>
          <t>M</t>
        </is>
      </c>
      <c r="I1432" s="0">
        <v>44.99</v>
      </c>
      <c r="J1432" s="0">
        <v>2</v>
      </c>
    </row>
    <row r="1433" spans="1:10" customHeight="0">
      <c r="A1433" s="0">
        <f>HYPERLINK("https://dl.dropboxusercontent.com/scl/fi/nv88muasbrtbqpx7yg0jt/140866.jpg?rlkey=v4cfrrojoxk0u2z4tna23ded1&amp;dl=0","Click to download Image")</f>
      </c>
      <c r="C1433" s="0" t="inlineStr">
        <is>
          <t>Cersei Cuffed Men's Beanie</t>
        </is>
      </c>
      <c r="D1433" s="0" t="inlineStr">
        <is>
          <t>'140866</t>
        </is>
      </c>
      <c r="E1433" s="0" t="inlineStr">
        <is>
          <t>ISU CERSEI M RD:140866</t>
        </is>
      </c>
      <c r="F1433" s="0" t="inlineStr">
        <is>
          <t>'701140866012</t>
        </is>
      </c>
      <c r="G1433" s="0" t="inlineStr">
        <is>
          <t>MENS</t>
        </is>
      </c>
      <c r="H1433" s="0" t="inlineStr">
        <is>
          <t>ADULT</t>
        </is>
      </c>
      <c r="I1433" s="0">
        <v>24.99</v>
      </c>
      <c r="J1433" s="0">
        <v>630</v>
      </c>
    </row>
    <row r="1434" spans="1:10" customHeight="0">
      <c r="A1434" s="0">
        <f>HYPERLINK("https://dl.dropboxusercontent.com/scl/fi/u2qwead2rvujrlk37u83k/123404-af.jpg?rlkey=mahp5hxtwhse2s9mteiw7p5pf&amp;dl=0","Click to download Image")</f>
      </c>
      <c r="C1434" s="0" t="inlineStr">
        <is>
          <t>Rick Men's Beanie</t>
        </is>
      </c>
      <c r="D1434" s="0" t="inlineStr">
        <is>
          <t>'123404</t>
        </is>
      </c>
      <c r="E1434" s="0" t="inlineStr">
        <is>
          <t>UNI RICK PE:123404</t>
        </is>
      </c>
      <c r="F1434" s="0" t="inlineStr">
        <is>
          <t>'702123404016</t>
        </is>
      </c>
      <c r="G1434" s="0" t="inlineStr">
        <is>
          <t>MENS</t>
        </is>
      </c>
      <c r="H1434" s="0" t="inlineStr">
        <is>
          <t>STANDARD MENS</t>
        </is>
      </c>
      <c r="I1434" s="0">
        <v>19.99</v>
      </c>
      <c r="J1434" s="0">
        <v>47</v>
      </c>
    </row>
    <row r="1435" spans="1:10" customHeight="0">
      <c r="A1435" s="0">
        <f>HYPERLINK("https://dl.dropboxusercontent.com/scl/fi/9kv9q1d4v3avsvn1tadt2/153088-ia-champion-womens-polo-f.jpg?rlkey=jhkghgk6ghc90ys4jul4tupid&amp;dl=0","Click to download Image")</f>
      </c>
      <c r="B1435" s="0">
        <f>HYPERLINK("https://dl.dropboxusercontent.com/scl/fi/0ui82dczx0wuq1qy6llyh/womens-polo-size-chartsfleet.jpg?rlkey=uyqgnoz9ua16x09d1eti2wof4&amp;dl=0","Click to download SizeChart")</f>
      </c>
      <c r="C1435" s="0" t="inlineStr">
        <is>
          <t>Fast Break Fleet Women's Polo</t>
        </is>
      </c>
      <c r="D1435" s="0" t="inlineStr">
        <is>
          <t>'153088</t>
        </is>
      </c>
      <c r="E1435" s="0" t="inlineStr">
        <is>
          <t>IOWA FLEET W BK:153088A-S</t>
        </is>
      </c>
      <c r="F1435" s="0" t="inlineStr">
        <is>
          <t>'800153088043</t>
        </is>
      </c>
      <c r="G1435" s="0" t="inlineStr">
        <is>
          <t>WOMENS</t>
        </is>
      </c>
      <c r="H1435" s="0" t="inlineStr">
        <is>
          <t>S</t>
        </is>
      </c>
      <c r="I1435" s="0">
        <v>75</v>
      </c>
      <c r="J1435" s="0">
        <v>0</v>
      </c>
    </row>
    <row r="1436" spans="1:10" customHeight="0">
      <c r="A1436" s="0">
        <f>HYPERLINK("https://dl.dropboxusercontent.com/scl/fi/9kv9q1d4v3avsvn1tadt2/153088-ia-champion-womens-polo-f.jpg?rlkey=jhkghgk6ghc90ys4jul4tupid&amp;dl=0","Click to download Image")</f>
      </c>
      <c r="B1436" s="0">
        <f>HYPERLINK("https://dl.dropboxusercontent.com/scl/fi/0ui82dczx0wuq1qy6llyh/womens-polo-size-chartsfleet.jpg?rlkey=uyqgnoz9ua16x09d1eti2wof4&amp;dl=0","Click to download SizeChart")</f>
      </c>
      <c r="C1436" s="0" t="inlineStr">
        <is>
          <t>Fast Break Fleet Women's Polo</t>
        </is>
      </c>
      <c r="D1436" s="0" t="inlineStr">
        <is>
          <t>'153088</t>
        </is>
      </c>
      <c r="E1436" s="0" t="inlineStr">
        <is>
          <t>IOWA FLEET W BK:153088B-M</t>
        </is>
      </c>
      <c r="F1436" s="0" t="inlineStr">
        <is>
          <t>'800153088050</t>
        </is>
      </c>
      <c r="G1436" s="0" t="inlineStr">
        <is>
          <t>WOMENS</t>
        </is>
      </c>
      <c r="H1436" s="0" t="inlineStr">
        <is>
          <t>M</t>
        </is>
      </c>
      <c r="I1436" s="0">
        <v>75</v>
      </c>
      <c r="J1436" s="0">
        <v>0</v>
      </c>
    </row>
    <row r="1437" spans="1:10" customHeight="0">
      <c r="A1437" s="0">
        <f>HYPERLINK("https://dl.dropboxusercontent.com/scl/fi/9kv9q1d4v3avsvn1tadt2/153088-ia-champion-womens-polo-f.jpg?rlkey=jhkghgk6ghc90ys4jul4tupid&amp;dl=0","Click to download Image")</f>
      </c>
      <c r="B1437" s="0">
        <f>HYPERLINK("https://dl.dropboxusercontent.com/scl/fi/0ui82dczx0wuq1qy6llyh/womens-polo-size-chartsfleet.jpg?rlkey=uyqgnoz9ua16x09d1eti2wof4&amp;dl=0","Click to download SizeChart")</f>
      </c>
      <c r="C1437" s="0" t="inlineStr">
        <is>
          <t>Fast Break Fleet Women's Polo</t>
        </is>
      </c>
      <c r="D1437" s="0" t="inlineStr">
        <is>
          <t>'153088</t>
        </is>
      </c>
      <c r="E1437" s="0" t="inlineStr">
        <is>
          <t>IOWA FLEET W BK:153088C-L</t>
        </is>
      </c>
      <c r="F1437" s="0" t="inlineStr">
        <is>
          <t>'800153088067</t>
        </is>
      </c>
      <c r="G1437" s="0" t="inlineStr">
        <is>
          <t>WOMENS</t>
        </is>
      </c>
      <c r="H1437" s="0" t="inlineStr">
        <is>
          <t>L</t>
        </is>
      </c>
      <c r="I1437" s="0">
        <v>75</v>
      </c>
      <c r="J1437" s="0">
        <v>3</v>
      </c>
    </row>
    <row r="1438" spans="1:10" customHeight="0">
      <c r="A1438" s="0">
        <f>HYPERLINK("https://dl.dropboxusercontent.com/scl/fi/9kv9q1d4v3avsvn1tadt2/153088-ia-champion-womens-polo-f.jpg?rlkey=jhkghgk6ghc90ys4jul4tupid&amp;dl=0","Click to download Image")</f>
      </c>
      <c r="B1438" s="0">
        <f>HYPERLINK("https://dl.dropboxusercontent.com/scl/fi/0ui82dczx0wuq1qy6llyh/womens-polo-size-chartsfleet.jpg?rlkey=uyqgnoz9ua16x09d1eti2wof4&amp;dl=0","Click to download SizeChart")</f>
      </c>
      <c r="C1438" s="0" t="inlineStr">
        <is>
          <t>Fast Break Fleet Women's Polo</t>
        </is>
      </c>
      <c r="D1438" s="0" t="inlineStr">
        <is>
          <t>'153088</t>
        </is>
      </c>
      <c r="E1438" s="0" t="inlineStr">
        <is>
          <t>IOWA FLEET W BK:153088D-XL</t>
        </is>
      </c>
      <c r="F1438" s="0" t="inlineStr">
        <is>
          <t>'800153088074</t>
        </is>
      </c>
      <c r="G1438" s="0" t="inlineStr">
        <is>
          <t>WOMENS</t>
        </is>
      </c>
      <c r="H1438" s="0" t="inlineStr">
        <is>
          <t>XL</t>
        </is>
      </c>
      <c r="I1438" s="0">
        <v>75</v>
      </c>
      <c r="J1438" s="0">
        <v>4</v>
      </c>
    </row>
    <row r="1439" spans="1:10" customHeight="0">
      <c r="A1439" s="0">
        <f>HYPERLINK("https://dl.dropboxusercontent.com/scl/fi/9kv9q1d4v3avsvn1tadt2/153088-ia-champion-womens-polo-f.jpg?rlkey=jhkghgk6ghc90ys4jul4tupid&amp;dl=0","Click to download Image")</f>
      </c>
      <c r="B1439" s="0">
        <f>HYPERLINK("https://dl.dropboxusercontent.com/scl/fi/0ui82dczx0wuq1qy6llyh/womens-polo-size-chartsfleet.jpg?rlkey=uyqgnoz9ua16x09d1eti2wof4&amp;dl=0","Click to download SizeChart")</f>
      </c>
      <c r="C1439" s="0" t="inlineStr">
        <is>
          <t>Fast Break Fleet Women's Polo</t>
        </is>
      </c>
      <c r="D1439" s="0" t="inlineStr">
        <is>
          <t>'153088</t>
        </is>
      </c>
      <c r="E1439" s="0" t="inlineStr">
        <is>
          <t>IOWA FLEET W BK:153088E-2XL</t>
        </is>
      </c>
      <c r="F1439" s="0" t="inlineStr">
        <is>
          <t>'800153088081</t>
        </is>
      </c>
      <c r="G1439" s="0" t="inlineStr">
        <is>
          <t>WOMENS</t>
        </is>
      </c>
      <c r="H1439" s="0" t="inlineStr">
        <is>
          <t>2XL</t>
        </is>
      </c>
      <c r="I1439" s="0">
        <v>75</v>
      </c>
      <c r="J1439" s="0">
        <v>3</v>
      </c>
    </row>
    <row r="1440" spans="1:10" customHeight="0">
      <c r="A1440" s="0">
        <f>HYPERLINK("https://dl.dropboxusercontent.com/scl/fi/9kv9q1d4v3avsvn1tadt2/153088-ia-champion-womens-polo-f.jpg?rlkey=jhkghgk6ghc90ys4jul4tupid&amp;dl=0","Click to download Image")</f>
      </c>
      <c r="B1440" s="0">
        <f>HYPERLINK("https://dl.dropboxusercontent.com/scl/fi/0ui82dczx0wuq1qy6llyh/womens-polo-size-chartsfleet.jpg?rlkey=uyqgnoz9ua16x09d1eti2wof4&amp;dl=0","Click to download SizeChart")</f>
      </c>
      <c r="C1440" s="0" t="inlineStr">
        <is>
          <t>Fast Break Fleet Women's Polo</t>
        </is>
      </c>
      <c r="D1440" s="0" t="inlineStr">
        <is>
          <t>'153088</t>
        </is>
      </c>
      <c r="E1440" s="0" t="inlineStr">
        <is>
          <t>IOWA FLEET W BK:153088F-3XL</t>
        </is>
      </c>
      <c r="F1440" s="0" t="inlineStr">
        <is>
          <t>'800153088098</t>
        </is>
      </c>
      <c r="G1440" s="0" t="inlineStr">
        <is>
          <t>WOMENS</t>
        </is>
      </c>
      <c r="H1440" s="0" t="inlineStr">
        <is>
          <t>3XL</t>
        </is>
      </c>
      <c r="I1440" s="0">
        <v>75</v>
      </c>
      <c r="J1440" s="0">
        <v>2</v>
      </c>
    </row>
    <row r="1441" spans="1:10" customHeight="0">
      <c r="A1441" s="0">
        <f>HYPERLINK("https://dl.dropboxusercontent.com/scl/fi/j8wr6c44i0aok46ofr2tq/121122-f.jpg?rlkey=sqxfqrtnbqc6q0b2gfcyinb5o&amp;dl=0","Click to download Image")</f>
      </c>
      <c r="B1441" s="0">
        <f>HYPERLINK("https://dl.dropboxusercontent.com/scl/fi/w4gcvha54djy47kfp7ulk/womens-pullover-size-chartskinsley.jpg?rlkey=nxisakkvztxedjoxrucxcmdok&amp;dl=0","Click to download SizeChart")</f>
      </c>
      <c r="C1441" s="0" t="inlineStr">
        <is>
          <t>Kinsley Women's Sherpa Pullover</t>
        </is>
      </c>
      <c r="D1441" s="0" t="inlineStr">
        <is>
          <t>'121122</t>
        </is>
      </c>
      <c r="E1441" s="0" t="inlineStr">
        <is>
          <t>IOWA KINSLE W FROSTED BLACK:121122A-S</t>
        </is>
      </c>
      <c r="F1441" s="0" t="inlineStr">
        <is>
          <t>'800121122045</t>
        </is>
      </c>
      <c r="G1441" s="0" t="inlineStr">
        <is>
          <t>WOMENS</t>
        </is>
      </c>
      <c r="H1441" s="0" t="inlineStr">
        <is>
          <t>S</t>
        </is>
      </c>
      <c r="I1441" s="0">
        <v>59.99</v>
      </c>
      <c r="J1441" s="0">
        <v>4</v>
      </c>
    </row>
    <row r="1442" spans="1:10" customHeight="0">
      <c r="A1442" s="0">
        <f>HYPERLINK("https://dl.dropboxusercontent.com/scl/fi/j8wr6c44i0aok46ofr2tq/121122-f.jpg?rlkey=sqxfqrtnbqc6q0b2gfcyinb5o&amp;dl=0","Click to download Image")</f>
      </c>
      <c r="B1442" s="0">
        <f>HYPERLINK("https://dl.dropboxusercontent.com/scl/fi/w4gcvha54djy47kfp7ulk/womens-pullover-size-chartskinsley.jpg?rlkey=nxisakkvztxedjoxrucxcmdok&amp;dl=0","Click to download SizeChart")</f>
      </c>
      <c r="C1442" s="0" t="inlineStr">
        <is>
          <t>Kinsley Women's Sherpa Pullover</t>
        </is>
      </c>
      <c r="D1442" s="0" t="inlineStr">
        <is>
          <t>'121122</t>
        </is>
      </c>
      <c r="E1442" s="0" t="inlineStr">
        <is>
          <t>IOWA KINSLE W FROSTED BLACK:121122B-M</t>
        </is>
      </c>
      <c r="F1442" s="0" t="inlineStr">
        <is>
          <t>'800121122052</t>
        </is>
      </c>
      <c r="G1442" s="0" t="inlineStr">
        <is>
          <t>WOMENS</t>
        </is>
      </c>
      <c r="H1442" s="0" t="inlineStr">
        <is>
          <t>M</t>
        </is>
      </c>
      <c r="I1442" s="0">
        <v>59.99</v>
      </c>
      <c r="J1442" s="0">
        <v>24</v>
      </c>
    </row>
    <row r="1443" spans="1:10" customHeight="0">
      <c r="A1443" s="0">
        <f>HYPERLINK("https://dl.dropboxusercontent.com/scl/fi/j8wr6c44i0aok46ofr2tq/121122-f.jpg?rlkey=sqxfqrtnbqc6q0b2gfcyinb5o&amp;dl=0","Click to download Image")</f>
      </c>
      <c r="B1443" s="0">
        <f>HYPERLINK("https://dl.dropboxusercontent.com/scl/fi/w4gcvha54djy47kfp7ulk/womens-pullover-size-chartskinsley.jpg?rlkey=nxisakkvztxedjoxrucxcmdok&amp;dl=0","Click to download SizeChart")</f>
      </c>
      <c r="C1443" s="0" t="inlineStr">
        <is>
          <t>Kinsley Women's Sherpa Pullover</t>
        </is>
      </c>
      <c r="D1443" s="0" t="inlineStr">
        <is>
          <t>'121122</t>
        </is>
      </c>
      <c r="E1443" s="0" t="inlineStr">
        <is>
          <t>IOWA KINSLE W FROSTED BLACK:121122C-L</t>
        </is>
      </c>
      <c r="F1443" s="0" t="inlineStr">
        <is>
          <t>'800121122069</t>
        </is>
      </c>
      <c r="G1443" s="0" t="inlineStr">
        <is>
          <t>WOMENS</t>
        </is>
      </c>
      <c r="H1443" s="0" t="inlineStr">
        <is>
          <t>L</t>
        </is>
      </c>
      <c r="I1443" s="0">
        <v>59.99</v>
      </c>
      <c r="J1443" s="0">
        <v>25</v>
      </c>
    </row>
    <row r="1444" spans="1:10" customHeight="0">
      <c r="A1444" s="0">
        <f>HYPERLINK("https://dl.dropboxusercontent.com/scl/fi/j8wr6c44i0aok46ofr2tq/121122-f.jpg?rlkey=sqxfqrtnbqc6q0b2gfcyinb5o&amp;dl=0","Click to download Image")</f>
      </c>
      <c r="B1444" s="0">
        <f>HYPERLINK("https://dl.dropboxusercontent.com/scl/fi/w4gcvha54djy47kfp7ulk/womens-pullover-size-chartskinsley.jpg?rlkey=nxisakkvztxedjoxrucxcmdok&amp;dl=0","Click to download SizeChart")</f>
      </c>
      <c r="C1444" s="0" t="inlineStr">
        <is>
          <t>Kinsley Women's Sherpa Pullover</t>
        </is>
      </c>
      <c r="D1444" s="0" t="inlineStr">
        <is>
          <t>'121122</t>
        </is>
      </c>
      <c r="E1444" s="0" t="inlineStr">
        <is>
          <t>IOWA KINSLE W FROSTED BLACK:121122D-XL</t>
        </is>
      </c>
      <c r="F1444" s="0" t="inlineStr">
        <is>
          <t>'800121122076</t>
        </is>
      </c>
      <c r="G1444" s="0" t="inlineStr">
        <is>
          <t>WOMENS</t>
        </is>
      </c>
      <c r="H1444" s="0" t="inlineStr">
        <is>
          <t>XL</t>
        </is>
      </c>
      <c r="I1444" s="0">
        <v>59.99</v>
      </c>
      <c r="J1444" s="0">
        <v>6</v>
      </c>
    </row>
    <row r="1445" spans="1:10" customHeight="0">
      <c r="A1445" s="0">
        <f>HYPERLINK("https://dl.dropboxusercontent.com/scl/fi/j8wr6c44i0aok46ofr2tq/121122-f.jpg?rlkey=sqxfqrtnbqc6q0b2gfcyinb5o&amp;dl=0","Click to download Image")</f>
      </c>
      <c r="B1445" s="0">
        <f>HYPERLINK("https://dl.dropboxusercontent.com/scl/fi/w4gcvha54djy47kfp7ulk/womens-pullover-size-chartskinsley.jpg?rlkey=nxisakkvztxedjoxrucxcmdok&amp;dl=0","Click to download SizeChart")</f>
      </c>
      <c r="C1445" s="0" t="inlineStr">
        <is>
          <t>Kinsley Women's Sherpa Pullover</t>
        </is>
      </c>
      <c r="D1445" s="0" t="inlineStr">
        <is>
          <t>'121122</t>
        </is>
      </c>
      <c r="E1445" s="0" t="inlineStr">
        <is>
          <t>IOWA KINSLE W FROSTED BLACK:121122E-2XL</t>
        </is>
      </c>
      <c r="F1445" s="0" t="inlineStr">
        <is>
          <t>'800121122083</t>
        </is>
      </c>
      <c r="G1445" s="0" t="inlineStr">
        <is>
          <t>WOMENS</t>
        </is>
      </c>
      <c r="H1445" s="0" t="inlineStr">
        <is>
          <t>2XL</t>
        </is>
      </c>
      <c r="I1445" s="0">
        <v>61.99</v>
      </c>
      <c r="J1445" s="0">
        <v>4</v>
      </c>
    </row>
    <row r="1446" spans="1:10" customHeight="0">
      <c r="A1446" s="0">
        <f>HYPERLINK("https://dl.dropboxusercontent.com/scl/fi/j8wr6c44i0aok46ofr2tq/121122-f.jpg?rlkey=sqxfqrtnbqc6q0b2gfcyinb5o&amp;dl=0","Click to download Image")</f>
      </c>
      <c r="B1446" s="0">
        <f>HYPERLINK("https://dl.dropboxusercontent.com/scl/fi/w4gcvha54djy47kfp7ulk/womens-pullover-size-chartskinsley.jpg?rlkey=nxisakkvztxedjoxrucxcmdok&amp;dl=0","Click to download SizeChart")</f>
      </c>
      <c r="C1446" s="0" t="inlineStr">
        <is>
          <t>Kinsley Women's Sherpa Pullover</t>
        </is>
      </c>
      <c r="D1446" s="0" t="inlineStr">
        <is>
          <t>'121122</t>
        </is>
      </c>
      <c r="E1446" s="0" t="inlineStr">
        <is>
          <t>IOWA KINSLE W FROSTED BLACK:121122F-3XL</t>
        </is>
      </c>
      <c r="F1446" s="0" t="inlineStr">
        <is>
          <t>'800121122090</t>
        </is>
      </c>
      <c r="G1446" s="0" t="inlineStr">
        <is>
          <t>WOMENS</t>
        </is>
      </c>
      <c r="H1446" s="0" t="inlineStr">
        <is>
          <t>3XL</t>
        </is>
      </c>
      <c r="I1446" s="0">
        <v>61.99</v>
      </c>
      <c r="J1446" s="0">
        <v>4</v>
      </c>
    </row>
    <row r="1447" spans="1:10" customHeight="0">
      <c r="A1447" s="0">
        <f>HYPERLINK("https://dl.dropboxusercontent.com/scl/fi/j8wr6c44i0aok46ofr2tq/121122-f.jpg?rlkey=sqxfqrtnbqc6q0b2gfcyinb5o&amp;dl=0","Click to download Image")</f>
      </c>
      <c r="B1447" s="0">
        <f>HYPERLINK("https://dl.dropboxusercontent.com/scl/fi/w4gcvha54djy47kfp7ulk/womens-pullover-size-chartskinsley.jpg?rlkey=nxisakkvztxedjoxrucxcmdok&amp;dl=0","Click to download SizeChart")</f>
      </c>
      <c r="C1447" s="0" t="inlineStr">
        <is>
          <t>Kinsley Women's Sherpa Pullover</t>
        </is>
      </c>
      <c r="D1447" s="0" t="inlineStr">
        <is>
          <t>'121122</t>
        </is>
      </c>
      <c r="E1447" s="0" t="inlineStr">
        <is>
          <t>IOWA KINSLE W FROSTED BLACK 12 PACK:121122Z-12PK</t>
        </is>
      </c>
      <c r="F1447" s="0" t="inlineStr">
        <is>
          <t>'800121122991</t>
        </is>
      </c>
      <c r="G1447" s="0" t="inlineStr">
        <is>
          <t>WOMENS</t>
        </is>
      </c>
      <c r="H1447" s="0" t="inlineStr">
        <is>
          <t>12 PACK</t>
        </is>
      </c>
      <c r="I1447" s="0">
        <v>576</v>
      </c>
      <c r="J1447" s="0">
        <v>0</v>
      </c>
    </row>
    <row r="1448" spans="1:10" customHeight="0">
      <c r="A1448" s="0">
        <f>HYPERLINK("https://dl.dropboxusercontent.com/scl/fi/onvdmhllb8h2ek073i39v/121121f.jpg?rlkey=hvfht50114xpqmbn1jewdngac&amp;dl=0","Click to download Image")</f>
      </c>
      <c r="B1448" s="0">
        <f>HYPERLINK("https://dl.dropboxusercontent.com/scl/fi/w4gcvha54djy47kfp7ulk/womens-pullover-size-chartskinsley.jpg?rlkey=nxisakkvztxedjoxrucxcmdok&amp;dl=0","Click to download SizeChart")</f>
      </c>
      <c r="C1448" s="0" t="inlineStr">
        <is>
          <t>Kinsley Women's Sherpa Pullover</t>
        </is>
      </c>
      <c r="D1448" s="0" t="inlineStr">
        <is>
          <t>'121121</t>
        </is>
      </c>
      <c r="E1448" s="0" t="inlineStr">
        <is>
          <t>ISU KINSLE W FROSTED BLACK:121121A-S</t>
        </is>
      </c>
      <c r="F1448" s="0" t="inlineStr">
        <is>
          <t>'801121121045</t>
        </is>
      </c>
      <c r="G1448" s="0" t="inlineStr">
        <is>
          <t>WOMENS</t>
        </is>
      </c>
      <c r="H1448" s="0" t="inlineStr">
        <is>
          <t>S</t>
        </is>
      </c>
      <c r="I1448" s="0">
        <v>59.99</v>
      </c>
      <c r="J1448" s="0">
        <v>0</v>
      </c>
    </row>
    <row r="1449" spans="1:10" customHeight="0">
      <c r="A1449" s="0">
        <f>HYPERLINK("https://dl.dropboxusercontent.com/scl/fi/onvdmhllb8h2ek073i39v/121121f.jpg?rlkey=hvfht50114xpqmbn1jewdngac&amp;dl=0","Click to download Image")</f>
      </c>
      <c r="B1449" s="0">
        <f>HYPERLINK("https://dl.dropboxusercontent.com/scl/fi/w4gcvha54djy47kfp7ulk/womens-pullover-size-chartskinsley.jpg?rlkey=nxisakkvztxedjoxrucxcmdok&amp;dl=0","Click to download SizeChart")</f>
      </c>
      <c r="C1449" s="0" t="inlineStr">
        <is>
          <t>Kinsley Women's Sherpa Pullover</t>
        </is>
      </c>
      <c r="D1449" s="0" t="inlineStr">
        <is>
          <t>'121121</t>
        </is>
      </c>
      <c r="E1449" s="0" t="inlineStr">
        <is>
          <t>ISU KINSLE W FROSTED BLACK:121121B-M</t>
        </is>
      </c>
      <c r="F1449" s="0" t="inlineStr">
        <is>
          <t>'801121121052</t>
        </is>
      </c>
      <c r="G1449" s="0" t="inlineStr">
        <is>
          <t>WOMENS</t>
        </is>
      </c>
      <c r="H1449" s="0" t="inlineStr">
        <is>
          <t>M</t>
        </is>
      </c>
      <c r="I1449" s="0">
        <v>59.99</v>
      </c>
      <c r="J1449" s="0">
        <v>5</v>
      </c>
    </row>
    <row r="1450" spans="1:10" customHeight="0">
      <c r="A1450" s="0">
        <f>HYPERLINK("https://dl.dropboxusercontent.com/scl/fi/onvdmhllb8h2ek073i39v/121121f.jpg?rlkey=hvfht50114xpqmbn1jewdngac&amp;dl=0","Click to download Image")</f>
      </c>
      <c r="B1450" s="0">
        <f>HYPERLINK("https://dl.dropboxusercontent.com/scl/fi/w4gcvha54djy47kfp7ulk/womens-pullover-size-chartskinsley.jpg?rlkey=nxisakkvztxedjoxrucxcmdok&amp;dl=0","Click to download SizeChart")</f>
      </c>
      <c r="C1450" s="0" t="inlineStr">
        <is>
          <t>Kinsley Women's Sherpa Pullover</t>
        </is>
      </c>
      <c r="D1450" s="0" t="inlineStr">
        <is>
          <t>'121121</t>
        </is>
      </c>
      <c r="E1450" s="0" t="inlineStr">
        <is>
          <t>ISU KINSLE W FROSTED BLACK:121121C-L</t>
        </is>
      </c>
      <c r="F1450" s="0" t="inlineStr">
        <is>
          <t>'801121121069</t>
        </is>
      </c>
      <c r="G1450" s="0" t="inlineStr">
        <is>
          <t>WOMENS</t>
        </is>
      </c>
      <c r="H1450" s="0" t="inlineStr">
        <is>
          <t>L</t>
        </is>
      </c>
      <c r="I1450" s="0">
        <v>59.99</v>
      </c>
      <c r="J1450" s="0">
        <v>0</v>
      </c>
    </row>
    <row r="1451" spans="1:10" customHeight="0">
      <c r="A1451" s="0">
        <f>HYPERLINK("https://dl.dropboxusercontent.com/scl/fi/onvdmhllb8h2ek073i39v/121121f.jpg?rlkey=hvfht50114xpqmbn1jewdngac&amp;dl=0","Click to download Image")</f>
      </c>
      <c r="B1451" s="0">
        <f>HYPERLINK("https://dl.dropboxusercontent.com/scl/fi/w4gcvha54djy47kfp7ulk/womens-pullover-size-chartskinsley.jpg?rlkey=nxisakkvztxedjoxrucxcmdok&amp;dl=0","Click to download SizeChart")</f>
      </c>
      <c r="C1451" s="0" t="inlineStr">
        <is>
          <t>Kinsley Women's Sherpa Pullover</t>
        </is>
      </c>
      <c r="D1451" s="0" t="inlineStr">
        <is>
          <t>'121121</t>
        </is>
      </c>
      <c r="E1451" s="0" t="inlineStr">
        <is>
          <t>ISU KINSLE W FROSTED BLACK:121121D-XL</t>
        </is>
      </c>
      <c r="F1451" s="0" t="inlineStr">
        <is>
          <t>'801121121076</t>
        </is>
      </c>
      <c r="G1451" s="0" t="inlineStr">
        <is>
          <t>WOMENS</t>
        </is>
      </c>
      <c r="H1451" s="0" t="inlineStr">
        <is>
          <t>XL</t>
        </is>
      </c>
      <c r="I1451" s="0">
        <v>59.99</v>
      </c>
      <c r="J1451" s="0">
        <v>0</v>
      </c>
    </row>
    <row r="1452" spans="1:10" customHeight="0">
      <c r="A1452" s="0">
        <f>HYPERLINK("https://dl.dropboxusercontent.com/scl/fi/onvdmhllb8h2ek073i39v/121121f.jpg?rlkey=hvfht50114xpqmbn1jewdngac&amp;dl=0","Click to download Image")</f>
      </c>
      <c r="B1452" s="0">
        <f>HYPERLINK("https://dl.dropboxusercontent.com/scl/fi/w4gcvha54djy47kfp7ulk/womens-pullover-size-chartskinsley.jpg?rlkey=nxisakkvztxedjoxrucxcmdok&amp;dl=0","Click to download SizeChart")</f>
      </c>
      <c r="C1452" s="0" t="inlineStr">
        <is>
          <t>Kinsley Women's Sherpa Pullover</t>
        </is>
      </c>
      <c r="D1452" s="0" t="inlineStr">
        <is>
          <t>'121121</t>
        </is>
      </c>
      <c r="E1452" s="0" t="inlineStr">
        <is>
          <t>ISU KINSLE W FROSTED BLACK:121121E-2XL</t>
        </is>
      </c>
      <c r="F1452" s="0" t="inlineStr">
        <is>
          <t>'801121121083</t>
        </is>
      </c>
      <c r="G1452" s="0" t="inlineStr">
        <is>
          <t>WOMENS</t>
        </is>
      </c>
      <c r="H1452" s="0" t="inlineStr">
        <is>
          <t>2XL</t>
        </is>
      </c>
      <c r="I1452" s="0">
        <v>61.99</v>
      </c>
      <c r="J1452" s="0">
        <v>0</v>
      </c>
    </row>
    <row r="1453" spans="1:10" customHeight="0">
      <c r="A1453" s="0">
        <f>HYPERLINK("https://dl.dropboxusercontent.com/scl/fi/onvdmhllb8h2ek073i39v/121121f.jpg?rlkey=hvfht50114xpqmbn1jewdngac&amp;dl=0","Click to download Image")</f>
      </c>
      <c r="B1453" s="0">
        <f>HYPERLINK("https://dl.dropboxusercontent.com/scl/fi/w4gcvha54djy47kfp7ulk/womens-pullover-size-chartskinsley.jpg?rlkey=nxisakkvztxedjoxrucxcmdok&amp;dl=0","Click to download SizeChart")</f>
      </c>
      <c r="C1453" s="0" t="inlineStr">
        <is>
          <t>Kinsley Women's Sherpa Pullover</t>
        </is>
      </c>
      <c r="D1453" s="0" t="inlineStr">
        <is>
          <t>'121121</t>
        </is>
      </c>
      <c r="E1453" s="0" t="inlineStr">
        <is>
          <t>ISU KINSLE W FROSTED BLACK:121121F-3XL</t>
        </is>
      </c>
      <c r="F1453" s="0" t="inlineStr">
        <is>
          <t>'801121121090</t>
        </is>
      </c>
      <c r="G1453" s="0" t="inlineStr">
        <is>
          <t>WOMENS</t>
        </is>
      </c>
      <c r="H1453" s="0" t="inlineStr">
        <is>
          <t>3XL</t>
        </is>
      </c>
      <c r="I1453" s="0">
        <v>61.99</v>
      </c>
      <c r="J1453" s="0">
        <v>0</v>
      </c>
    </row>
    <row r="1454" spans="1:10" customHeight="0">
      <c r="A1454" s="0">
        <f>HYPERLINK("https://dl.dropboxusercontent.com/scl/fi/onvdmhllb8h2ek073i39v/121121f.jpg?rlkey=hvfht50114xpqmbn1jewdngac&amp;dl=0","Click to download Image")</f>
      </c>
      <c r="B1454" s="0">
        <f>HYPERLINK("https://dl.dropboxusercontent.com/scl/fi/w4gcvha54djy47kfp7ulk/womens-pullover-size-chartskinsley.jpg?rlkey=nxisakkvztxedjoxrucxcmdok&amp;dl=0","Click to download SizeChart")</f>
      </c>
      <c r="C1454" s="0" t="inlineStr">
        <is>
          <t>Kinsley Women's Sherpa Pullover</t>
        </is>
      </c>
      <c r="D1454" s="0" t="inlineStr">
        <is>
          <t>'121121</t>
        </is>
      </c>
      <c r="E1454" s="0" t="inlineStr">
        <is>
          <t>ISU KINSLE W FROSTED BLACK 12 PACK:121121Z-12PK</t>
        </is>
      </c>
      <c r="F1454" s="0" t="inlineStr">
        <is>
          <t>'801121121991</t>
        </is>
      </c>
      <c r="G1454" s="0" t="inlineStr">
        <is>
          <t>WOMENS</t>
        </is>
      </c>
      <c r="H1454" s="0" t="inlineStr">
        <is>
          <t>12 PACK</t>
        </is>
      </c>
      <c r="I1454" s="0">
        <v>576</v>
      </c>
      <c r="J1454" s="0">
        <v>0</v>
      </c>
    </row>
    <row r="1455" spans="1:10" customHeight="0">
      <c r="A1455" s="0">
        <f>HYPERLINK("https://dl.dropboxusercontent.com/scl/fi/3sq1avnj7hkrkg2ooeii7/kinsley-0240503.jpg?rlkey=8p1l6g8fb1abb2slsdlcp99zs&amp;dl=0","Click to download Image")</f>
      </c>
      <c r="B1455" s="0">
        <f>HYPERLINK("https://dl.dropboxusercontent.com/scl/fi/w4gcvha54djy47kfp7ulk/womens-pullover-size-chartskinsley.jpg?rlkey=nxisakkvztxedjoxrucxcmdok&amp;dl=0","Click to download SizeChart")</f>
      </c>
      <c r="C1455" s="0" t="inlineStr">
        <is>
          <t>Kinsley Women's Sherpa Pullover</t>
        </is>
      </c>
      <c r="D1455" s="0" t="inlineStr">
        <is>
          <t>'123276</t>
        </is>
      </c>
      <c r="E1455" s="0" t="inlineStr">
        <is>
          <t>ISU KINSLE W BK:123276A-S</t>
        </is>
      </c>
      <c r="F1455" s="0" t="inlineStr">
        <is>
          <t>'801123276040</t>
        </is>
      </c>
      <c r="G1455" s="0" t="inlineStr">
        <is>
          <t>WOMENS</t>
        </is>
      </c>
      <c r="H1455" s="0" t="inlineStr">
        <is>
          <t>S</t>
        </is>
      </c>
      <c r="I1455" s="0">
        <v>59.99</v>
      </c>
      <c r="J1455" s="0">
        <v>3</v>
      </c>
    </row>
    <row r="1456" spans="1:10" customHeight="0">
      <c r="A1456" s="0">
        <f>HYPERLINK("https://dl.dropboxusercontent.com/scl/fi/3sq1avnj7hkrkg2ooeii7/kinsley-0240503.jpg?rlkey=8p1l6g8fb1abb2slsdlcp99zs&amp;dl=0","Click to download Image")</f>
      </c>
      <c r="B1456" s="0">
        <f>HYPERLINK("https://dl.dropboxusercontent.com/scl/fi/w4gcvha54djy47kfp7ulk/womens-pullover-size-chartskinsley.jpg?rlkey=nxisakkvztxedjoxrucxcmdok&amp;dl=0","Click to download SizeChart")</f>
      </c>
      <c r="C1456" s="0" t="inlineStr">
        <is>
          <t>Kinsley Women's Sherpa Pullover</t>
        </is>
      </c>
      <c r="D1456" s="0" t="inlineStr">
        <is>
          <t>'123276</t>
        </is>
      </c>
      <c r="E1456" s="0" t="inlineStr">
        <is>
          <t>ISU KINSLE W BK:123276B-M</t>
        </is>
      </c>
      <c r="F1456" s="0" t="inlineStr">
        <is>
          <t>'801123276057</t>
        </is>
      </c>
      <c r="G1456" s="0" t="inlineStr">
        <is>
          <t>WOMENS</t>
        </is>
      </c>
      <c r="H1456" s="0" t="inlineStr">
        <is>
          <t>M</t>
        </is>
      </c>
      <c r="I1456" s="0">
        <v>59.99</v>
      </c>
      <c r="J1456" s="0">
        <v>9</v>
      </c>
    </row>
    <row r="1457" spans="1:10" customHeight="0">
      <c r="A1457" s="0">
        <f>HYPERLINK("https://dl.dropboxusercontent.com/scl/fi/3sq1avnj7hkrkg2ooeii7/kinsley-0240503.jpg?rlkey=8p1l6g8fb1abb2slsdlcp99zs&amp;dl=0","Click to download Image")</f>
      </c>
      <c r="B1457" s="0">
        <f>HYPERLINK("https://dl.dropboxusercontent.com/scl/fi/w4gcvha54djy47kfp7ulk/womens-pullover-size-chartskinsley.jpg?rlkey=nxisakkvztxedjoxrucxcmdok&amp;dl=0","Click to download SizeChart")</f>
      </c>
      <c r="C1457" s="0" t="inlineStr">
        <is>
          <t>Kinsley Women's Sherpa Pullover</t>
        </is>
      </c>
      <c r="D1457" s="0" t="inlineStr">
        <is>
          <t>'123276</t>
        </is>
      </c>
      <c r="E1457" s="0" t="inlineStr">
        <is>
          <t>ISU KINSLE W BK:123276C-L</t>
        </is>
      </c>
      <c r="F1457" s="0" t="inlineStr">
        <is>
          <t>'801123276064</t>
        </is>
      </c>
      <c r="G1457" s="0" t="inlineStr">
        <is>
          <t>WOMENS</t>
        </is>
      </c>
      <c r="H1457" s="0" t="inlineStr">
        <is>
          <t>L</t>
        </is>
      </c>
      <c r="I1457" s="0">
        <v>59.99</v>
      </c>
      <c r="J1457" s="0">
        <v>6</v>
      </c>
    </row>
    <row r="1458" spans="1:10" customHeight="0">
      <c r="A1458" s="0">
        <f>HYPERLINK("https://dl.dropboxusercontent.com/scl/fi/3sq1avnj7hkrkg2ooeii7/kinsley-0240503.jpg?rlkey=8p1l6g8fb1abb2slsdlcp99zs&amp;dl=0","Click to download Image")</f>
      </c>
      <c r="B1458" s="0">
        <f>HYPERLINK("https://dl.dropboxusercontent.com/scl/fi/w4gcvha54djy47kfp7ulk/womens-pullover-size-chartskinsley.jpg?rlkey=nxisakkvztxedjoxrucxcmdok&amp;dl=0","Click to download SizeChart")</f>
      </c>
      <c r="C1458" s="0" t="inlineStr">
        <is>
          <t>Kinsley Women's Sherpa Pullover</t>
        </is>
      </c>
      <c r="D1458" s="0" t="inlineStr">
        <is>
          <t>'123276</t>
        </is>
      </c>
      <c r="E1458" s="0" t="inlineStr">
        <is>
          <t>ISU KINSLE W BK:123276D-XL</t>
        </is>
      </c>
      <c r="F1458" s="0" t="inlineStr">
        <is>
          <t>'801123276071</t>
        </is>
      </c>
      <c r="G1458" s="0" t="inlineStr">
        <is>
          <t>WOMENS</t>
        </is>
      </c>
      <c r="H1458" s="0" t="inlineStr">
        <is>
          <t>XL</t>
        </is>
      </c>
      <c r="I1458" s="0">
        <v>59.99</v>
      </c>
      <c r="J1458" s="0">
        <v>0</v>
      </c>
    </row>
    <row r="1459" spans="1:10" customHeight="0">
      <c r="A1459" s="0">
        <f>HYPERLINK("https://dl.dropboxusercontent.com/scl/fi/3sq1avnj7hkrkg2ooeii7/kinsley-0240503.jpg?rlkey=8p1l6g8fb1abb2slsdlcp99zs&amp;dl=0","Click to download Image")</f>
      </c>
      <c r="B1459" s="0">
        <f>HYPERLINK("https://dl.dropboxusercontent.com/scl/fi/w4gcvha54djy47kfp7ulk/womens-pullover-size-chartskinsley.jpg?rlkey=nxisakkvztxedjoxrucxcmdok&amp;dl=0","Click to download SizeChart")</f>
      </c>
      <c r="C1459" s="0" t="inlineStr">
        <is>
          <t>Kinsley Women's Sherpa Pullover</t>
        </is>
      </c>
      <c r="D1459" s="0" t="inlineStr">
        <is>
          <t>'123276</t>
        </is>
      </c>
      <c r="E1459" s="0" t="inlineStr">
        <is>
          <t>ISU KINSLE W BK:123276E-2XL</t>
        </is>
      </c>
      <c r="F1459" s="0" t="inlineStr">
        <is>
          <t>'801123276088</t>
        </is>
      </c>
      <c r="G1459" s="0" t="inlineStr">
        <is>
          <t>WOMENS</t>
        </is>
      </c>
      <c r="H1459" s="0" t="inlineStr">
        <is>
          <t>2XL</t>
        </is>
      </c>
      <c r="I1459" s="0">
        <v>61.99</v>
      </c>
      <c r="J1459" s="0">
        <v>0</v>
      </c>
    </row>
    <row r="1460" spans="1:10" customHeight="0">
      <c r="A1460" s="0">
        <f>HYPERLINK("https://dl.dropboxusercontent.com/scl/fi/3sq1avnj7hkrkg2ooeii7/kinsley-0240503.jpg?rlkey=8p1l6g8fb1abb2slsdlcp99zs&amp;dl=0","Click to download Image")</f>
      </c>
      <c r="B1460" s="0">
        <f>HYPERLINK("https://dl.dropboxusercontent.com/scl/fi/w4gcvha54djy47kfp7ulk/womens-pullover-size-chartskinsley.jpg?rlkey=nxisakkvztxedjoxrucxcmdok&amp;dl=0","Click to download SizeChart")</f>
      </c>
      <c r="C1460" s="0" t="inlineStr">
        <is>
          <t>Kinsley Women's Sherpa Pullover</t>
        </is>
      </c>
      <c r="D1460" s="0" t="inlineStr">
        <is>
          <t>'123276</t>
        </is>
      </c>
      <c r="E1460" s="0" t="inlineStr">
        <is>
          <t>ISU KINSLE W BK:123276F-3XL</t>
        </is>
      </c>
      <c r="F1460" s="0" t="inlineStr">
        <is>
          <t>'801123276095</t>
        </is>
      </c>
      <c r="G1460" s="0" t="inlineStr">
        <is>
          <t>WOMENS</t>
        </is>
      </c>
      <c r="H1460" s="0" t="inlineStr">
        <is>
          <t>3XL</t>
        </is>
      </c>
      <c r="I1460" s="0">
        <v>61.99</v>
      </c>
      <c r="J1460" s="0">
        <v>0</v>
      </c>
    </row>
    <row r="1461" spans="1:10" customHeight="0">
      <c r="A1461" s="0">
        <f>HYPERLINK("https://dl.dropboxusercontent.com/scl/fi/3sq1avnj7hkrkg2ooeii7/kinsley-0240503.jpg?rlkey=8p1l6g8fb1abb2slsdlcp99zs&amp;dl=0","Click to download Image")</f>
      </c>
      <c r="B1461" s="0">
        <f>HYPERLINK("https://dl.dropboxusercontent.com/scl/fi/w4gcvha54djy47kfp7ulk/womens-pullover-size-chartskinsley.jpg?rlkey=nxisakkvztxedjoxrucxcmdok&amp;dl=0","Click to download SizeChart")</f>
      </c>
      <c r="C1461" s="0" t="inlineStr">
        <is>
          <t>Kinsley Women's Sherpa Pullover</t>
        </is>
      </c>
      <c r="D1461" s="0" t="inlineStr">
        <is>
          <t>'123276</t>
        </is>
      </c>
      <c r="E1461" s="0" t="inlineStr">
        <is>
          <t>ISU KINSLE W BK 12PK:123276Z-12PK</t>
        </is>
      </c>
      <c r="F1461" s="0" t="inlineStr">
        <is>
          <t>'801123276996</t>
        </is>
      </c>
      <c r="G1461" s="0" t="inlineStr">
        <is>
          <t>WOMENS</t>
        </is>
      </c>
      <c r="H1461" s="0" t="inlineStr">
        <is>
          <t>12 PACK</t>
        </is>
      </c>
      <c r="I1461" s="0">
        <v>576</v>
      </c>
      <c r="J1461" s="0">
        <v>0</v>
      </c>
    </row>
    <row r="1462" spans="1:10" customHeight="0">
      <c r="A1462" s="0">
        <f>HYPERLINK("https://dl.dropboxusercontent.com/scl/fi/5k22zs5e4lf37xffo49fa/123509-f.jpg?rlkey=7ns3d4dm82205yxo7gvgzjztb&amp;dl=0","Click to download Image")</f>
      </c>
      <c r="B1462" s="0">
        <f>HYPERLINK("https://dl.dropboxusercontent.com/scl/fi/w4gcvha54djy47kfp7ulk/womens-pullover-size-chartskinsley.jpg?rlkey=nxisakkvztxedjoxrucxcmdok&amp;dl=0","Click to download SizeChart")</f>
      </c>
      <c r="C1462" s="0" t="inlineStr">
        <is>
          <t>Kinsley Women's Sherpa Pullover</t>
        </is>
      </c>
      <c r="D1462" s="0" t="inlineStr">
        <is>
          <t>'123509</t>
        </is>
      </c>
      <c r="E1462" s="0" t="inlineStr">
        <is>
          <t>UNI KINSLE W BK:123509A-S</t>
        </is>
      </c>
      <c r="F1462" s="0" t="inlineStr">
        <is>
          <t>'802123509046</t>
        </is>
      </c>
      <c r="G1462" s="0" t="inlineStr">
        <is>
          <t>WOMENS</t>
        </is>
      </c>
      <c r="H1462" s="0" t="inlineStr">
        <is>
          <t>S</t>
        </is>
      </c>
      <c r="I1462" s="0">
        <v>59.99</v>
      </c>
      <c r="J1462" s="0">
        <v>6</v>
      </c>
    </row>
    <row r="1463" spans="1:10" customHeight="0">
      <c r="A1463" s="0">
        <f>HYPERLINK("https://dl.dropboxusercontent.com/scl/fi/5k22zs5e4lf37xffo49fa/123509-f.jpg?rlkey=7ns3d4dm82205yxo7gvgzjztb&amp;dl=0","Click to download Image")</f>
      </c>
      <c r="B1463" s="0">
        <f>HYPERLINK("https://dl.dropboxusercontent.com/scl/fi/w4gcvha54djy47kfp7ulk/womens-pullover-size-chartskinsley.jpg?rlkey=nxisakkvztxedjoxrucxcmdok&amp;dl=0","Click to download SizeChart")</f>
      </c>
      <c r="C1463" s="0" t="inlineStr">
        <is>
          <t>Kinsley Women's Sherpa Pullover</t>
        </is>
      </c>
      <c r="D1463" s="0" t="inlineStr">
        <is>
          <t>'123509</t>
        </is>
      </c>
      <c r="E1463" s="0" t="inlineStr">
        <is>
          <t>UNI KINSLE W BK:123509B-M</t>
        </is>
      </c>
      <c r="F1463" s="0" t="inlineStr">
        <is>
          <t>'802123509053</t>
        </is>
      </c>
      <c r="G1463" s="0" t="inlineStr">
        <is>
          <t>WOMENS</t>
        </is>
      </c>
      <c r="H1463" s="0" t="inlineStr">
        <is>
          <t>M</t>
        </is>
      </c>
      <c r="I1463" s="0">
        <v>59.99</v>
      </c>
      <c r="J1463" s="0">
        <v>11</v>
      </c>
    </row>
    <row r="1464" spans="1:10" customHeight="0">
      <c r="A1464" s="0">
        <f>HYPERLINK("https://dl.dropboxusercontent.com/scl/fi/5k22zs5e4lf37xffo49fa/123509-f.jpg?rlkey=7ns3d4dm82205yxo7gvgzjztb&amp;dl=0","Click to download Image")</f>
      </c>
      <c r="B1464" s="0">
        <f>HYPERLINK("https://dl.dropboxusercontent.com/scl/fi/w4gcvha54djy47kfp7ulk/womens-pullover-size-chartskinsley.jpg?rlkey=nxisakkvztxedjoxrucxcmdok&amp;dl=0","Click to download SizeChart")</f>
      </c>
      <c r="C1464" s="0" t="inlineStr">
        <is>
          <t>Kinsley Women's Sherpa Pullover</t>
        </is>
      </c>
      <c r="D1464" s="0" t="inlineStr">
        <is>
          <t>'123509</t>
        </is>
      </c>
      <c r="E1464" s="0" t="inlineStr">
        <is>
          <t>UNI KINSLE W BK:123509C-L</t>
        </is>
      </c>
      <c r="F1464" s="0" t="inlineStr">
        <is>
          <t>'802123509060</t>
        </is>
      </c>
      <c r="G1464" s="0" t="inlineStr">
        <is>
          <t>WOMENS</t>
        </is>
      </c>
      <c r="H1464" s="0" t="inlineStr">
        <is>
          <t>L</t>
        </is>
      </c>
      <c r="I1464" s="0">
        <v>59.99</v>
      </c>
      <c r="J1464" s="0">
        <v>11</v>
      </c>
    </row>
    <row r="1465" spans="1:10" customHeight="0">
      <c r="A1465" s="0">
        <f>HYPERLINK("https://dl.dropboxusercontent.com/scl/fi/5k22zs5e4lf37xffo49fa/123509-f.jpg?rlkey=7ns3d4dm82205yxo7gvgzjztb&amp;dl=0","Click to download Image")</f>
      </c>
      <c r="B1465" s="0">
        <f>HYPERLINK("https://dl.dropboxusercontent.com/scl/fi/w4gcvha54djy47kfp7ulk/womens-pullover-size-chartskinsley.jpg?rlkey=nxisakkvztxedjoxrucxcmdok&amp;dl=0","Click to download SizeChart")</f>
      </c>
      <c r="C1465" s="0" t="inlineStr">
        <is>
          <t>Kinsley Women's Sherpa Pullover</t>
        </is>
      </c>
      <c r="D1465" s="0" t="inlineStr">
        <is>
          <t>'123509</t>
        </is>
      </c>
      <c r="E1465" s="0" t="inlineStr">
        <is>
          <t>UNI KINSLE W BK:123509D-XL</t>
        </is>
      </c>
      <c r="F1465" s="0" t="inlineStr">
        <is>
          <t>'802123509077</t>
        </is>
      </c>
      <c r="G1465" s="0" t="inlineStr">
        <is>
          <t>WOMENS</t>
        </is>
      </c>
      <c r="H1465" s="0" t="inlineStr">
        <is>
          <t>XL</t>
        </is>
      </c>
      <c r="I1465" s="0">
        <v>59.99</v>
      </c>
      <c r="J1465" s="0">
        <v>6</v>
      </c>
    </row>
    <row r="1466" spans="1:10" customHeight="0">
      <c r="A1466" s="0">
        <f>HYPERLINK("https://dl.dropboxusercontent.com/scl/fi/5k22zs5e4lf37xffo49fa/123509-f.jpg?rlkey=7ns3d4dm82205yxo7gvgzjztb&amp;dl=0","Click to download Image")</f>
      </c>
      <c r="B1466" s="0">
        <f>HYPERLINK("https://dl.dropboxusercontent.com/scl/fi/w4gcvha54djy47kfp7ulk/womens-pullover-size-chartskinsley.jpg?rlkey=nxisakkvztxedjoxrucxcmdok&amp;dl=0","Click to download SizeChart")</f>
      </c>
      <c r="C1466" s="0" t="inlineStr">
        <is>
          <t>Kinsley Women's Sherpa Pullover</t>
        </is>
      </c>
      <c r="D1466" s="0" t="inlineStr">
        <is>
          <t>'123509</t>
        </is>
      </c>
      <c r="E1466" s="0" t="inlineStr">
        <is>
          <t>UNI KINSLE W BK:123509E-2XL</t>
        </is>
      </c>
      <c r="F1466" s="0" t="inlineStr">
        <is>
          <t>'802123509084</t>
        </is>
      </c>
      <c r="G1466" s="0" t="inlineStr">
        <is>
          <t>WOMENS</t>
        </is>
      </c>
      <c r="H1466" s="0" t="inlineStr">
        <is>
          <t>2XL</t>
        </is>
      </c>
      <c r="I1466" s="0">
        <v>61.99</v>
      </c>
      <c r="J1466" s="0">
        <v>5</v>
      </c>
    </row>
    <row r="1467" spans="1:10" customHeight="0">
      <c r="A1467" s="0">
        <f>HYPERLINK("https://dl.dropboxusercontent.com/scl/fi/5k22zs5e4lf37xffo49fa/123509-f.jpg?rlkey=7ns3d4dm82205yxo7gvgzjztb&amp;dl=0","Click to download Image")</f>
      </c>
      <c r="B1467" s="0">
        <f>HYPERLINK("https://dl.dropboxusercontent.com/scl/fi/w4gcvha54djy47kfp7ulk/womens-pullover-size-chartskinsley.jpg?rlkey=nxisakkvztxedjoxrucxcmdok&amp;dl=0","Click to download SizeChart")</f>
      </c>
      <c r="C1467" s="0" t="inlineStr">
        <is>
          <t>Kinsley Women's Sherpa Pullover</t>
        </is>
      </c>
      <c r="D1467" s="0" t="inlineStr">
        <is>
          <t>'123509</t>
        </is>
      </c>
      <c r="E1467" s="0" t="inlineStr">
        <is>
          <t>UNI KINSLE W BK:123509F-3XL</t>
        </is>
      </c>
      <c r="F1467" s="0" t="inlineStr">
        <is>
          <t>'802123509091</t>
        </is>
      </c>
      <c r="G1467" s="0" t="inlineStr">
        <is>
          <t>WOMENS</t>
        </is>
      </c>
      <c r="H1467" s="0" t="inlineStr">
        <is>
          <t>3XL</t>
        </is>
      </c>
      <c r="I1467" s="0">
        <v>61.99</v>
      </c>
      <c r="J1467" s="0">
        <v>1</v>
      </c>
    </row>
    <row r="1468" spans="1:10" customHeight="0">
      <c r="A1468" s="0">
        <f>HYPERLINK("https://dl.dropboxusercontent.com/scl/fi/5k22zs5e4lf37xffo49fa/123509-f.jpg?rlkey=7ns3d4dm82205yxo7gvgzjztb&amp;dl=0","Click to download Image")</f>
      </c>
      <c r="B1468" s="0">
        <f>HYPERLINK("https://dl.dropboxusercontent.com/scl/fi/w4gcvha54djy47kfp7ulk/womens-pullover-size-chartskinsley.jpg?rlkey=nxisakkvztxedjoxrucxcmdok&amp;dl=0","Click to download SizeChart")</f>
      </c>
      <c r="C1468" s="0" t="inlineStr">
        <is>
          <t>Kinsley Women's Sherpa Pullover</t>
        </is>
      </c>
      <c r="D1468" s="0" t="inlineStr">
        <is>
          <t>'123509</t>
        </is>
      </c>
      <c r="E1468" s="0" t="inlineStr">
        <is>
          <t>UNI KINSLE W BK 12PK:123509Z-12PK</t>
        </is>
      </c>
      <c r="F1468" s="0" t="inlineStr">
        <is>
          <t>'802123509992</t>
        </is>
      </c>
      <c r="G1468" s="0" t="inlineStr">
        <is>
          <t>WOMENS</t>
        </is>
      </c>
      <c r="H1468" s="0" t="inlineStr">
        <is>
          <t>12 PACK</t>
        </is>
      </c>
      <c r="I1468" s="0">
        <v>576</v>
      </c>
      <c r="J1468" s="0">
        <v>2</v>
      </c>
    </row>
    <row r="1469" spans="1:10" customHeight="0">
      <c r="A1469" s="0">
        <f>HYPERLINK("https://dl.dropboxusercontent.com/scl/fi/4wgzvdkh4ibs3rz7thdbo/123865-f.jpg?rlkey=2apzvevwqjszqe3u02iww6zn2&amp;dl=0","Click to download Image")</f>
      </c>
      <c r="B1469" s="0">
        <f>HYPERLINK("https://dl.dropboxusercontent.com/scl/fi/w4gcvha54djy47kfp7ulk/womens-pullover-size-chartskinsley.jpg?rlkey=nxisakkvztxedjoxrucxcmdok&amp;dl=0","Click to download SizeChart")</f>
      </c>
      <c r="C1469" s="0" t="inlineStr">
        <is>
          <t>Kinsley Women's Sherpa Pullover</t>
        </is>
      </c>
      <c r="D1469" s="0" t="inlineStr">
        <is>
          <t>'123865</t>
        </is>
      </c>
      <c r="E1469" s="0" t="inlineStr">
        <is>
          <t>UNO KINSLEY W FB:123865A-S</t>
        </is>
      </c>
      <c r="F1469" s="0" t="inlineStr">
        <is>
          <t>'809123865042</t>
        </is>
      </c>
      <c r="G1469" s="0" t="inlineStr">
        <is>
          <t>WOMENS</t>
        </is>
      </c>
      <c r="H1469" s="0" t="inlineStr">
        <is>
          <t>S</t>
        </is>
      </c>
      <c r="I1469" s="0">
        <v>59.99</v>
      </c>
      <c r="J1469" s="0">
        <v>7</v>
      </c>
    </row>
    <row r="1470" spans="1:10" customHeight="0">
      <c r="A1470" s="0">
        <f>HYPERLINK("https://dl.dropboxusercontent.com/scl/fi/4wgzvdkh4ibs3rz7thdbo/123865-f.jpg?rlkey=2apzvevwqjszqe3u02iww6zn2&amp;dl=0","Click to download Image")</f>
      </c>
      <c r="B1470" s="0">
        <f>HYPERLINK("https://dl.dropboxusercontent.com/scl/fi/w4gcvha54djy47kfp7ulk/womens-pullover-size-chartskinsley.jpg?rlkey=nxisakkvztxedjoxrucxcmdok&amp;dl=0","Click to download SizeChart")</f>
      </c>
      <c r="C1470" s="0" t="inlineStr">
        <is>
          <t>Kinsley Women's Sherpa Pullover</t>
        </is>
      </c>
      <c r="D1470" s="0" t="inlineStr">
        <is>
          <t>'123865</t>
        </is>
      </c>
      <c r="E1470" s="0" t="inlineStr">
        <is>
          <t>UNO KINSLEY W FB:123865B-M</t>
        </is>
      </c>
      <c r="F1470" s="0" t="inlineStr">
        <is>
          <t>'809123865059</t>
        </is>
      </c>
      <c r="G1470" s="0" t="inlineStr">
        <is>
          <t>WOMENS</t>
        </is>
      </c>
      <c r="H1470" s="0" t="inlineStr">
        <is>
          <t>M</t>
        </is>
      </c>
      <c r="I1470" s="0">
        <v>59.99</v>
      </c>
      <c r="J1470" s="0">
        <v>12</v>
      </c>
    </row>
    <row r="1471" spans="1:10" customHeight="0">
      <c r="A1471" s="0">
        <f>HYPERLINK("https://dl.dropboxusercontent.com/scl/fi/4wgzvdkh4ibs3rz7thdbo/123865-f.jpg?rlkey=2apzvevwqjszqe3u02iww6zn2&amp;dl=0","Click to download Image")</f>
      </c>
      <c r="B1471" s="0">
        <f>HYPERLINK("https://dl.dropboxusercontent.com/scl/fi/w4gcvha54djy47kfp7ulk/womens-pullover-size-chartskinsley.jpg?rlkey=nxisakkvztxedjoxrucxcmdok&amp;dl=0","Click to download SizeChart")</f>
      </c>
      <c r="C1471" s="0" t="inlineStr">
        <is>
          <t>Kinsley Women's Sherpa Pullover</t>
        </is>
      </c>
      <c r="D1471" s="0" t="inlineStr">
        <is>
          <t>'123865</t>
        </is>
      </c>
      <c r="E1471" s="0" t="inlineStr">
        <is>
          <t>UNO KINSLEY W FB:123865C-L</t>
        </is>
      </c>
      <c r="F1471" s="0" t="inlineStr">
        <is>
          <t>'809123865066</t>
        </is>
      </c>
      <c r="G1471" s="0" t="inlineStr">
        <is>
          <t>WOMENS</t>
        </is>
      </c>
      <c r="H1471" s="0" t="inlineStr">
        <is>
          <t>L</t>
        </is>
      </c>
      <c r="I1471" s="0">
        <v>59.99</v>
      </c>
      <c r="J1471" s="0">
        <v>14</v>
      </c>
    </row>
    <row r="1472" spans="1:10" customHeight="0">
      <c r="A1472" s="0">
        <f>HYPERLINK("https://dl.dropboxusercontent.com/scl/fi/4wgzvdkh4ibs3rz7thdbo/123865-f.jpg?rlkey=2apzvevwqjszqe3u02iww6zn2&amp;dl=0","Click to download Image")</f>
      </c>
      <c r="B1472" s="0">
        <f>HYPERLINK("https://dl.dropboxusercontent.com/scl/fi/w4gcvha54djy47kfp7ulk/womens-pullover-size-chartskinsley.jpg?rlkey=nxisakkvztxedjoxrucxcmdok&amp;dl=0","Click to download SizeChart")</f>
      </c>
      <c r="C1472" s="0" t="inlineStr">
        <is>
          <t>Kinsley Women's Sherpa Pullover</t>
        </is>
      </c>
      <c r="D1472" s="0" t="inlineStr">
        <is>
          <t>'123865</t>
        </is>
      </c>
      <c r="E1472" s="0" t="inlineStr">
        <is>
          <t>UNO KINSLEY W FB:123865D-XL</t>
        </is>
      </c>
      <c r="F1472" s="0" t="inlineStr">
        <is>
          <t>'809123865073</t>
        </is>
      </c>
      <c r="G1472" s="0" t="inlineStr">
        <is>
          <t>WOMENS</t>
        </is>
      </c>
      <c r="H1472" s="0" t="inlineStr">
        <is>
          <t>XL</t>
        </is>
      </c>
      <c r="I1472" s="0">
        <v>59.99</v>
      </c>
      <c r="J1472" s="0">
        <v>7</v>
      </c>
    </row>
    <row r="1473" spans="1:10" customHeight="0">
      <c r="A1473" s="0">
        <f>HYPERLINK("https://dl.dropboxusercontent.com/scl/fi/4wgzvdkh4ibs3rz7thdbo/123865-f.jpg?rlkey=2apzvevwqjszqe3u02iww6zn2&amp;dl=0","Click to download Image")</f>
      </c>
      <c r="B1473" s="0">
        <f>HYPERLINK("https://dl.dropboxusercontent.com/scl/fi/w4gcvha54djy47kfp7ulk/womens-pullover-size-chartskinsley.jpg?rlkey=nxisakkvztxedjoxrucxcmdok&amp;dl=0","Click to download SizeChart")</f>
      </c>
      <c r="C1473" s="0" t="inlineStr">
        <is>
          <t>Kinsley Women's Sherpa Pullover</t>
        </is>
      </c>
      <c r="D1473" s="0" t="inlineStr">
        <is>
          <t>'123865</t>
        </is>
      </c>
      <c r="E1473" s="0" t="inlineStr">
        <is>
          <t>UNO KINSLEY W FB:123865E-2XL</t>
        </is>
      </c>
      <c r="F1473" s="0" t="inlineStr">
        <is>
          <t>'809123865080</t>
        </is>
      </c>
      <c r="G1473" s="0" t="inlineStr">
        <is>
          <t>WOMENS</t>
        </is>
      </c>
      <c r="H1473" s="0" t="inlineStr">
        <is>
          <t>2XL</t>
        </is>
      </c>
      <c r="I1473" s="0">
        <v>61.99</v>
      </c>
      <c r="J1473" s="0">
        <v>6</v>
      </c>
    </row>
    <row r="1474" spans="1:10" customHeight="0">
      <c r="A1474" s="0">
        <f>HYPERLINK("https://dl.dropboxusercontent.com/scl/fi/4wgzvdkh4ibs3rz7thdbo/123865-f.jpg?rlkey=2apzvevwqjszqe3u02iww6zn2&amp;dl=0","Click to download Image")</f>
      </c>
      <c r="B1474" s="0">
        <f>HYPERLINK("https://dl.dropboxusercontent.com/scl/fi/w4gcvha54djy47kfp7ulk/womens-pullover-size-chartskinsley.jpg?rlkey=nxisakkvztxedjoxrucxcmdok&amp;dl=0","Click to download SizeChart")</f>
      </c>
      <c r="C1474" s="0" t="inlineStr">
        <is>
          <t>Kinsley Women's Sherpa Pullover</t>
        </is>
      </c>
      <c r="D1474" s="0" t="inlineStr">
        <is>
          <t>'123865</t>
        </is>
      </c>
      <c r="E1474" s="0" t="inlineStr">
        <is>
          <t>UNO KINSLEY W FB:123865F-3XL</t>
        </is>
      </c>
      <c r="F1474" s="0" t="inlineStr">
        <is>
          <t>'809123865097</t>
        </is>
      </c>
      <c r="G1474" s="0" t="inlineStr">
        <is>
          <t>WOMENS</t>
        </is>
      </c>
      <c r="H1474" s="0" t="inlineStr">
        <is>
          <t>3XL</t>
        </is>
      </c>
      <c r="I1474" s="0">
        <v>61.99</v>
      </c>
      <c r="J1474" s="0">
        <v>2</v>
      </c>
    </row>
    <row r="1475" spans="1:10" customHeight="0">
      <c r="A1475" s="0">
        <f>HYPERLINK("https://dl.dropboxusercontent.com/scl/fi/4wgzvdkh4ibs3rz7thdbo/123865-f.jpg?rlkey=2apzvevwqjszqe3u02iww6zn2&amp;dl=0","Click to download Image")</f>
      </c>
      <c r="B1475" s="0">
        <f>HYPERLINK("https://dl.dropboxusercontent.com/scl/fi/w4gcvha54djy47kfp7ulk/womens-pullover-size-chartskinsley.jpg?rlkey=nxisakkvztxedjoxrucxcmdok&amp;dl=0","Click to download SizeChart")</f>
      </c>
      <c r="C1475" s="0" t="inlineStr">
        <is>
          <t>Kinsley Women's Sherpa Pullover</t>
        </is>
      </c>
      <c r="D1475" s="0" t="inlineStr">
        <is>
          <t>'123865</t>
        </is>
      </c>
      <c r="E1475" s="0" t="inlineStr">
        <is>
          <t>UNO KINSLEY W FB 12PK:123865Z-12PK</t>
        </is>
      </c>
      <c r="F1475" s="0" t="inlineStr">
        <is>
          <t>'809123865998</t>
        </is>
      </c>
      <c r="G1475" s="0" t="inlineStr">
        <is>
          <t>WOMENS</t>
        </is>
      </c>
      <c r="H1475" s="0" t="inlineStr">
        <is>
          <t>12 PACK</t>
        </is>
      </c>
      <c r="I1475" s="0">
        <v>576</v>
      </c>
      <c r="J1475" s="0">
        <v>3</v>
      </c>
    </row>
    <row r="1476" spans="1:10" customHeight="0">
      <c r="A1476" s="0">
        <f>HYPERLINK("https://dl.dropboxusercontent.com/scl/fi/kl9yv51yhmmr8xv8wsv0h/124037-f.jpg?rlkey=bzoqq8777tbv0bhwf2g7wqqnz&amp;dl=0","Click to download Image")</f>
      </c>
      <c r="B1476" s="0">
        <f>HYPERLINK("https://dl.dropboxusercontent.com/scl/fi/w4gcvha54djy47kfp7ulk/womens-pullover-size-chartskinsley.jpg?rlkey=nxisakkvztxedjoxrucxcmdok&amp;dl=0","Click to download SizeChart")</f>
      </c>
      <c r="C1476" s="0" t="inlineStr">
        <is>
          <t>Kinsley Women's Sherpa Pullover</t>
        </is>
      </c>
      <c r="D1476" s="0" t="inlineStr">
        <is>
          <t>'124037</t>
        </is>
      </c>
      <c r="E1476" s="0" t="inlineStr">
        <is>
          <t>CU KINSLEY W FB:124037A-S</t>
        </is>
      </c>
      <c r="F1476" s="0" t="inlineStr">
        <is>
          <t>'810124037048</t>
        </is>
      </c>
      <c r="G1476" s="0" t="inlineStr">
        <is>
          <t>WOMENS</t>
        </is>
      </c>
      <c r="H1476" s="0" t="inlineStr">
        <is>
          <t>S</t>
        </is>
      </c>
      <c r="I1476" s="0">
        <v>59.99</v>
      </c>
      <c r="J1476" s="0">
        <v>5</v>
      </c>
    </row>
    <row r="1477" spans="1:10" customHeight="0">
      <c r="A1477" s="0">
        <f>HYPERLINK("https://dl.dropboxusercontent.com/scl/fi/kl9yv51yhmmr8xv8wsv0h/124037-f.jpg?rlkey=bzoqq8777tbv0bhwf2g7wqqnz&amp;dl=0","Click to download Image")</f>
      </c>
      <c r="B1477" s="0">
        <f>HYPERLINK("https://dl.dropboxusercontent.com/scl/fi/w4gcvha54djy47kfp7ulk/womens-pullover-size-chartskinsley.jpg?rlkey=nxisakkvztxedjoxrucxcmdok&amp;dl=0","Click to download SizeChart")</f>
      </c>
      <c r="C1477" s="0" t="inlineStr">
        <is>
          <t>Kinsley Women's Sherpa Pullover</t>
        </is>
      </c>
      <c r="D1477" s="0" t="inlineStr">
        <is>
          <t>'124037</t>
        </is>
      </c>
      <c r="E1477" s="0" t="inlineStr">
        <is>
          <t>CU KINSLEY W FB:124037B-M</t>
        </is>
      </c>
      <c r="F1477" s="0" t="inlineStr">
        <is>
          <t>'810124037055</t>
        </is>
      </c>
      <c r="G1477" s="0" t="inlineStr">
        <is>
          <t>WOMENS</t>
        </is>
      </c>
      <c r="H1477" s="0" t="inlineStr">
        <is>
          <t>M</t>
        </is>
      </c>
      <c r="I1477" s="0">
        <v>59.99</v>
      </c>
      <c r="J1477" s="0">
        <v>8</v>
      </c>
    </row>
    <row r="1478" spans="1:10" customHeight="0">
      <c r="A1478" s="0">
        <f>HYPERLINK("https://dl.dropboxusercontent.com/scl/fi/kl9yv51yhmmr8xv8wsv0h/124037-f.jpg?rlkey=bzoqq8777tbv0bhwf2g7wqqnz&amp;dl=0","Click to download Image")</f>
      </c>
      <c r="B1478" s="0">
        <f>HYPERLINK("https://dl.dropboxusercontent.com/scl/fi/w4gcvha54djy47kfp7ulk/womens-pullover-size-chartskinsley.jpg?rlkey=nxisakkvztxedjoxrucxcmdok&amp;dl=0","Click to download SizeChart")</f>
      </c>
      <c r="C1478" s="0" t="inlineStr">
        <is>
          <t>Kinsley Women's Sherpa Pullover</t>
        </is>
      </c>
      <c r="D1478" s="0" t="inlineStr">
        <is>
          <t>'124037</t>
        </is>
      </c>
      <c r="E1478" s="0" t="inlineStr">
        <is>
          <t>CU KINSLEY W FB:124037C-L</t>
        </is>
      </c>
      <c r="F1478" s="0" t="inlineStr">
        <is>
          <t>'810124037062</t>
        </is>
      </c>
      <c r="G1478" s="0" t="inlineStr">
        <is>
          <t>WOMENS</t>
        </is>
      </c>
      <c r="H1478" s="0" t="inlineStr">
        <is>
          <t>L</t>
        </is>
      </c>
      <c r="I1478" s="0">
        <v>59.99</v>
      </c>
      <c r="J1478" s="0">
        <v>6</v>
      </c>
    </row>
    <row r="1479" spans="1:10" customHeight="0">
      <c r="A1479" s="0">
        <f>HYPERLINK("https://dl.dropboxusercontent.com/scl/fi/kl9yv51yhmmr8xv8wsv0h/124037-f.jpg?rlkey=bzoqq8777tbv0bhwf2g7wqqnz&amp;dl=0","Click to download Image")</f>
      </c>
      <c r="B1479" s="0">
        <f>HYPERLINK("https://dl.dropboxusercontent.com/scl/fi/w4gcvha54djy47kfp7ulk/womens-pullover-size-chartskinsley.jpg?rlkey=nxisakkvztxedjoxrucxcmdok&amp;dl=0","Click to download SizeChart")</f>
      </c>
      <c r="C1479" s="0" t="inlineStr">
        <is>
          <t>Kinsley Women's Sherpa Pullover</t>
        </is>
      </c>
      <c r="D1479" s="0" t="inlineStr">
        <is>
          <t>'124037</t>
        </is>
      </c>
      <c r="E1479" s="0" t="inlineStr">
        <is>
          <t>CU KINSLEY W FB:124037D-XL</t>
        </is>
      </c>
      <c r="F1479" s="0" t="inlineStr">
        <is>
          <t>'810124037079</t>
        </is>
      </c>
      <c r="G1479" s="0" t="inlineStr">
        <is>
          <t>WOMENS</t>
        </is>
      </c>
      <c r="H1479" s="0" t="inlineStr">
        <is>
          <t>XL</t>
        </is>
      </c>
      <c r="I1479" s="0">
        <v>59.99</v>
      </c>
      <c r="J1479" s="0">
        <v>4</v>
      </c>
    </row>
    <row r="1480" spans="1:10" customHeight="0">
      <c r="A1480" s="0">
        <f>HYPERLINK("https://dl.dropboxusercontent.com/scl/fi/kl9yv51yhmmr8xv8wsv0h/124037-f.jpg?rlkey=bzoqq8777tbv0bhwf2g7wqqnz&amp;dl=0","Click to download Image")</f>
      </c>
      <c r="B1480" s="0">
        <f>HYPERLINK("https://dl.dropboxusercontent.com/scl/fi/w4gcvha54djy47kfp7ulk/womens-pullover-size-chartskinsley.jpg?rlkey=nxisakkvztxedjoxrucxcmdok&amp;dl=0","Click to download SizeChart")</f>
      </c>
      <c r="C1480" s="0" t="inlineStr">
        <is>
          <t>Kinsley Women's Sherpa Pullover</t>
        </is>
      </c>
      <c r="D1480" s="0" t="inlineStr">
        <is>
          <t>'124037</t>
        </is>
      </c>
      <c r="E1480" s="0" t="inlineStr">
        <is>
          <t>CU KINSLEY W FB:124037E-2XL</t>
        </is>
      </c>
      <c r="F1480" s="0" t="inlineStr">
        <is>
          <t>'810124037086</t>
        </is>
      </c>
      <c r="G1480" s="0" t="inlineStr">
        <is>
          <t>WOMENS</t>
        </is>
      </c>
      <c r="H1480" s="0" t="inlineStr">
        <is>
          <t>2XL</t>
        </is>
      </c>
      <c r="I1480" s="0">
        <v>61.99</v>
      </c>
      <c r="J1480" s="0">
        <v>3</v>
      </c>
    </row>
    <row r="1481" spans="1:10" customHeight="0">
      <c r="A1481" s="0">
        <f>HYPERLINK("https://dl.dropboxusercontent.com/scl/fi/kl9yv51yhmmr8xv8wsv0h/124037-f.jpg?rlkey=bzoqq8777tbv0bhwf2g7wqqnz&amp;dl=0","Click to download Image")</f>
      </c>
      <c r="B1481" s="0">
        <f>HYPERLINK("https://dl.dropboxusercontent.com/scl/fi/w4gcvha54djy47kfp7ulk/womens-pullover-size-chartskinsley.jpg?rlkey=nxisakkvztxedjoxrucxcmdok&amp;dl=0","Click to download SizeChart")</f>
      </c>
      <c r="C1481" s="0" t="inlineStr">
        <is>
          <t>Kinsley Women's Sherpa Pullover</t>
        </is>
      </c>
      <c r="D1481" s="0" t="inlineStr">
        <is>
          <t>'124037</t>
        </is>
      </c>
      <c r="E1481" s="0" t="inlineStr">
        <is>
          <t>CU KINSLEY W FB:124037F-3XL</t>
        </is>
      </c>
      <c r="F1481" s="0" t="inlineStr">
        <is>
          <t>'810124037093</t>
        </is>
      </c>
      <c r="G1481" s="0" t="inlineStr">
        <is>
          <t>WOMENS</t>
        </is>
      </c>
      <c r="H1481" s="0" t="inlineStr">
        <is>
          <t>3XL</t>
        </is>
      </c>
      <c r="I1481" s="0">
        <v>61.99</v>
      </c>
      <c r="J1481" s="0">
        <v>2</v>
      </c>
    </row>
    <row r="1482" spans="1:10" customHeight="0">
      <c r="A1482" s="0">
        <f>HYPERLINK("https://dl.dropboxusercontent.com/scl/fi/kl9yv51yhmmr8xv8wsv0h/124037-f.jpg?rlkey=bzoqq8777tbv0bhwf2g7wqqnz&amp;dl=0","Click to download Image")</f>
      </c>
      <c r="B1482" s="0">
        <f>HYPERLINK("https://dl.dropboxusercontent.com/scl/fi/w4gcvha54djy47kfp7ulk/womens-pullover-size-chartskinsley.jpg?rlkey=nxisakkvztxedjoxrucxcmdok&amp;dl=0","Click to download SizeChart")</f>
      </c>
      <c r="C1482" s="0" t="inlineStr">
        <is>
          <t>Kinsley Women's Sherpa Pullover</t>
        </is>
      </c>
      <c r="D1482" s="0" t="inlineStr">
        <is>
          <t>'124037</t>
        </is>
      </c>
      <c r="E1482" s="0" t="inlineStr">
        <is>
          <t>CU KINSLEY W FB 12PK:124037Z-12PK</t>
        </is>
      </c>
      <c r="F1482" s="0" t="inlineStr">
        <is>
          <t>'810124037994</t>
        </is>
      </c>
      <c r="G1482" s="0" t="inlineStr">
        <is>
          <t>WOMENS</t>
        </is>
      </c>
      <c r="H1482" s="0" t="inlineStr">
        <is>
          <t>12 PACK</t>
        </is>
      </c>
      <c r="I1482" s="0">
        <v>576</v>
      </c>
      <c r="J1482" s="0">
        <v>1</v>
      </c>
    </row>
    <row r="1483" spans="1:10" customHeight="0">
      <c r="A1483" s="0">
        <f>HYPERLINK("https://dl.dropboxusercontent.com/scl/fi/dqmaw9sb8zebioq1aiyg7/124064-f.jpg?rlkey=smyleuycap6f3yl2yqga3s1eu&amp;dl=0","Click to download Image")</f>
      </c>
      <c r="B1483" s="0">
        <f>HYPERLINK("https://dl.dropboxusercontent.com/scl/fi/w4gcvha54djy47kfp7ulk/womens-pullover-size-chartskinsley.jpg?rlkey=nxisakkvztxedjoxrucxcmdok&amp;dl=0","Click to download SizeChart")</f>
      </c>
      <c r="C1483" s="0" t="inlineStr">
        <is>
          <t>Kinsley Women's Sherpa Pullover</t>
        </is>
      </c>
      <c r="D1483" s="0" t="inlineStr">
        <is>
          <t>'124064</t>
        </is>
      </c>
      <c r="E1483" s="0" t="inlineStr">
        <is>
          <t>USD KINSLEY W FB:124064A-S</t>
        </is>
      </c>
      <c r="F1483" s="0" t="inlineStr">
        <is>
          <t>'811124064041</t>
        </is>
      </c>
      <c r="G1483" s="0" t="inlineStr">
        <is>
          <t>WOMENS</t>
        </is>
      </c>
      <c r="H1483" s="0" t="inlineStr">
        <is>
          <t>S</t>
        </is>
      </c>
      <c r="I1483" s="0">
        <v>59.99</v>
      </c>
      <c r="J1483" s="0">
        <v>7</v>
      </c>
    </row>
    <row r="1484" spans="1:10" customHeight="0">
      <c r="A1484" s="0">
        <f>HYPERLINK("https://dl.dropboxusercontent.com/scl/fi/dqmaw9sb8zebioq1aiyg7/124064-f.jpg?rlkey=smyleuycap6f3yl2yqga3s1eu&amp;dl=0","Click to download Image")</f>
      </c>
      <c r="B1484" s="0">
        <f>HYPERLINK("https://dl.dropboxusercontent.com/scl/fi/w4gcvha54djy47kfp7ulk/womens-pullover-size-chartskinsley.jpg?rlkey=nxisakkvztxedjoxrucxcmdok&amp;dl=0","Click to download SizeChart")</f>
      </c>
      <c r="C1484" s="0" t="inlineStr">
        <is>
          <t>Kinsley Women's Sherpa Pullover</t>
        </is>
      </c>
      <c r="D1484" s="0" t="inlineStr">
        <is>
          <t>'124064</t>
        </is>
      </c>
      <c r="E1484" s="0" t="inlineStr">
        <is>
          <t>USD KINSLEY W FB:124064B-M</t>
        </is>
      </c>
      <c r="F1484" s="0" t="inlineStr">
        <is>
          <t>'811124064058</t>
        </is>
      </c>
      <c r="G1484" s="0" t="inlineStr">
        <is>
          <t>WOMENS</t>
        </is>
      </c>
      <c r="H1484" s="0" t="inlineStr">
        <is>
          <t>M</t>
        </is>
      </c>
      <c r="I1484" s="0">
        <v>59.99</v>
      </c>
      <c r="J1484" s="0">
        <v>16</v>
      </c>
    </row>
    <row r="1485" spans="1:10" customHeight="0">
      <c r="A1485" s="0">
        <f>HYPERLINK("https://dl.dropboxusercontent.com/scl/fi/dqmaw9sb8zebioq1aiyg7/124064-f.jpg?rlkey=smyleuycap6f3yl2yqga3s1eu&amp;dl=0","Click to download Image")</f>
      </c>
      <c r="B1485" s="0">
        <f>HYPERLINK("https://dl.dropboxusercontent.com/scl/fi/w4gcvha54djy47kfp7ulk/womens-pullover-size-chartskinsley.jpg?rlkey=nxisakkvztxedjoxrucxcmdok&amp;dl=0","Click to download SizeChart")</f>
      </c>
      <c r="C1485" s="0" t="inlineStr">
        <is>
          <t>Kinsley Women's Sherpa Pullover</t>
        </is>
      </c>
      <c r="D1485" s="0" t="inlineStr">
        <is>
          <t>'124064</t>
        </is>
      </c>
      <c r="E1485" s="0" t="inlineStr">
        <is>
          <t>USD KINSLEY W FB:124064C-L</t>
        </is>
      </c>
      <c r="F1485" s="0" t="inlineStr">
        <is>
          <t>'811124064065</t>
        </is>
      </c>
      <c r="G1485" s="0" t="inlineStr">
        <is>
          <t>WOMENS</t>
        </is>
      </c>
      <c r="H1485" s="0" t="inlineStr">
        <is>
          <t>L</t>
        </is>
      </c>
      <c r="I1485" s="0">
        <v>59.99</v>
      </c>
      <c r="J1485" s="0">
        <v>14</v>
      </c>
    </row>
    <row r="1486" spans="1:10" customHeight="0">
      <c r="A1486" s="0">
        <f>HYPERLINK("https://dl.dropboxusercontent.com/scl/fi/dqmaw9sb8zebioq1aiyg7/124064-f.jpg?rlkey=smyleuycap6f3yl2yqga3s1eu&amp;dl=0","Click to download Image")</f>
      </c>
      <c r="B1486" s="0">
        <f>HYPERLINK("https://dl.dropboxusercontent.com/scl/fi/w4gcvha54djy47kfp7ulk/womens-pullover-size-chartskinsley.jpg?rlkey=nxisakkvztxedjoxrucxcmdok&amp;dl=0","Click to download SizeChart")</f>
      </c>
      <c r="C1486" s="0" t="inlineStr">
        <is>
          <t>Kinsley Women's Sherpa Pullover</t>
        </is>
      </c>
      <c r="D1486" s="0" t="inlineStr">
        <is>
          <t>'124064</t>
        </is>
      </c>
      <c r="E1486" s="0" t="inlineStr">
        <is>
          <t>USD KINSLEY W FB:124064D-XL</t>
        </is>
      </c>
      <c r="F1486" s="0" t="inlineStr">
        <is>
          <t>'811124064072</t>
        </is>
      </c>
      <c r="G1486" s="0" t="inlineStr">
        <is>
          <t>WOMENS</t>
        </is>
      </c>
      <c r="H1486" s="0" t="inlineStr">
        <is>
          <t>XL</t>
        </is>
      </c>
      <c r="I1486" s="0">
        <v>59.99</v>
      </c>
      <c r="J1486" s="0">
        <v>6</v>
      </c>
    </row>
    <row r="1487" spans="1:10" customHeight="0">
      <c r="A1487" s="0">
        <f>HYPERLINK("https://dl.dropboxusercontent.com/scl/fi/dqmaw9sb8zebioq1aiyg7/124064-f.jpg?rlkey=smyleuycap6f3yl2yqga3s1eu&amp;dl=0","Click to download Image")</f>
      </c>
      <c r="B1487" s="0">
        <f>HYPERLINK("https://dl.dropboxusercontent.com/scl/fi/w4gcvha54djy47kfp7ulk/womens-pullover-size-chartskinsley.jpg?rlkey=nxisakkvztxedjoxrucxcmdok&amp;dl=0","Click to download SizeChart")</f>
      </c>
      <c r="C1487" s="0" t="inlineStr">
        <is>
          <t>Kinsley Women's Sherpa Pullover</t>
        </is>
      </c>
      <c r="D1487" s="0" t="inlineStr">
        <is>
          <t>'124064</t>
        </is>
      </c>
      <c r="E1487" s="0" t="inlineStr">
        <is>
          <t>USD KINSLEY W FB:124064E-2XL</t>
        </is>
      </c>
      <c r="F1487" s="0" t="inlineStr">
        <is>
          <t>'811124064089</t>
        </is>
      </c>
      <c r="G1487" s="0" t="inlineStr">
        <is>
          <t>WOMENS</t>
        </is>
      </c>
      <c r="H1487" s="0" t="inlineStr">
        <is>
          <t>2XL</t>
        </is>
      </c>
      <c r="I1487" s="0">
        <v>61.99</v>
      </c>
      <c r="J1487" s="0">
        <v>1</v>
      </c>
    </row>
    <row r="1488" spans="1:10" customHeight="0">
      <c r="A1488" s="0">
        <f>HYPERLINK("https://dl.dropboxusercontent.com/scl/fi/dqmaw9sb8zebioq1aiyg7/124064-f.jpg?rlkey=smyleuycap6f3yl2yqga3s1eu&amp;dl=0","Click to download Image")</f>
      </c>
      <c r="B1488" s="0">
        <f>HYPERLINK("https://dl.dropboxusercontent.com/scl/fi/w4gcvha54djy47kfp7ulk/womens-pullover-size-chartskinsley.jpg?rlkey=nxisakkvztxedjoxrucxcmdok&amp;dl=0","Click to download SizeChart")</f>
      </c>
      <c r="C1488" s="0" t="inlineStr">
        <is>
          <t>Kinsley Women's Sherpa Pullover</t>
        </is>
      </c>
      <c r="D1488" s="0" t="inlineStr">
        <is>
          <t>'124064</t>
        </is>
      </c>
      <c r="E1488" s="0" t="inlineStr">
        <is>
          <t>USD KINSLEY W FB:124064F-3XL</t>
        </is>
      </c>
      <c r="F1488" s="0" t="inlineStr">
        <is>
          <t>'811124064096</t>
        </is>
      </c>
      <c r="G1488" s="0" t="inlineStr">
        <is>
          <t>WOMENS</t>
        </is>
      </c>
      <c r="H1488" s="0" t="inlineStr">
        <is>
          <t>3XL</t>
        </is>
      </c>
      <c r="I1488" s="0">
        <v>61.99</v>
      </c>
      <c r="J1488" s="0">
        <v>4</v>
      </c>
    </row>
    <row r="1489" spans="1:10" customHeight="0">
      <c r="A1489" s="0">
        <f>HYPERLINK("https://dl.dropboxusercontent.com/scl/fi/dqmaw9sb8zebioq1aiyg7/124064-f.jpg?rlkey=smyleuycap6f3yl2yqga3s1eu&amp;dl=0","Click to download Image")</f>
      </c>
      <c r="B1489" s="0">
        <f>HYPERLINK("https://dl.dropboxusercontent.com/scl/fi/w4gcvha54djy47kfp7ulk/womens-pullover-size-chartskinsley.jpg?rlkey=nxisakkvztxedjoxrucxcmdok&amp;dl=0","Click to download SizeChart")</f>
      </c>
      <c r="C1489" s="0" t="inlineStr">
        <is>
          <t>Kinsley Women's Sherpa Pullover</t>
        </is>
      </c>
      <c r="D1489" s="0" t="inlineStr">
        <is>
          <t>'124064</t>
        </is>
      </c>
      <c r="E1489" s="0" t="inlineStr">
        <is>
          <t>USD KINSLEY W FB 12PK:124064Z-12PK</t>
        </is>
      </c>
      <c r="F1489" s="0" t="inlineStr">
        <is>
          <t>'811124064997</t>
        </is>
      </c>
      <c r="G1489" s="0" t="inlineStr">
        <is>
          <t>WOMENS</t>
        </is>
      </c>
      <c r="H1489" s="0" t="inlineStr">
        <is>
          <t>12 PACK</t>
        </is>
      </c>
      <c r="I1489" s="0">
        <v>576</v>
      </c>
      <c r="J1489" s="0">
        <v>3</v>
      </c>
    </row>
    <row r="1490" spans="1:10" customHeight="0">
      <c r="A1490" s="0">
        <f>HYPERLINK("https://dl.dropboxusercontent.com/scl/fi/aug7ji8ixc76ez8f7vyyk/125114af.jpg?rlkey=g3zygtuiuc9ugwa1jbd6wf4ls&amp;dl=0","Click to download Image")</f>
      </c>
      <c r="B1490" s="0">
        <f>HYPERLINK("https://dl.dropboxusercontent.com/scl/fi/w4gcvha54djy47kfp7ulk/womens-pullover-size-chartskinsley.jpg?rlkey=nxisakkvztxedjoxrucxcmdok&amp;dl=0","Click to download SizeChart")</f>
      </c>
      <c r="C1490" s="0" t="inlineStr">
        <is>
          <t>Kinsley Women's Sherpa Pullover</t>
        </is>
      </c>
      <c r="D1490" s="0" t="inlineStr">
        <is>
          <t>'125114</t>
        </is>
      </c>
      <c r="E1490" s="0" t="inlineStr">
        <is>
          <t>NDSU KINSLE W FB:125114A-S</t>
        </is>
      </c>
      <c r="F1490" s="0" t="inlineStr">
        <is>
          <t>'813125114046</t>
        </is>
      </c>
      <c r="G1490" s="0" t="inlineStr">
        <is>
          <t>WOMENS</t>
        </is>
      </c>
      <c r="H1490" s="0" t="inlineStr">
        <is>
          <t>S</t>
        </is>
      </c>
      <c r="I1490" s="0">
        <v>59.99</v>
      </c>
      <c r="J1490" s="0">
        <v>1</v>
      </c>
    </row>
    <row r="1491" spans="1:10" customHeight="0">
      <c r="A1491" s="0">
        <f>HYPERLINK("https://dl.dropboxusercontent.com/scl/fi/aug7ji8ixc76ez8f7vyyk/125114af.jpg?rlkey=g3zygtuiuc9ugwa1jbd6wf4ls&amp;dl=0","Click to download Image")</f>
      </c>
      <c r="B1491" s="0">
        <f>HYPERLINK("https://dl.dropboxusercontent.com/scl/fi/w4gcvha54djy47kfp7ulk/womens-pullover-size-chartskinsley.jpg?rlkey=nxisakkvztxedjoxrucxcmdok&amp;dl=0","Click to download SizeChart")</f>
      </c>
      <c r="C1491" s="0" t="inlineStr">
        <is>
          <t>Kinsley Women's Sherpa Pullover</t>
        </is>
      </c>
      <c r="D1491" s="0" t="inlineStr">
        <is>
          <t>'125114</t>
        </is>
      </c>
      <c r="E1491" s="0" t="inlineStr">
        <is>
          <t>NDSU KINSLE W FB:125114B-M</t>
        </is>
      </c>
      <c r="F1491" s="0" t="inlineStr">
        <is>
          <t>'813125114053</t>
        </is>
      </c>
      <c r="G1491" s="0" t="inlineStr">
        <is>
          <t>WOMENS</t>
        </is>
      </c>
      <c r="H1491" s="0" t="inlineStr">
        <is>
          <t>M</t>
        </is>
      </c>
      <c r="I1491" s="0">
        <v>59.99</v>
      </c>
      <c r="J1491" s="0">
        <v>2</v>
      </c>
    </row>
    <row r="1492" spans="1:10" customHeight="0">
      <c r="A1492" s="0">
        <f>HYPERLINK("https://dl.dropboxusercontent.com/scl/fi/aug7ji8ixc76ez8f7vyyk/125114af.jpg?rlkey=g3zygtuiuc9ugwa1jbd6wf4ls&amp;dl=0","Click to download Image")</f>
      </c>
      <c r="B1492" s="0">
        <f>HYPERLINK("https://dl.dropboxusercontent.com/scl/fi/w4gcvha54djy47kfp7ulk/womens-pullover-size-chartskinsley.jpg?rlkey=nxisakkvztxedjoxrucxcmdok&amp;dl=0","Click to download SizeChart")</f>
      </c>
      <c r="C1492" s="0" t="inlineStr">
        <is>
          <t>Kinsley Women's Sherpa Pullover</t>
        </is>
      </c>
      <c r="D1492" s="0" t="inlineStr">
        <is>
          <t>'125114</t>
        </is>
      </c>
      <c r="E1492" s="0" t="inlineStr">
        <is>
          <t>NDSU KINSLE W FB:125114C-L</t>
        </is>
      </c>
      <c r="F1492" s="0" t="inlineStr">
        <is>
          <t>'813125114060</t>
        </is>
      </c>
      <c r="G1492" s="0" t="inlineStr">
        <is>
          <t>WOMENS</t>
        </is>
      </c>
      <c r="H1492" s="0" t="inlineStr">
        <is>
          <t>L</t>
        </is>
      </c>
      <c r="I1492" s="0">
        <v>59.99</v>
      </c>
      <c r="J1492" s="0">
        <v>1</v>
      </c>
    </row>
    <row r="1493" spans="1:10" customHeight="0">
      <c r="A1493" s="0">
        <f>HYPERLINK("https://dl.dropboxusercontent.com/scl/fi/aug7ji8ixc76ez8f7vyyk/125114af.jpg?rlkey=g3zygtuiuc9ugwa1jbd6wf4ls&amp;dl=0","Click to download Image")</f>
      </c>
      <c r="B1493" s="0">
        <f>HYPERLINK("https://dl.dropboxusercontent.com/scl/fi/w4gcvha54djy47kfp7ulk/womens-pullover-size-chartskinsley.jpg?rlkey=nxisakkvztxedjoxrucxcmdok&amp;dl=0","Click to download SizeChart")</f>
      </c>
      <c r="C1493" s="0" t="inlineStr">
        <is>
          <t>Kinsley Women's Sherpa Pullover</t>
        </is>
      </c>
      <c r="D1493" s="0" t="inlineStr">
        <is>
          <t>'125114</t>
        </is>
      </c>
      <c r="E1493" s="0" t="inlineStr">
        <is>
          <t>NDSU KINSLE W FB:125114D-XL</t>
        </is>
      </c>
      <c r="F1493" s="0" t="inlineStr">
        <is>
          <t>'813125114077</t>
        </is>
      </c>
      <c r="G1493" s="0" t="inlineStr">
        <is>
          <t>WOMENS</t>
        </is>
      </c>
      <c r="H1493" s="0" t="inlineStr">
        <is>
          <t>XL</t>
        </is>
      </c>
      <c r="I1493" s="0">
        <v>59.99</v>
      </c>
      <c r="J1493" s="0">
        <v>0</v>
      </c>
    </row>
    <row r="1494" spans="1:10" customHeight="0">
      <c r="A1494" s="0">
        <f>HYPERLINK("https://dl.dropboxusercontent.com/scl/fi/aug7ji8ixc76ez8f7vyyk/125114af.jpg?rlkey=g3zygtuiuc9ugwa1jbd6wf4ls&amp;dl=0","Click to download Image")</f>
      </c>
      <c r="B1494" s="0">
        <f>HYPERLINK("https://dl.dropboxusercontent.com/scl/fi/w4gcvha54djy47kfp7ulk/womens-pullover-size-chartskinsley.jpg?rlkey=nxisakkvztxedjoxrucxcmdok&amp;dl=0","Click to download SizeChart")</f>
      </c>
      <c r="C1494" s="0" t="inlineStr">
        <is>
          <t>Kinsley Women's Sherpa Pullover</t>
        </is>
      </c>
      <c r="D1494" s="0" t="inlineStr">
        <is>
          <t>'125114</t>
        </is>
      </c>
      <c r="E1494" s="0" t="inlineStr">
        <is>
          <t>NDSU KINSLE W FB:125114E-2XL</t>
        </is>
      </c>
      <c r="F1494" s="0" t="inlineStr">
        <is>
          <t>'813125114084</t>
        </is>
      </c>
      <c r="G1494" s="0" t="inlineStr">
        <is>
          <t>WOMENS</t>
        </is>
      </c>
      <c r="H1494" s="0" t="inlineStr">
        <is>
          <t>2XL</t>
        </is>
      </c>
      <c r="I1494" s="0">
        <v>61.99</v>
      </c>
      <c r="J1494" s="0">
        <v>1</v>
      </c>
    </row>
    <row r="1495" spans="1:10" customHeight="0">
      <c r="A1495" s="0">
        <f>HYPERLINK("https://dl.dropboxusercontent.com/scl/fi/aug7ji8ixc76ez8f7vyyk/125114af.jpg?rlkey=g3zygtuiuc9ugwa1jbd6wf4ls&amp;dl=0","Click to download Image")</f>
      </c>
      <c r="B1495" s="0">
        <f>HYPERLINK("https://dl.dropboxusercontent.com/scl/fi/w4gcvha54djy47kfp7ulk/womens-pullover-size-chartskinsley.jpg?rlkey=nxisakkvztxedjoxrucxcmdok&amp;dl=0","Click to download SizeChart")</f>
      </c>
      <c r="C1495" s="0" t="inlineStr">
        <is>
          <t>Kinsley Women's Sherpa Pullover</t>
        </is>
      </c>
      <c r="D1495" s="0" t="inlineStr">
        <is>
          <t>'125114</t>
        </is>
      </c>
      <c r="E1495" s="0" t="inlineStr">
        <is>
          <t>NDSU KINSLE W FB:125114F-3XL</t>
        </is>
      </c>
      <c r="F1495" s="0" t="inlineStr">
        <is>
          <t>'813125114091</t>
        </is>
      </c>
      <c r="G1495" s="0" t="inlineStr">
        <is>
          <t>WOMENS</t>
        </is>
      </c>
      <c r="H1495" s="0" t="inlineStr">
        <is>
          <t>3XL</t>
        </is>
      </c>
      <c r="I1495" s="0">
        <v>61.99</v>
      </c>
      <c r="J1495" s="0">
        <v>0</v>
      </c>
    </row>
    <row r="1496" spans="1:10" customHeight="0">
      <c r="A1496" s="0">
        <f>HYPERLINK("https://dl.dropboxusercontent.com/scl/fi/aug7ji8ixc76ez8f7vyyk/125114af.jpg?rlkey=g3zygtuiuc9ugwa1jbd6wf4ls&amp;dl=0","Click to download Image")</f>
      </c>
      <c r="B1496" s="0">
        <f>HYPERLINK("https://dl.dropboxusercontent.com/scl/fi/w4gcvha54djy47kfp7ulk/womens-pullover-size-chartskinsley.jpg?rlkey=nxisakkvztxedjoxrucxcmdok&amp;dl=0","Click to download SizeChart")</f>
      </c>
      <c r="C1496" s="0" t="inlineStr">
        <is>
          <t>Kinsley Women's Sherpa Pullover</t>
        </is>
      </c>
      <c r="D1496" s="0" t="inlineStr">
        <is>
          <t>'125114</t>
        </is>
      </c>
      <c r="E1496" s="0" t="inlineStr">
        <is>
          <t>NDSU KINSLE W FB 12PK:125114Z-12PK</t>
        </is>
      </c>
      <c r="F1496" s="0" t="inlineStr">
        <is>
          <t>'813125114992</t>
        </is>
      </c>
      <c r="G1496" s="0" t="inlineStr">
        <is>
          <t>WOMENS</t>
        </is>
      </c>
      <c r="H1496" s="0" t="inlineStr">
        <is>
          <t>12 PACK</t>
        </is>
      </c>
      <c r="I1496" s="0">
        <v>576</v>
      </c>
      <c r="J1496" s="0">
        <v>0</v>
      </c>
    </row>
    <row r="1497" spans="1:10" customHeight="0">
      <c r="A1497" s="0">
        <f>HYPERLINK("https://dl.dropboxusercontent.com/scl/fi/u5uemtxtuyqyog450rnly/kinsley34200.jpg?rlkey=y7yvi9e15wpakrwufzb407xxx&amp;dl=0","Click to download Image")</f>
      </c>
      <c r="B1497" s="0">
        <f>HYPERLINK("https://dl.dropboxusercontent.com/scl/fi/w4gcvha54djy47kfp7ulk/womens-pullover-size-chartskinsley.jpg?rlkey=nxisakkvztxedjoxrucxcmdok&amp;dl=0","Click to download SizeChart")</f>
      </c>
      <c r="C1497" s="0" t="inlineStr">
        <is>
          <t>Kinsley Women's Sherpa Pullover</t>
        </is>
      </c>
      <c r="D1497" s="0" t="inlineStr">
        <is>
          <t>'130687</t>
        </is>
      </c>
      <c r="E1497" s="0" t="inlineStr">
        <is>
          <t>DRK KINSLE W FB:130687A-S</t>
        </is>
      </c>
      <c r="F1497" s="0" t="inlineStr">
        <is>
          <t>'817130687045</t>
        </is>
      </c>
      <c r="G1497" s="0" t="inlineStr">
        <is>
          <t>WOMENS</t>
        </is>
      </c>
      <c r="H1497" s="0" t="inlineStr">
        <is>
          <t>S</t>
        </is>
      </c>
      <c r="I1497" s="0">
        <v>59.99</v>
      </c>
      <c r="J1497" s="0">
        <v>10</v>
      </c>
    </row>
    <row r="1498" spans="1:10" customHeight="0">
      <c r="A1498" s="0">
        <f>HYPERLINK("https://dl.dropboxusercontent.com/scl/fi/u5uemtxtuyqyog450rnly/kinsley34200.jpg?rlkey=y7yvi9e15wpakrwufzb407xxx&amp;dl=0","Click to download Image")</f>
      </c>
      <c r="B1498" s="0">
        <f>HYPERLINK("https://dl.dropboxusercontent.com/scl/fi/w4gcvha54djy47kfp7ulk/womens-pullover-size-chartskinsley.jpg?rlkey=nxisakkvztxedjoxrucxcmdok&amp;dl=0","Click to download SizeChart")</f>
      </c>
      <c r="C1498" s="0" t="inlineStr">
        <is>
          <t>Kinsley Women's Sherpa Pullover</t>
        </is>
      </c>
      <c r="D1498" s="0" t="inlineStr">
        <is>
          <t>'130687</t>
        </is>
      </c>
      <c r="E1498" s="0" t="inlineStr">
        <is>
          <t>DRK KINSLE W FB:130687B-M</t>
        </is>
      </c>
      <c r="F1498" s="0" t="inlineStr">
        <is>
          <t>'817130687052</t>
        </is>
      </c>
      <c r="G1498" s="0" t="inlineStr">
        <is>
          <t>WOMENS</t>
        </is>
      </c>
      <c r="H1498" s="0" t="inlineStr">
        <is>
          <t>M</t>
        </is>
      </c>
      <c r="I1498" s="0">
        <v>59.99</v>
      </c>
      <c r="J1498" s="0">
        <v>10</v>
      </c>
    </row>
    <row r="1499" spans="1:10" customHeight="0">
      <c r="A1499" s="0">
        <f>HYPERLINK("https://dl.dropboxusercontent.com/scl/fi/u5uemtxtuyqyog450rnly/kinsley34200.jpg?rlkey=y7yvi9e15wpakrwufzb407xxx&amp;dl=0","Click to download Image")</f>
      </c>
      <c r="B1499" s="0">
        <f>HYPERLINK("https://dl.dropboxusercontent.com/scl/fi/w4gcvha54djy47kfp7ulk/womens-pullover-size-chartskinsley.jpg?rlkey=nxisakkvztxedjoxrucxcmdok&amp;dl=0","Click to download SizeChart")</f>
      </c>
      <c r="C1499" s="0" t="inlineStr">
        <is>
          <t>Kinsley Women's Sherpa Pullover</t>
        </is>
      </c>
      <c r="D1499" s="0" t="inlineStr">
        <is>
          <t>'130687</t>
        </is>
      </c>
      <c r="E1499" s="0" t="inlineStr">
        <is>
          <t>DRK KINSLE W FB:130687C-L</t>
        </is>
      </c>
      <c r="F1499" s="0" t="inlineStr">
        <is>
          <t>'817130687069</t>
        </is>
      </c>
      <c r="G1499" s="0" t="inlineStr">
        <is>
          <t>WOMENS</t>
        </is>
      </c>
      <c r="H1499" s="0" t="inlineStr">
        <is>
          <t>L</t>
        </is>
      </c>
      <c r="I1499" s="0">
        <v>59.99</v>
      </c>
      <c r="J1499" s="0">
        <v>9</v>
      </c>
    </row>
    <row r="1500" spans="1:10" customHeight="0">
      <c r="A1500" s="0">
        <f>HYPERLINK("https://dl.dropboxusercontent.com/scl/fi/u5uemtxtuyqyog450rnly/kinsley34200.jpg?rlkey=y7yvi9e15wpakrwufzb407xxx&amp;dl=0","Click to download Image")</f>
      </c>
      <c r="B1500" s="0">
        <f>HYPERLINK("https://dl.dropboxusercontent.com/scl/fi/w4gcvha54djy47kfp7ulk/womens-pullover-size-chartskinsley.jpg?rlkey=nxisakkvztxedjoxrucxcmdok&amp;dl=0","Click to download SizeChart")</f>
      </c>
      <c r="C1500" s="0" t="inlineStr">
        <is>
          <t>Kinsley Women's Sherpa Pullover</t>
        </is>
      </c>
      <c r="D1500" s="0" t="inlineStr">
        <is>
          <t>'130687</t>
        </is>
      </c>
      <c r="E1500" s="0" t="inlineStr">
        <is>
          <t>DRK KINSLE W FB:130687D-XL</t>
        </is>
      </c>
      <c r="F1500" s="0" t="inlineStr">
        <is>
          <t>'817130687076</t>
        </is>
      </c>
      <c r="G1500" s="0" t="inlineStr">
        <is>
          <t>WOMENS</t>
        </is>
      </c>
      <c r="H1500" s="0" t="inlineStr">
        <is>
          <t>XL</t>
        </is>
      </c>
      <c r="I1500" s="0">
        <v>59.99</v>
      </c>
      <c r="J1500" s="0">
        <v>9</v>
      </c>
    </row>
    <row r="1501" spans="1:10" customHeight="0">
      <c r="A1501" s="0">
        <f>HYPERLINK("https://dl.dropboxusercontent.com/scl/fi/u5uemtxtuyqyog450rnly/kinsley34200.jpg?rlkey=y7yvi9e15wpakrwufzb407xxx&amp;dl=0","Click to download Image")</f>
      </c>
      <c r="B1501" s="0">
        <f>HYPERLINK("https://dl.dropboxusercontent.com/scl/fi/w4gcvha54djy47kfp7ulk/womens-pullover-size-chartskinsley.jpg?rlkey=nxisakkvztxedjoxrucxcmdok&amp;dl=0","Click to download SizeChart")</f>
      </c>
      <c r="C1501" s="0" t="inlineStr">
        <is>
          <t>Kinsley Women's Sherpa Pullover</t>
        </is>
      </c>
      <c r="D1501" s="0" t="inlineStr">
        <is>
          <t>'130687</t>
        </is>
      </c>
      <c r="E1501" s="0" t="inlineStr">
        <is>
          <t>DRK KINSLE W FB:130687E-2XL</t>
        </is>
      </c>
      <c r="F1501" s="0" t="inlineStr">
        <is>
          <t>'817130687083</t>
        </is>
      </c>
      <c r="G1501" s="0" t="inlineStr">
        <is>
          <t>WOMENS</t>
        </is>
      </c>
      <c r="H1501" s="0" t="inlineStr">
        <is>
          <t>2XL</t>
        </is>
      </c>
      <c r="I1501" s="0">
        <v>59.99</v>
      </c>
      <c r="J1501" s="0">
        <v>3</v>
      </c>
    </row>
    <row r="1502" spans="1:10" customHeight="0">
      <c r="A1502" s="0">
        <f>HYPERLINK("https://dl.dropboxusercontent.com/scl/fi/u5uemtxtuyqyog450rnly/kinsley34200.jpg?rlkey=y7yvi9e15wpakrwufzb407xxx&amp;dl=0","Click to download Image")</f>
      </c>
      <c r="B1502" s="0">
        <f>HYPERLINK("https://dl.dropboxusercontent.com/scl/fi/w4gcvha54djy47kfp7ulk/womens-pullover-size-chartskinsley.jpg?rlkey=nxisakkvztxedjoxrucxcmdok&amp;dl=0","Click to download SizeChart")</f>
      </c>
      <c r="C1502" s="0" t="inlineStr">
        <is>
          <t>Kinsley Women's Sherpa Pullover</t>
        </is>
      </c>
      <c r="D1502" s="0" t="inlineStr">
        <is>
          <t>'130687</t>
        </is>
      </c>
      <c r="E1502" s="0" t="inlineStr">
        <is>
          <t>DRK KINSLE W FB:130687F-3XL</t>
        </is>
      </c>
      <c r="F1502" s="0" t="inlineStr">
        <is>
          <t>'817130687090</t>
        </is>
      </c>
      <c r="G1502" s="0" t="inlineStr">
        <is>
          <t>WOMENS</t>
        </is>
      </c>
      <c r="H1502" s="0" t="inlineStr">
        <is>
          <t>3XL</t>
        </is>
      </c>
      <c r="I1502" s="0">
        <v>59.99</v>
      </c>
      <c r="J1502" s="0">
        <v>2</v>
      </c>
    </row>
    <row r="1503" spans="1:10" customHeight="0">
      <c r="A1503" s="0">
        <f>HYPERLINK("https://dl.dropboxusercontent.com/scl/fi/u5uemtxtuyqyog450rnly/kinsley34200.jpg?rlkey=y7yvi9e15wpakrwufzb407xxx&amp;dl=0","Click to download Image")</f>
      </c>
      <c r="B1503" s="0">
        <f>HYPERLINK("https://dl.dropboxusercontent.com/scl/fi/w4gcvha54djy47kfp7ulk/womens-pullover-size-chartskinsley.jpg?rlkey=nxisakkvztxedjoxrucxcmdok&amp;dl=0","Click to download SizeChart")</f>
      </c>
      <c r="C1503" s="0" t="inlineStr">
        <is>
          <t>Kinsley Women's Sherpa Pullover</t>
        </is>
      </c>
      <c r="D1503" s="0" t="inlineStr">
        <is>
          <t>'130687</t>
        </is>
      </c>
      <c r="E1503" s="0" t="inlineStr">
        <is>
          <t>DRK KINSLE W FB:130687Z-12PK</t>
        </is>
      </c>
      <c r="F1503" s="0" t="inlineStr">
        <is>
          <t>'817130687991</t>
        </is>
      </c>
      <c r="G1503" s="0" t="inlineStr">
        <is>
          <t>WOMENS</t>
        </is>
      </c>
      <c r="H1503" s="0" t="inlineStr">
        <is>
          <t>12 PACK</t>
        </is>
      </c>
      <c r="I1503" s="0">
        <v>576</v>
      </c>
      <c r="J1503" s="0">
        <v>0</v>
      </c>
    </row>
    <row r="1504" spans="1:10" customHeight="0">
      <c r="A1504" s="0">
        <f>HYPERLINK("https://dl.dropboxusercontent.com/scl/fi/q5lly1oo6gdx38v2insho/kylo.jpg?rlkey=7sok7gzbfcx8c1bxemy2trrfr&amp;dl=0","Click to download Image")</f>
      </c>
      <c r="C1504" s="0" t="inlineStr">
        <is>
          <t>Kylo Infant Shirt</t>
        </is>
      </c>
      <c r="D1504" s="0" t="inlineStr">
        <is>
          <t>'121062</t>
        </is>
      </c>
      <c r="E1504" s="0" t="inlineStr">
        <is>
          <t>IOWA KYLO I BLACK SET:121062A-0-3M</t>
        </is>
      </c>
      <c r="F1504" s="0" t="inlineStr">
        <is>
          <t>'800121062006</t>
        </is>
      </c>
      <c r="G1504" s="0" t="inlineStr">
        <is>
          <t>INFANT</t>
        </is>
      </c>
      <c r="H1504" s="0" t="inlineStr">
        <is>
          <t>0-3M</t>
        </is>
      </c>
      <c r="I1504" s="0">
        <v>39.99</v>
      </c>
      <c r="J1504" s="0">
        <v>7</v>
      </c>
    </row>
    <row r="1505" spans="1:10" customHeight="0">
      <c r="A1505" s="0">
        <f>HYPERLINK("https://dl.dropboxusercontent.com/scl/fi/q5lly1oo6gdx38v2insho/kylo.jpg?rlkey=7sok7gzbfcx8c1bxemy2trrfr&amp;dl=0","Click to download Image")</f>
      </c>
      <c r="C1505" s="0" t="inlineStr">
        <is>
          <t>Kylo Infant Shirt</t>
        </is>
      </c>
      <c r="D1505" s="0" t="inlineStr">
        <is>
          <t>'121062</t>
        </is>
      </c>
      <c r="E1505" s="0" t="inlineStr">
        <is>
          <t>IOWA KYLO I BLACK SET:121062B-3-6M</t>
        </is>
      </c>
      <c r="F1505" s="0" t="inlineStr">
        <is>
          <t>'800121062013</t>
        </is>
      </c>
      <c r="G1505" s="0" t="inlineStr">
        <is>
          <t>INFANT</t>
        </is>
      </c>
      <c r="H1505" s="0" t="inlineStr">
        <is>
          <t>3-6M</t>
        </is>
      </c>
      <c r="I1505" s="0">
        <v>39.99</v>
      </c>
      <c r="J1505" s="0">
        <v>1</v>
      </c>
    </row>
    <row r="1506" spans="1:10" customHeight="0">
      <c r="A1506" s="0">
        <f>HYPERLINK("https://dl.dropboxusercontent.com/scl/fi/q5lly1oo6gdx38v2insho/kylo.jpg?rlkey=7sok7gzbfcx8c1bxemy2trrfr&amp;dl=0","Click to download Image")</f>
      </c>
      <c r="C1506" s="0" t="inlineStr">
        <is>
          <t>Kylo Infant Shirt</t>
        </is>
      </c>
      <c r="D1506" s="0" t="inlineStr">
        <is>
          <t>'121062</t>
        </is>
      </c>
      <c r="E1506" s="0" t="inlineStr">
        <is>
          <t>IOWA KYLO I BLACK SET:121062C-6-9M</t>
        </is>
      </c>
      <c r="F1506" s="0" t="inlineStr">
        <is>
          <t>'800121062020</t>
        </is>
      </c>
      <c r="G1506" s="0" t="inlineStr">
        <is>
          <t>INFANT</t>
        </is>
      </c>
      <c r="H1506" s="0" t="inlineStr">
        <is>
          <t>6-9M</t>
        </is>
      </c>
      <c r="I1506" s="0">
        <v>39.99</v>
      </c>
      <c r="J1506" s="0">
        <v>0</v>
      </c>
    </row>
    <row r="1507" spans="1:10" customHeight="0">
      <c r="A1507" s="0">
        <f>HYPERLINK("https://dl.dropboxusercontent.com/scl/fi/q5lly1oo6gdx38v2insho/kylo.jpg?rlkey=7sok7gzbfcx8c1bxemy2trrfr&amp;dl=0","Click to download Image")</f>
      </c>
      <c r="C1507" s="0" t="inlineStr">
        <is>
          <t>Kylo Infant Shirt</t>
        </is>
      </c>
      <c r="D1507" s="0" t="inlineStr">
        <is>
          <t>'121062</t>
        </is>
      </c>
      <c r="E1507" s="0" t="inlineStr">
        <is>
          <t>IOWA KYLO I BLACK SET:121062F-12M</t>
        </is>
      </c>
      <c r="F1507" s="0" t="inlineStr">
        <is>
          <t>'800121062037</t>
        </is>
      </c>
      <c r="G1507" s="0" t="inlineStr">
        <is>
          <t>INFANT</t>
        </is>
      </c>
      <c r="H1507" s="0" t="inlineStr">
        <is>
          <t>12M</t>
        </is>
      </c>
      <c r="I1507" s="0">
        <v>39.99</v>
      </c>
      <c r="J1507" s="0">
        <v>0</v>
      </c>
    </row>
    <row r="1508" spans="1:10" customHeight="0">
      <c r="A1508" s="0">
        <f>HYPERLINK("https://dl.dropboxusercontent.com/scl/fi/q5lly1oo6gdx38v2insho/kylo.jpg?rlkey=7sok7gzbfcx8c1bxemy2trrfr&amp;dl=0","Click to download Image")</f>
      </c>
      <c r="C1508" s="0" t="inlineStr">
        <is>
          <t>Kylo Infant Shirt</t>
        </is>
      </c>
      <c r="D1508" s="0" t="inlineStr">
        <is>
          <t>'121062</t>
        </is>
      </c>
      <c r="E1508" s="0" t="inlineStr">
        <is>
          <t>IOWA KYLO I BLACK SET 12 PACK:121062Z-12PK</t>
        </is>
      </c>
      <c r="F1508" s="0" t="inlineStr">
        <is>
          <t>'800121062990</t>
        </is>
      </c>
      <c r="G1508" s="0" t="inlineStr">
        <is>
          <t>INFANT</t>
        </is>
      </c>
      <c r="H1508" s="0" t="inlineStr">
        <is>
          <t>12 PACK</t>
        </is>
      </c>
      <c r="I1508" s="0">
        <v>384</v>
      </c>
      <c r="J1508" s="0">
        <v>0</v>
      </c>
    </row>
    <row r="1509" spans="1:10" customHeight="0">
      <c r="A1509" s="0">
        <f>HYPERLINK("https://dl.dropboxusercontent.com/scl/fi/me57nocgc14ioq00cvoam/ndsukyloset-f.jpg?rlkey=hd6saxwk3tpihndbgz62tjcbm&amp;dl=0","Click to download Image")</f>
      </c>
      <c r="C1509" s="0" t="inlineStr">
        <is>
          <t>Kylo Infant Shirt</t>
        </is>
      </c>
      <c r="D1509" s="0" t="inlineStr">
        <is>
          <t>'123730</t>
        </is>
      </c>
      <c r="E1509" s="0" t="inlineStr">
        <is>
          <t>NDSU KYLO I BK:123730A-0-3M</t>
        </is>
      </c>
      <c r="F1509" s="0" t="inlineStr">
        <is>
          <t>'813123730002</t>
        </is>
      </c>
      <c r="G1509" s="0" t="inlineStr">
        <is>
          <t>INFANT</t>
        </is>
      </c>
      <c r="H1509" s="0" t="inlineStr">
        <is>
          <t>0-3M</t>
        </is>
      </c>
      <c r="I1509" s="0">
        <v>39.99</v>
      </c>
      <c r="J1509" s="0">
        <v>8</v>
      </c>
    </row>
    <row r="1510" spans="1:10" customHeight="0">
      <c r="A1510" s="0">
        <f>HYPERLINK("https://dl.dropboxusercontent.com/scl/fi/me57nocgc14ioq00cvoam/ndsukyloset-f.jpg?rlkey=hd6saxwk3tpihndbgz62tjcbm&amp;dl=0","Click to download Image")</f>
      </c>
      <c r="C1510" s="0" t="inlineStr">
        <is>
          <t>Kylo Infant Shirt</t>
        </is>
      </c>
      <c r="D1510" s="0" t="inlineStr">
        <is>
          <t>'123730</t>
        </is>
      </c>
      <c r="E1510" s="0" t="inlineStr">
        <is>
          <t>NDSU KYLO I BK:123730B-3-6M</t>
        </is>
      </c>
      <c r="F1510" s="0" t="inlineStr">
        <is>
          <t>'813123730019</t>
        </is>
      </c>
      <c r="G1510" s="0" t="inlineStr">
        <is>
          <t>INFANT</t>
        </is>
      </c>
      <c r="H1510" s="0" t="inlineStr">
        <is>
          <t>3-6M</t>
        </is>
      </c>
      <c r="I1510" s="0">
        <v>39.99</v>
      </c>
      <c r="J1510" s="0">
        <v>7</v>
      </c>
    </row>
    <row r="1511" spans="1:10" customHeight="0">
      <c r="A1511" s="0">
        <f>HYPERLINK("https://dl.dropboxusercontent.com/scl/fi/me57nocgc14ioq00cvoam/ndsukyloset-f.jpg?rlkey=hd6saxwk3tpihndbgz62tjcbm&amp;dl=0","Click to download Image")</f>
      </c>
      <c r="C1511" s="0" t="inlineStr">
        <is>
          <t>Kylo Infant Shirt</t>
        </is>
      </c>
      <c r="D1511" s="0" t="inlineStr">
        <is>
          <t>'123730</t>
        </is>
      </c>
      <c r="E1511" s="0" t="inlineStr">
        <is>
          <t>NDSU KYLO I BK:123730C-6-9M</t>
        </is>
      </c>
      <c r="F1511" s="0" t="inlineStr">
        <is>
          <t>'813123730026</t>
        </is>
      </c>
      <c r="G1511" s="0" t="inlineStr">
        <is>
          <t>INFANT</t>
        </is>
      </c>
      <c r="H1511" s="0" t="inlineStr">
        <is>
          <t>6-9M</t>
        </is>
      </c>
      <c r="I1511" s="0">
        <v>39.99</v>
      </c>
      <c r="J1511" s="0">
        <v>5</v>
      </c>
    </row>
    <row r="1512" spans="1:10" customHeight="0">
      <c r="A1512" s="0">
        <f>HYPERLINK("https://dl.dropboxusercontent.com/scl/fi/me57nocgc14ioq00cvoam/ndsukyloset-f.jpg?rlkey=hd6saxwk3tpihndbgz62tjcbm&amp;dl=0","Click to download Image")</f>
      </c>
      <c r="C1512" s="0" t="inlineStr">
        <is>
          <t>Kylo Infant Shirt</t>
        </is>
      </c>
      <c r="D1512" s="0" t="inlineStr">
        <is>
          <t>'123730</t>
        </is>
      </c>
      <c r="E1512" s="0" t="inlineStr">
        <is>
          <t>NDSU KYLO I BK:123730F-12M</t>
        </is>
      </c>
      <c r="F1512" s="0" t="inlineStr">
        <is>
          <t>'813123730033</t>
        </is>
      </c>
      <c r="G1512" s="0" t="inlineStr">
        <is>
          <t>INFANT</t>
        </is>
      </c>
      <c r="H1512" s="0" t="inlineStr">
        <is>
          <t>12M</t>
        </is>
      </c>
      <c r="I1512" s="0">
        <v>39.99</v>
      </c>
      <c r="J1512" s="0">
        <v>5</v>
      </c>
    </row>
    <row r="1513" spans="1:10" customHeight="0">
      <c r="A1513" s="0">
        <f>HYPERLINK("https://dl.dropboxusercontent.com/scl/fi/me57nocgc14ioq00cvoam/ndsukyloset-f.jpg?rlkey=hd6saxwk3tpihndbgz62tjcbm&amp;dl=0","Click to download Image")</f>
      </c>
      <c r="C1513" s="0" t="inlineStr">
        <is>
          <t>Kylo Infant Shirt</t>
        </is>
      </c>
      <c r="D1513" s="0" t="inlineStr">
        <is>
          <t>'123730</t>
        </is>
      </c>
      <c r="E1513" s="0" t="inlineStr">
        <is>
          <t>NDSU KYLO I BK 12PK:123730Z-12PK</t>
        </is>
      </c>
      <c r="F1513" s="0" t="inlineStr">
        <is>
          <t>'813123730996</t>
        </is>
      </c>
      <c r="G1513" s="0" t="inlineStr">
        <is>
          <t>INFANT</t>
        </is>
      </c>
      <c r="H1513" s="0" t="inlineStr">
        <is>
          <t>12 PACK</t>
        </is>
      </c>
      <c r="I1513" s="0">
        <v>384</v>
      </c>
      <c r="J1513" s="0">
        <v>1</v>
      </c>
    </row>
    <row r="1514" spans="1:10" customHeight="0">
      <c r="A1514" s="0">
        <f>HYPERLINK("https://dl.dropboxusercontent.com/scl/fi/dgahxsa5ez6b2thmbo5dw/usdkylosetf68833.jpg?rlkey=pzat5c5q71ampr98clcwzdqww&amp;dl=0","Click to download Image")</f>
      </c>
      <c r="C1514" s="0" t="inlineStr">
        <is>
          <t>Kylo Infant Shirt</t>
        </is>
      </c>
      <c r="D1514" s="0" t="inlineStr">
        <is>
          <t>'124079</t>
        </is>
      </c>
      <c r="E1514" s="0" t="inlineStr">
        <is>
          <t>USD KYLO I BK:124079A-0-3M</t>
        </is>
      </c>
      <c r="F1514" s="0" t="inlineStr">
        <is>
          <t>'811124079007</t>
        </is>
      </c>
      <c r="G1514" s="0" t="inlineStr">
        <is>
          <t>INFANT</t>
        </is>
      </c>
      <c r="H1514" s="0" t="inlineStr">
        <is>
          <t>0-3M</t>
        </is>
      </c>
      <c r="I1514" s="0">
        <v>39.99</v>
      </c>
      <c r="J1514" s="0">
        <v>10</v>
      </c>
    </row>
    <row r="1515" spans="1:10" customHeight="0">
      <c r="A1515" s="0">
        <f>HYPERLINK("https://dl.dropboxusercontent.com/scl/fi/dgahxsa5ez6b2thmbo5dw/usdkylosetf68833.jpg?rlkey=pzat5c5q71ampr98clcwzdqww&amp;dl=0","Click to download Image")</f>
      </c>
      <c r="C1515" s="0" t="inlineStr">
        <is>
          <t>Kylo Infant Shirt</t>
        </is>
      </c>
      <c r="D1515" s="0" t="inlineStr">
        <is>
          <t>'124079</t>
        </is>
      </c>
      <c r="E1515" s="0" t="inlineStr">
        <is>
          <t>USD KYLO I BK:124079B-3-6M</t>
        </is>
      </c>
      <c r="F1515" s="0" t="inlineStr">
        <is>
          <t>'811124079014</t>
        </is>
      </c>
      <c r="G1515" s="0" t="inlineStr">
        <is>
          <t>INFANT</t>
        </is>
      </c>
      <c r="H1515" s="0" t="inlineStr">
        <is>
          <t>3-6M</t>
        </is>
      </c>
      <c r="I1515" s="0">
        <v>39.99</v>
      </c>
      <c r="J1515" s="0">
        <v>9</v>
      </c>
    </row>
    <row r="1516" spans="1:10" customHeight="0">
      <c r="A1516" s="0">
        <f>HYPERLINK("https://dl.dropboxusercontent.com/scl/fi/dgahxsa5ez6b2thmbo5dw/usdkylosetf68833.jpg?rlkey=pzat5c5q71ampr98clcwzdqww&amp;dl=0","Click to download Image")</f>
      </c>
      <c r="C1516" s="0" t="inlineStr">
        <is>
          <t>Kylo Infant Shirt</t>
        </is>
      </c>
      <c r="D1516" s="0" t="inlineStr">
        <is>
          <t>'124079</t>
        </is>
      </c>
      <c r="E1516" s="0" t="inlineStr">
        <is>
          <t>USD KYLO I BK:124079C-6-9M</t>
        </is>
      </c>
      <c r="F1516" s="0" t="inlineStr">
        <is>
          <t>'811124079021</t>
        </is>
      </c>
      <c r="G1516" s="0" t="inlineStr">
        <is>
          <t>INFANT</t>
        </is>
      </c>
      <c r="H1516" s="0" t="inlineStr">
        <is>
          <t>6-9M</t>
        </is>
      </c>
      <c r="I1516" s="0">
        <v>39.99</v>
      </c>
      <c r="J1516" s="0">
        <v>9</v>
      </c>
    </row>
    <row r="1517" spans="1:10" customHeight="0">
      <c r="A1517" s="0">
        <f>HYPERLINK("https://dl.dropboxusercontent.com/scl/fi/dgahxsa5ez6b2thmbo5dw/usdkylosetf68833.jpg?rlkey=pzat5c5q71ampr98clcwzdqww&amp;dl=0","Click to download Image")</f>
      </c>
      <c r="C1517" s="0" t="inlineStr">
        <is>
          <t>Kylo Infant Shirt</t>
        </is>
      </c>
      <c r="D1517" s="0" t="inlineStr">
        <is>
          <t>'124079</t>
        </is>
      </c>
      <c r="E1517" s="0" t="inlineStr">
        <is>
          <t>USD KYLO I BK:124079F-12M</t>
        </is>
      </c>
      <c r="F1517" s="0" t="inlineStr">
        <is>
          <t>'811124079038</t>
        </is>
      </c>
      <c r="G1517" s="0" t="inlineStr">
        <is>
          <t>INFANT</t>
        </is>
      </c>
      <c r="H1517" s="0" t="inlineStr">
        <is>
          <t>12M</t>
        </is>
      </c>
      <c r="I1517" s="0">
        <v>39.99</v>
      </c>
      <c r="J1517" s="0">
        <v>9</v>
      </c>
    </row>
    <row r="1518" spans="1:10" customHeight="0">
      <c r="A1518" s="0">
        <f>HYPERLINK("https://dl.dropboxusercontent.com/scl/fi/dgahxsa5ez6b2thmbo5dw/usdkylosetf68833.jpg?rlkey=pzat5c5q71ampr98clcwzdqww&amp;dl=0","Click to download Image")</f>
      </c>
      <c r="C1518" s="0" t="inlineStr">
        <is>
          <t>Kylo Infant Shirt</t>
        </is>
      </c>
      <c r="D1518" s="0" t="inlineStr">
        <is>
          <t>'124079</t>
        </is>
      </c>
      <c r="E1518" s="0" t="inlineStr">
        <is>
          <t>USD KYLO I BK 12PK:124079Z-12PK</t>
        </is>
      </c>
      <c r="F1518" s="0" t="inlineStr">
        <is>
          <t>'811124079991</t>
        </is>
      </c>
      <c r="G1518" s="0" t="inlineStr">
        <is>
          <t>INFANT</t>
        </is>
      </c>
      <c r="H1518" s="0" t="inlineStr">
        <is>
          <t>12 PACK</t>
        </is>
      </c>
      <c r="I1518" s="0">
        <v>384</v>
      </c>
      <c r="J1518" s="0">
        <v>3</v>
      </c>
    </row>
    <row r="1519" spans="1:10" customHeight="0">
      <c r="A1519" s="0">
        <f>HYPERLINK("https://dl.dropboxusercontent.com/scl/fi/luxx7jti2b213n2qt0cow/94276af60392.jpg?rlkey=ik3pdm8wr4h3hoj133qy2bik7&amp;dl=0","Click to download Image")</f>
      </c>
      <c r="C1519" s="0" t="inlineStr">
        <is>
          <t>Herky Youth Backpack</t>
        </is>
      </c>
      <c r="D1519" s="0" t="inlineStr">
        <is>
          <t>'94276</t>
        </is>
      </c>
      <c r="E1519" s="0" t="inlineStr">
        <is>
          <t>HERKY BP:94276</t>
        </is>
      </c>
      <c r="F1519" s="0" t="inlineStr">
        <is>
          <t>'090009427601</t>
        </is>
      </c>
      <c r="I1519" s="0">
        <v>19.99</v>
      </c>
      <c r="J1519" s="0">
        <v>110</v>
      </c>
    </row>
    <row r="1520" spans="1:10" customHeight="0">
      <c r="A1520" s="0">
        <f>HYPERLINK("https://dl.dropboxusercontent.com/scl/fi/j25ecegahzvamllc9c7kw/beverly-f.jpg?rlkey=w487sfhttig7l23ts9kwotg8j&amp;dl=0","Click to download Image")</f>
      </c>
      <c r="B1520" s="0">
        <f>HYPERLINK("https://dl.dropboxusercontent.com/scl/fi/jsrh9vc97bezmns8i6476/womens-polo-size-chartsbeverly.jpg?rlkey=ko9f2dhg89u13wcitzl6tgih7&amp;dl=0","Click to download SizeChart")</f>
      </c>
      <c r="C1520" s="0" t="inlineStr">
        <is>
          <t>Beverly Women's Performance Polo</t>
        </is>
      </c>
      <c r="D1520" s="0" t="inlineStr">
        <is>
          <t>'112231</t>
        </is>
      </c>
      <c r="E1520" s="0" t="inlineStr">
        <is>
          <t>IOWA BEVERLY BLACK:112231A - S</t>
        </is>
      </c>
      <c r="F1520" s="0" t="inlineStr">
        <is>
          <t>'000000000000</t>
        </is>
      </c>
      <c r="G1520" s="0" t="inlineStr">
        <is>
          <t>WOMENS</t>
        </is>
      </c>
      <c r="H1520" s="0" t="inlineStr">
        <is>
          <t>S</t>
        </is>
      </c>
      <c r="I1520" s="0">
        <v>39.99</v>
      </c>
      <c r="J1520" s="0">
        <v>0</v>
      </c>
    </row>
    <row r="1521" spans="1:10" customHeight="0">
      <c r="A1521" s="0">
        <f>HYPERLINK("https://dl.dropboxusercontent.com/scl/fi/j25ecegahzvamllc9c7kw/beverly-f.jpg?rlkey=w487sfhttig7l23ts9kwotg8j&amp;dl=0","Click to download Image")</f>
      </c>
      <c r="B1521" s="0">
        <f>HYPERLINK("https://dl.dropboxusercontent.com/scl/fi/jsrh9vc97bezmns8i6476/womens-polo-size-chartsbeverly.jpg?rlkey=ko9f2dhg89u13wcitzl6tgih7&amp;dl=0","Click to download SizeChart")</f>
      </c>
      <c r="C1521" s="0" t="inlineStr">
        <is>
          <t>Beverly Women's Performance Polo</t>
        </is>
      </c>
      <c r="D1521" s="0" t="inlineStr">
        <is>
          <t>'112231</t>
        </is>
      </c>
      <c r="E1521" s="0" t="inlineStr">
        <is>
          <t>IOWA BEVERLY BLACK:112231B - M</t>
        </is>
      </c>
      <c r="F1521" s="0" t="inlineStr">
        <is>
          <t>'000000000000</t>
        </is>
      </c>
      <c r="G1521" s="0" t="inlineStr">
        <is>
          <t>WOMENS</t>
        </is>
      </c>
      <c r="H1521" s="0" t="inlineStr">
        <is>
          <t>M</t>
        </is>
      </c>
      <c r="I1521" s="0">
        <v>39.99</v>
      </c>
      <c r="J1521" s="0">
        <v>1</v>
      </c>
    </row>
    <row r="1522" spans="1:10" customHeight="0">
      <c r="A1522" s="0">
        <f>HYPERLINK("https://dl.dropboxusercontent.com/scl/fi/j25ecegahzvamllc9c7kw/beverly-f.jpg?rlkey=w487sfhttig7l23ts9kwotg8j&amp;dl=0","Click to download Image")</f>
      </c>
      <c r="B1522" s="0">
        <f>HYPERLINK("https://dl.dropboxusercontent.com/scl/fi/jsrh9vc97bezmns8i6476/womens-polo-size-chartsbeverly.jpg?rlkey=ko9f2dhg89u13wcitzl6tgih7&amp;dl=0","Click to download SizeChart")</f>
      </c>
      <c r="C1522" s="0" t="inlineStr">
        <is>
          <t>Beverly Women's Performance Polo</t>
        </is>
      </c>
      <c r="D1522" s="0" t="inlineStr">
        <is>
          <t>'112231</t>
        </is>
      </c>
      <c r="E1522" s="0" t="inlineStr">
        <is>
          <t>IOWA BEVERLY BLACK:112231C - L</t>
        </is>
      </c>
      <c r="F1522" s="0" t="inlineStr">
        <is>
          <t>'000000000000</t>
        </is>
      </c>
      <c r="G1522" s="0" t="inlineStr">
        <is>
          <t>WOMENS</t>
        </is>
      </c>
      <c r="H1522" s="0" t="inlineStr">
        <is>
          <t>L</t>
        </is>
      </c>
      <c r="I1522" s="0">
        <v>39.99</v>
      </c>
      <c r="J1522" s="0">
        <v>10</v>
      </c>
    </row>
    <row r="1523" spans="1:10" customHeight="0">
      <c r="A1523" s="0">
        <f>HYPERLINK("https://dl.dropboxusercontent.com/scl/fi/j25ecegahzvamllc9c7kw/beverly-f.jpg?rlkey=w487sfhttig7l23ts9kwotg8j&amp;dl=0","Click to download Image")</f>
      </c>
      <c r="B1523" s="0">
        <f>HYPERLINK("https://dl.dropboxusercontent.com/scl/fi/jsrh9vc97bezmns8i6476/womens-polo-size-chartsbeverly.jpg?rlkey=ko9f2dhg89u13wcitzl6tgih7&amp;dl=0","Click to download SizeChart")</f>
      </c>
      <c r="C1523" s="0" t="inlineStr">
        <is>
          <t>Beverly Women's Performance Polo</t>
        </is>
      </c>
      <c r="D1523" s="0" t="inlineStr">
        <is>
          <t>'112231</t>
        </is>
      </c>
      <c r="E1523" s="0" t="inlineStr">
        <is>
          <t>IOWA BEVERLY BLACK:112231D - XL</t>
        </is>
      </c>
      <c r="F1523" s="0" t="inlineStr">
        <is>
          <t>'000000000000</t>
        </is>
      </c>
      <c r="G1523" s="0" t="inlineStr">
        <is>
          <t>WOMENS</t>
        </is>
      </c>
      <c r="H1523" s="0" t="inlineStr">
        <is>
          <t>XL</t>
        </is>
      </c>
      <c r="I1523" s="0">
        <v>39.99</v>
      </c>
      <c r="J1523" s="0">
        <v>15</v>
      </c>
    </row>
    <row r="1524" spans="1:10" customHeight="0">
      <c r="A1524" s="0">
        <f>HYPERLINK("https://dl.dropboxusercontent.com/scl/fi/j25ecegahzvamllc9c7kw/beverly-f.jpg?rlkey=w487sfhttig7l23ts9kwotg8j&amp;dl=0","Click to download Image")</f>
      </c>
      <c r="B1524" s="0">
        <f>HYPERLINK("https://dl.dropboxusercontent.com/scl/fi/jsrh9vc97bezmns8i6476/womens-polo-size-chartsbeverly.jpg?rlkey=ko9f2dhg89u13wcitzl6tgih7&amp;dl=0","Click to download SizeChart")</f>
      </c>
      <c r="C1524" s="0" t="inlineStr">
        <is>
          <t>Beverly Women's Performance Polo</t>
        </is>
      </c>
      <c r="D1524" s="0" t="inlineStr">
        <is>
          <t>'112231</t>
        </is>
      </c>
      <c r="E1524" s="0" t="inlineStr">
        <is>
          <t>IOWA BEVERLY BLACK:112231E - 2XL</t>
        </is>
      </c>
      <c r="F1524" s="0" t="inlineStr">
        <is>
          <t>'000000000000</t>
        </is>
      </c>
      <c r="G1524" s="0" t="inlineStr">
        <is>
          <t>WOMENS</t>
        </is>
      </c>
      <c r="H1524" s="0" t="inlineStr">
        <is>
          <t>2XL</t>
        </is>
      </c>
      <c r="I1524" s="0">
        <v>43.99</v>
      </c>
      <c r="J1524" s="0">
        <v>11</v>
      </c>
    </row>
    <row r="1525" spans="1:10" customHeight="0">
      <c r="A1525" s="0">
        <f>HYPERLINK("https://dl.dropboxusercontent.com/scl/fi/j25ecegahzvamllc9c7kw/beverly-f.jpg?rlkey=w487sfhttig7l23ts9kwotg8j&amp;dl=0","Click to download Image")</f>
      </c>
      <c r="B1525" s="0">
        <f>HYPERLINK("https://dl.dropboxusercontent.com/scl/fi/jsrh9vc97bezmns8i6476/womens-polo-size-chartsbeverly.jpg?rlkey=ko9f2dhg89u13wcitzl6tgih7&amp;dl=0","Click to download SizeChart")</f>
      </c>
      <c r="C1525" s="0" t="inlineStr">
        <is>
          <t>Beverly Women's Performance Polo</t>
        </is>
      </c>
      <c r="D1525" s="0" t="inlineStr">
        <is>
          <t>'112231</t>
        </is>
      </c>
      <c r="E1525" s="0" t="inlineStr">
        <is>
          <t>IOWA BEVERLY BLACK:112231F - 3XL</t>
        </is>
      </c>
      <c r="F1525" s="0" t="inlineStr">
        <is>
          <t>'000000000000</t>
        </is>
      </c>
      <c r="G1525" s="0" t="inlineStr">
        <is>
          <t>WOMENS</t>
        </is>
      </c>
      <c r="H1525" s="0" t="inlineStr">
        <is>
          <t>3XL</t>
        </is>
      </c>
      <c r="I1525" s="0">
        <v>43.99</v>
      </c>
      <c r="J1525" s="0">
        <v>3</v>
      </c>
    </row>
    <row r="1526" spans="1:10" customHeight="0">
      <c r="A1526" s="0">
        <f>HYPERLINK("https://dl.dropboxusercontent.com/scl/fi/t8jcv1s386t37t5gubhnw/vrtl-drk-brent-polo-bk-090123-v1-0251498-1.jpg?rlkey=n2blvivhft0qopy90tqqfuaer&amp;dl=0","Click to download Image")</f>
      </c>
      <c r="C1526" s="0" t="inlineStr">
        <is>
          <t>Brent Men's Performance Polo</t>
        </is>
      </c>
      <c r="D1526" s="0" t="inlineStr">
        <is>
          <t>'144252</t>
        </is>
      </c>
      <c r="E1526" s="0" t="inlineStr">
        <is>
          <t>DRK BRENT M BK:144252A-S</t>
        </is>
      </c>
      <c r="F1526" s="0" t="inlineStr">
        <is>
          <t>'817144252048</t>
        </is>
      </c>
      <c r="G1526" s="0" t="inlineStr">
        <is>
          <t>MENS</t>
        </is>
      </c>
      <c r="H1526" s="0" t="inlineStr">
        <is>
          <t>S</t>
        </is>
      </c>
      <c r="I1526" s="0">
        <v>39.99</v>
      </c>
      <c r="J1526" s="0">
        <v>2</v>
      </c>
    </row>
    <row r="1527" spans="1:10" customHeight="0">
      <c r="A1527" s="0">
        <f>HYPERLINK("https://dl.dropboxusercontent.com/scl/fi/t8jcv1s386t37t5gubhnw/vrtl-drk-brent-polo-bk-090123-v1-0251498-1.jpg?rlkey=n2blvivhft0qopy90tqqfuaer&amp;dl=0","Click to download Image")</f>
      </c>
      <c r="C1527" s="0" t="inlineStr">
        <is>
          <t>Brent Men's Performance Polo</t>
        </is>
      </c>
      <c r="D1527" s="0" t="inlineStr">
        <is>
          <t>'144252</t>
        </is>
      </c>
      <c r="E1527" s="0" t="inlineStr">
        <is>
          <t>DRK BRENT M BK:144252B-M</t>
        </is>
      </c>
      <c r="F1527" s="0" t="inlineStr">
        <is>
          <t>'817144252055</t>
        </is>
      </c>
      <c r="G1527" s="0" t="inlineStr">
        <is>
          <t>MENS</t>
        </is>
      </c>
      <c r="H1527" s="0" t="inlineStr">
        <is>
          <t>M</t>
        </is>
      </c>
      <c r="I1527" s="0">
        <v>39.99</v>
      </c>
      <c r="J1527" s="0">
        <v>0</v>
      </c>
    </row>
    <row r="1528" spans="1:10" customHeight="0">
      <c r="A1528" s="0">
        <f>HYPERLINK("https://dl.dropboxusercontent.com/scl/fi/t8jcv1s386t37t5gubhnw/vrtl-drk-brent-polo-bk-090123-v1-0251498-1.jpg?rlkey=n2blvivhft0qopy90tqqfuaer&amp;dl=0","Click to download Image")</f>
      </c>
      <c r="C1528" s="0" t="inlineStr">
        <is>
          <t>Brent Men's Performance Polo</t>
        </is>
      </c>
      <c r="D1528" s="0" t="inlineStr">
        <is>
          <t>'144252</t>
        </is>
      </c>
      <c r="E1528" s="0" t="inlineStr">
        <is>
          <t>DRK BRENT M BK:144252C-L</t>
        </is>
      </c>
      <c r="F1528" s="0" t="inlineStr">
        <is>
          <t>'817144252062</t>
        </is>
      </c>
      <c r="G1528" s="0" t="inlineStr">
        <is>
          <t>MENS</t>
        </is>
      </c>
      <c r="H1528" s="0" t="inlineStr">
        <is>
          <t>L</t>
        </is>
      </c>
      <c r="I1528" s="0">
        <v>39.99</v>
      </c>
      <c r="J1528" s="0">
        <v>4</v>
      </c>
    </row>
    <row r="1529" spans="1:10" customHeight="0">
      <c r="A1529" s="0">
        <f>HYPERLINK("https://dl.dropboxusercontent.com/scl/fi/t8jcv1s386t37t5gubhnw/vrtl-drk-brent-polo-bk-090123-v1-0251498-1.jpg?rlkey=n2blvivhft0qopy90tqqfuaer&amp;dl=0","Click to download Image")</f>
      </c>
      <c r="C1529" s="0" t="inlineStr">
        <is>
          <t>Brent Men's Performance Polo</t>
        </is>
      </c>
      <c r="D1529" s="0" t="inlineStr">
        <is>
          <t>'144252</t>
        </is>
      </c>
      <c r="E1529" s="0" t="inlineStr">
        <is>
          <t>DRK BRENT M BK:144252D-XL</t>
        </is>
      </c>
      <c r="F1529" s="0" t="inlineStr">
        <is>
          <t>'817144252079</t>
        </is>
      </c>
      <c r="G1529" s="0" t="inlineStr">
        <is>
          <t>MENS</t>
        </is>
      </c>
      <c r="H1529" s="0" t="inlineStr">
        <is>
          <t>XL</t>
        </is>
      </c>
      <c r="I1529" s="0">
        <v>39.99</v>
      </c>
      <c r="J1529" s="0">
        <v>4</v>
      </c>
    </row>
    <row r="1530" spans="1:10" customHeight="0">
      <c r="A1530" s="0">
        <f>HYPERLINK("https://dl.dropboxusercontent.com/scl/fi/t8jcv1s386t37t5gubhnw/vrtl-drk-brent-polo-bk-090123-v1-0251498-1.jpg?rlkey=n2blvivhft0qopy90tqqfuaer&amp;dl=0","Click to download Image")</f>
      </c>
      <c r="C1530" s="0" t="inlineStr">
        <is>
          <t>Brent Men's Performance Polo</t>
        </is>
      </c>
      <c r="D1530" s="0" t="inlineStr">
        <is>
          <t>'144252</t>
        </is>
      </c>
      <c r="E1530" s="0" t="inlineStr">
        <is>
          <t>DRK BRENT M BK:144252E-2XL</t>
        </is>
      </c>
      <c r="F1530" s="0" t="inlineStr">
        <is>
          <t>'817144252086</t>
        </is>
      </c>
      <c r="G1530" s="0" t="inlineStr">
        <is>
          <t>MENS</t>
        </is>
      </c>
      <c r="H1530" s="0" t="inlineStr">
        <is>
          <t>2XL</t>
        </is>
      </c>
      <c r="I1530" s="0">
        <v>49.99</v>
      </c>
      <c r="J1530" s="0">
        <v>0</v>
      </c>
    </row>
    <row r="1531" spans="1:10" customHeight="0">
      <c r="A1531" s="0">
        <f>HYPERLINK("https://dl.dropboxusercontent.com/scl/fi/t8jcv1s386t37t5gubhnw/vrtl-drk-brent-polo-bk-090123-v1-0251498-1.jpg?rlkey=n2blvivhft0qopy90tqqfuaer&amp;dl=0","Click to download Image")</f>
      </c>
      <c r="C1531" s="0" t="inlineStr">
        <is>
          <t>Brent Men's Performance Polo</t>
        </is>
      </c>
      <c r="D1531" s="0" t="inlineStr">
        <is>
          <t>'144252</t>
        </is>
      </c>
      <c r="E1531" s="0" t="inlineStr">
        <is>
          <t>DRK BRENT M BK:144252F-3XL</t>
        </is>
      </c>
      <c r="F1531" s="0" t="inlineStr">
        <is>
          <t>'817144252093</t>
        </is>
      </c>
      <c r="G1531" s="0" t="inlineStr">
        <is>
          <t>MENS</t>
        </is>
      </c>
      <c r="H1531" s="0" t="inlineStr">
        <is>
          <t>3XL</t>
        </is>
      </c>
      <c r="I1531" s="0">
        <v>49.99</v>
      </c>
      <c r="J1531" s="0">
        <v>1</v>
      </c>
    </row>
    <row r="1532" spans="1:10" customHeight="0">
      <c r="A1532" s="0">
        <f>HYPERLINK("https://dl.dropboxusercontent.com/scl/fi/tf8lbp6euqg4iimea5gf5/112229f.jpg?rlkey=vbehp004p84m7vsxsjfta0kxv&amp;dl=0","Click to download Image")</f>
      </c>
      <c r="C1532" s="0" t="inlineStr">
        <is>
          <t>Brent Men's Performance Polo</t>
        </is>
      </c>
      <c r="D1532" s="0" t="inlineStr">
        <is>
          <t>'112229</t>
        </is>
      </c>
      <c r="E1532" s="0" t="inlineStr">
        <is>
          <t>IOWA BRENT GOLD:112229A - S</t>
        </is>
      </c>
      <c r="F1532" s="0" t="inlineStr">
        <is>
          <t>'000000000000</t>
        </is>
      </c>
      <c r="G1532" s="0" t="inlineStr">
        <is>
          <t>MENS</t>
        </is>
      </c>
      <c r="H1532" s="0" t="inlineStr">
        <is>
          <t>S</t>
        </is>
      </c>
      <c r="I1532" s="0">
        <v>39.99</v>
      </c>
      <c r="J1532" s="0">
        <v>11</v>
      </c>
    </row>
    <row r="1533" spans="1:10" customHeight="0">
      <c r="A1533" s="0">
        <f>HYPERLINK("https://dl.dropboxusercontent.com/scl/fi/tf8lbp6euqg4iimea5gf5/112229f.jpg?rlkey=vbehp004p84m7vsxsjfta0kxv&amp;dl=0","Click to download Image")</f>
      </c>
      <c r="C1533" s="0" t="inlineStr">
        <is>
          <t>Brent Men's Performance Polo</t>
        </is>
      </c>
      <c r="D1533" s="0" t="inlineStr">
        <is>
          <t>'112229</t>
        </is>
      </c>
      <c r="E1533" s="0" t="inlineStr">
        <is>
          <t>IOWA BRENT GOLD:112229B - M</t>
        </is>
      </c>
      <c r="F1533" s="0" t="inlineStr">
        <is>
          <t>'000000000000</t>
        </is>
      </c>
      <c r="G1533" s="0" t="inlineStr">
        <is>
          <t>MENS</t>
        </is>
      </c>
      <c r="H1533" s="0" t="inlineStr">
        <is>
          <t>M</t>
        </is>
      </c>
      <c r="I1533" s="0">
        <v>39.99</v>
      </c>
      <c r="J1533" s="0">
        <v>14</v>
      </c>
    </row>
    <row r="1534" spans="1:10" customHeight="0">
      <c r="A1534" s="0">
        <f>HYPERLINK("https://dl.dropboxusercontent.com/scl/fi/tf8lbp6euqg4iimea5gf5/112229f.jpg?rlkey=vbehp004p84m7vsxsjfta0kxv&amp;dl=0","Click to download Image")</f>
      </c>
      <c r="C1534" s="0" t="inlineStr">
        <is>
          <t>Brent Men's Performance Polo</t>
        </is>
      </c>
      <c r="D1534" s="0" t="inlineStr">
        <is>
          <t>'112229</t>
        </is>
      </c>
      <c r="E1534" s="0" t="inlineStr">
        <is>
          <t>IOWA BRENT GOLD:112229C - L</t>
        </is>
      </c>
      <c r="F1534" s="0" t="inlineStr">
        <is>
          <t>'000000000000</t>
        </is>
      </c>
      <c r="G1534" s="0" t="inlineStr">
        <is>
          <t>MENS</t>
        </is>
      </c>
      <c r="H1534" s="0" t="inlineStr">
        <is>
          <t>L</t>
        </is>
      </c>
      <c r="I1534" s="0">
        <v>39.99</v>
      </c>
      <c r="J1534" s="0">
        <v>0</v>
      </c>
    </row>
    <row r="1535" spans="1:10" customHeight="0">
      <c r="A1535" s="0">
        <f>HYPERLINK("https://dl.dropboxusercontent.com/scl/fi/tf8lbp6euqg4iimea5gf5/112229f.jpg?rlkey=vbehp004p84m7vsxsjfta0kxv&amp;dl=0","Click to download Image")</f>
      </c>
      <c r="C1535" s="0" t="inlineStr">
        <is>
          <t>Brent Men's Performance Polo</t>
        </is>
      </c>
      <c r="D1535" s="0" t="inlineStr">
        <is>
          <t>'112229</t>
        </is>
      </c>
      <c r="E1535" s="0" t="inlineStr">
        <is>
          <t>IOWA BRENT GOLD:112229D - XL</t>
        </is>
      </c>
      <c r="F1535" s="0" t="inlineStr">
        <is>
          <t>'000000000000</t>
        </is>
      </c>
      <c r="G1535" s="0" t="inlineStr">
        <is>
          <t>MENS</t>
        </is>
      </c>
      <c r="H1535" s="0" t="inlineStr">
        <is>
          <t>XL</t>
        </is>
      </c>
      <c r="I1535" s="0">
        <v>39.99</v>
      </c>
      <c r="J1535" s="0">
        <v>31</v>
      </c>
    </row>
    <row r="1536" spans="1:10" customHeight="0">
      <c r="A1536" s="0">
        <f>HYPERLINK("https://dl.dropboxusercontent.com/scl/fi/tf8lbp6euqg4iimea5gf5/112229f.jpg?rlkey=vbehp004p84m7vsxsjfta0kxv&amp;dl=0","Click to download Image")</f>
      </c>
      <c r="C1536" s="0" t="inlineStr">
        <is>
          <t>Brent Men's Performance Polo</t>
        </is>
      </c>
      <c r="D1536" s="0" t="inlineStr">
        <is>
          <t>'112229</t>
        </is>
      </c>
      <c r="E1536" s="0" t="inlineStr">
        <is>
          <t>IOWA BRENT GOLD:112229E - 2XL</t>
        </is>
      </c>
      <c r="F1536" s="0" t="inlineStr">
        <is>
          <t>'000000000000</t>
        </is>
      </c>
      <c r="G1536" s="0" t="inlineStr">
        <is>
          <t>MENS</t>
        </is>
      </c>
      <c r="H1536" s="0" t="inlineStr">
        <is>
          <t>2XL</t>
        </is>
      </c>
      <c r="I1536" s="0">
        <v>41.99</v>
      </c>
      <c r="J1536" s="0">
        <v>0</v>
      </c>
    </row>
    <row r="1537" spans="1:10" customHeight="0">
      <c r="A1537" s="0">
        <f>HYPERLINK("https://dl.dropboxusercontent.com/scl/fi/tf8lbp6euqg4iimea5gf5/112229f.jpg?rlkey=vbehp004p84m7vsxsjfta0kxv&amp;dl=0","Click to download Image")</f>
      </c>
      <c r="C1537" s="0" t="inlineStr">
        <is>
          <t>Brent Men's Performance Polo</t>
        </is>
      </c>
      <c r="D1537" s="0" t="inlineStr">
        <is>
          <t>'112229</t>
        </is>
      </c>
      <c r="E1537" s="0" t="inlineStr">
        <is>
          <t>IOWA BRENT GOLD:112229F - 3XL</t>
        </is>
      </c>
      <c r="F1537" s="0" t="inlineStr">
        <is>
          <t>'000000000000</t>
        </is>
      </c>
      <c r="G1537" s="0" t="inlineStr">
        <is>
          <t>MENS</t>
        </is>
      </c>
      <c r="H1537" s="0" t="inlineStr">
        <is>
          <t>3XL</t>
        </is>
      </c>
      <c r="I1537" s="0">
        <v>41.99</v>
      </c>
      <c r="J1537" s="0">
        <v>16</v>
      </c>
    </row>
    <row r="1538" spans="1:10" customHeight="0">
      <c r="A1538" s="0">
        <f>HYPERLINK("https://dl.dropboxusercontent.com/scl/fi/pu9ogvrveblitfkqv3mhu/103187-01af49773.jpg?rlkey=73597peg2m6cfjnk1s8c0ci1q&amp;dl=0","Click to download Image")</f>
      </c>
      <c r="C1538" s="0" t="inlineStr">
        <is>
          <t>Parr Men's Cap</t>
        </is>
      </c>
      <c r="D1538" s="0" t="inlineStr">
        <is>
          <t>'103187-01</t>
        </is>
      </c>
      <c r="E1538" s="0" t="inlineStr">
        <is>
          <t>DK GOLD WASHED:103187-01</t>
        </is>
      </c>
      <c r="F1538" s="0" t="inlineStr">
        <is>
          <t>'700103187010</t>
        </is>
      </c>
      <c r="G1538" s="0" t="inlineStr">
        <is>
          <t>MENS</t>
        </is>
      </c>
      <c r="H1538" s="0" t="inlineStr">
        <is>
          <t>STANDARD MENS</t>
        </is>
      </c>
      <c r="I1538" s="0">
        <v>19.99</v>
      </c>
      <c r="J1538" s="0">
        <v>429</v>
      </c>
    </row>
    <row r="1539" spans="1:10" customHeight="0">
      <c r="A1539" s="0">
        <f>HYPERLINK("https://dl.dropboxusercontent.com/scl/fi/feajaxumbmy6ocsorthpc/103187-02af60976.jpg?rlkey=ivey5nz2akrvmhvok3qvovt9s&amp;dl=0","Click to download Image")</f>
      </c>
      <c r="C1539" s="0" t="inlineStr">
        <is>
          <t>Parr Men's Cap</t>
        </is>
      </c>
      <c r="D1539" s="0" t="inlineStr">
        <is>
          <t>'103187-02</t>
        </is>
      </c>
      <c r="E1539" s="0" t="inlineStr">
        <is>
          <t>DK GOLD WASHED:103187-02</t>
        </is>
      </c>
      <c r="F1539" s="0" t="inlineStr">
        <is>
          <t>'700103187027</t>
        </is>
      </c>
      <c r="G1539" s="0" t="inlineStr">
        <is>
          <t>MENS</t>
        </is>
      </c>
      <c r="H1539" s="0" t="inlineStr">
        <is>
          <t>STANDARD MENS</t>
        </is>
      </c>
      <c r="I1539" s="0">
        <v>19.99</v>
      </c>
      <c r="J1539" s="0">
        <v>86</v>
      </c>
    </row>
    <row r="1540" spans="1:10" customHeight="0">
      <c r="A1540" s="0">
        <f>HYPERLINK("https://dl.dropboxusercontent.com/scl/fi/vmj3z0q90bbahl5hshuhw/103187-03af12546.jpg?rlkey=zjn5ccp4egit67z43zdovvgaq&amp;dl=0","Click to download Image")</f>
      </c>
      <c r="C1540" s="0" t="inlineStr">
        <is>
          <t>Parr Men's Cap</t>
        </is>
      </c>
      <c r="D1540" s="0" t="inlineStr">
        <is>
          <t>'103187-03</t>
        </is>
      </c>
      <c r="E1540" s="0" t="inlineStr">
        <is>
          <t>DK GOLD WASHED:103187-03</t>
        </is>
      </c>
      <c r="F1540" s="0" t="inlineStr">
        <is>
          <t>'700103187034</t>
        </is>
      </c>
      <c r="G1540" s="0" t="inlineStr">
        <is>
          <t>MENS</t>
        </is>
      </c>
      <c r="H1540" s="0" t="inlineStr">
        <is>
          <t>STANDARD MENS</t>
        </is>
      </c>
      <c r="I1540" s="0">
        <v>19.99</v>
      </c>
      <c r="J1540" s="0">
        <v>650</v>
      </c>
    </row>
    <row r="1541" spans="1:10" customHeight="0">
      <c r="A1541" s="0">
        <f>HYPERLINK("https://dl.dropboxusercontent.com/scl/fi/ceugg3wgarmgk9rpaz9c0/103187-07-af.jpg?rlkey=7nf40eczwb44em1osiolcyb8b&amp;dl=0","Click to download Image")</f>
      </c>
      <c r="C1541" s="0" t="inlineStr">
        <is>
          <t>Parr Men's Cap</t>
        </is>
      </c>
      <c r="D1541" s="0" t="inlineStr">
        <is>
          <t>'103187-07</t>
        </is>
      </c>
      <c r="E1541" s="0" t="inlineStr">
        <is>
          <t>DK GOLD WASHED:103187-07</t>
        </is>
      </c>
      <c r="F1541" s="0" t="inlineStr">
        <is>
          <t>'700103187072</t>
        </is>
      </c>
      <c r="G1541" s="0" t="inlineStr">
        <is>
          <t>MENS</t>
        </is>
      </c>
      <c r="H1541" s="0" t="inlineStr">
        <is>
          <t>STANDARD MENS</t>
        </is>
      </c>
      <c r="I1541" s="0">
        <v>19.99</v>
      </c>
      <c r="J1541" s="0">
        <v>545</v>
      </c>
    </row>
    <row r="1542" spans="1:10" customHeight="0">
      <c r="A1542" s="0">
        <f>HYPERLINK("https://dl.dropboxusercontent.com/scl/fi/logytn65wwfejreh8n12k/103187-08-af.jpg?rlkey=o7i2761fnh7deso1g641u557t&amp;dl=0","Click to download Image")</f>
      </c>
      <c r="C1542" s="0" t="inlineStr">
        <is>
          <t>Parr Men's Cap</t>
        </is>
      </c>
      <c r="D1542" s="0" t="inlineStr">
        <is>
          <t>'103187-08</t>
        </is>
      </c>
      <c r="E1542" s="0" t="inlineStr">
        <is>
          <t>DK GOLD WASHED:103187-08</t>
        </is>
      </c>
      <c r="F1542" s="0" t="inlineStr">
        <is>
          <t>'700103187089</t>
        </is>
      </c>
      <c r="G1542" s="0" t="inlineStr">
        <is>
          <t>MENS</t>
        </is>
      </c>
      <c r="H1542" s="0" t="inlineStr">
        <is>
          <t>STANDARD MENS</t>
        </is>
      </c>
      <c r="I1542" s="0">
        <v>19.99</v>
      </c>
      <c r="J1542" s="0">
        <v>552</v>
      </c>
    </row>
    <row r="1543" spans="1:10" customHeight="0">
      <c r="A1543" s="0">
        <f>HYPERLINK("https://dl.dropboxusercontent.com/scl/fi/1at29ojd19h3m6j2brot2/103187-09-af.jpg?rlkey=vifypfzh1q3r1yxb6nox5js7h&amp;dl=0","Click to download Image")</f>
      </c>
      <c r="C1543" s="0" t="inlineStr">
        <is>
          <t>Parr Men's Cap</t>
        </is>
      </c>
      <c r="D1543" s="0" t="inlineStr">
        <is>
          <t>'103187-09</t>
        </is>
      </c>
      <c r="E1543" s="0" t="inlineStr">
        <is>
          <t>DK GOLD WASHED:103187-09</t>
        </is>
      </c>
      <c r="F1543" s="0" t="inlineStr">
        <is>
          <t>'700103187096</t>
        </is>
      </c>
      <c r="G1543" s="0" t="inlineStr">
        <is>
          <t>MENS</t>
        </is>
      </c>
      <c r="H1543" s="0" t="inlineStr">
        <is>
          <t>STANDARD MENS</t>
        </is>
      </c>
      <c r="I1543" s="0">
        <v>19.99</v>
      </c>
      <c r="J1543" s="0">
        <v>550</v>
      </c>
    </row>
    <row r="1544" spans="1:10" customHeight="0">
      <c r="A1544" s="0">
        <f>HYPERLINK("https://dl.dropboxusercontent.com/scl/fi/nala7ywy5tfpe78jye6d0/103187-10af73827.jpg?rlkey=t6ggg5lfd3z22asniw9j8lsay&amp;dl=0","Click to download Image")</f>
      </c>
      <c r="C1544" s="0" t="inlineStr">
        <is>
          <t>Parr Men's Cap</t>
        </is>
      </c>
      <c r="D1544" s="0" t="inlineStr">
        <is>
          <t>'103187-10</t>
        </is>
      </c>
      <c r="E1544" s="0" t="inlineStr">
        <is>
          <t>DK GOLD WASHED:103187-10</t>
        </is>
      </c>
      <c r="F1544" s="0" t="inlineStr">
        <is>
          <t>'700103187010</t>
        </is>
      </c>
      <c r="G1544" s="0" t="inlineStr">
        <is>
          <t>MENS</t>
        </is>
      </c>
      <c r="H1544" s="0" t="inlineStr">
        <is>
          <t>STANDARD MENS</t>
        </is>
      </c>
      <c r="I1544" s="0">
        <v>19.99</v>
      </c>
      <c r="J1544" s="0">
        <v>18</v>
      </c>
    </row>
    <row r="1545" spans="1:10" customHeight="0">
      <c r="A1545" s="0">
        <f>HYPERLINK("https://dl.dropboxusercontent.com/scl/fi/mx1nt6e30ykhvyr4t2b0y/dsc4451.jpg?rlkey=zadi7wgd8kk9149voloy2gh0s&amp;dl=0","Click to download Image")</f>
      </c>
      <c r="C1545" s="0" t="inlineStr">
        <is>
          <t>Parr Men's Cap</t>
        </is>
      </c>
      <c r="D1545" s="0" t="inlineStr">
        <is>
          <t>'103187-13</t>
        </is>
      </c>
      <c r="E1545" s="0" t="inlineStr">
        <is>
          <t>DK GOLD WASHED:103187-13</t>
        </is>
      </c>
      <c r="F1545" s="0" t="inlineStr">
        <is>
          <t>'000000000000</t>
        </is>
      </c>
      <c r="G1545" s="0" t="inlineStr">
        <is>
          <t>MENS</t>
        </is>
      </c>
      <c r="H1545" s="0" t="inlineStr">
        <is>
          <t>STANDARD MENS</t>
        </is>
      </c>
      <c r="I1545" s="0">
        <v>19.99</v>
      </c>
      <c r="J1545" s="0">
        <v>130</v>
      </c>
    </row>
    <row r="1546" spans="1:10" customHeight="0">
      <c r="A1546" s="0">
        <f>HYPERLINK("https://dl.dropboxusercontent.com/scl/fi/31hfeswh685a6pnmiumyp/113602-af.jpg?rlkey=yi4fjzkv90quwexch7elbvo3b&amp;dl=0","Click to download Image")</f>
      </c>
      <c r="B1546" s="0">
        <f>HYPERLINK("https://dl.dropboxusercontent.com/scl/fi/ruhnss6vow71j11rwr6l1/womens-t-shirt-size-chartslola.jpg?rlkey=8o1modoc6i2edpr1k0c7q2br0&amp;dl=0","Click to download SizeChart")</f>
      </c>
      <c r="C1546" s="0" t="inlineStr">
        <is>
          <t>Lola Women's Long Sleeve Shirt</t>
        </is>
      </c>
      <c r="D1546" s="0" t="inlineStr">
        <is>
          <t>'113602</t>
        </is>
      </c>
      <c r="E1546" s="0" t="inlineStr">
        <is>
          <t>ISU LOLA CARDINAL:113602A-S</t>
        </is>
      </c>
      <c r="F1546" s="0" t="inlineStr">
        <is>
          <t>'801113602040</t>
        </is>
      </c>
      <c r="G1546" s="0" t="inlineStr">
        <is>
          <t>WOMENS</t>
        </is>
      </c>
      <c r="H1546" s="0" t="inlineStr">
        <is>
          <t>S</t>
        </is>
      </c>
      <c r="I1546" s="0">
        <v>39.99</v>
      </c>
      <c r="J1546" s="0">
        <v>0</v>
      </c>
    </row>
    <row r="1547" spans="1:10" customHeight="0">
      <c r="A1547" s="0">
        <f>HYPERLINK("https://dl.dropboxusercontent.com/scl/fi/31hfeswh685a6pnmiumyp/113602-af.jpg?rlkey=yi4fjzkv90quwexch7elbvo3b&amp;dl=0","Click to download Image")</f>
      </c>
      <c r="B1547" s="0">
        <f>HYPERLINK("https://dl.dropboxusercontent.com/scl/fi/ruhnss6vow71j11rwr6l1/womens-t-shirt-size-chartslola.jpg?rlkey=8o1modoc6i2edpr1k0c7q2br0&amp;dl=0","Click to download SizeChart")</f>
      </c>
      <c r="C1547" s="0" t="inlineStr">
        <is>
          <t>Lola Women's Long Sleeve Shirt</t>
        </is>
      </c>
      <c r="D1547" s="0" t="inlineStr">
        <is>
          <t>'113602</t>
        </is>
      </c>
      <c r="E1547" s="0" t="inlineStr">
        <is>
          <t>ISU LOLA CARDINAL:113602B-M</t>
        </is>
      </c>
      <c r="F1547" s="0" t="inlineStr">
        <is>
          <t>'801113602057</t>
        </is>
      </c>
      <c r="G1547" s="0" t="inlineStr">
        <is>
          <t>WOMENS</t>
        </is>
      </c>
      <c r="H1547" s="0" t="inlineStr">
        <is>
          <t>M</t>
        </is>
      </c>
      <c r="I1547" s="0">
        <v>39.99</v>
      </c>
      <c r="J1547" s="0">
        <v>0</v>
      </c>
    </row>
    <row r="1548" spans="1:10" customHeight="0">
      <c r="A1548" s="0">
        <f>HYPERLINK("https://dl.dropboxusercontent.com/scl/fi/31hfeswh685a6pnmiumyp/113602-af.jpg?rlkey=yi4fjzkv90quwexch7elbvo3b&amp;dl=0","Click to download Image")</f>
      </c>
      <c r="B1548" s="0">
        <f>HYPERLINK("https://dl.dropboxusercontent.com/scl/fi/ruhnss6vow71j11rwr6l1/womens-t-shirt-size-chartslola.jpg?rlkey=8o1modoc6i2edpr1k0c7q2br0&amp;dl=0","Click to download SizeChart")</f>
      </c>
      <c r="C1548" s="0" t="inlineStr">
        <is>
          <t>Lola Women's Long Sleeve Shirt</t>
        </is>
      </c>
      <c r="D1548" s="0" t="inlineStr">
        <is>
          <t>'113602</t>
        </is>
      </c>
      <c r="E1548" s="0" t="inlineStr">
        <is>
          <t>ISU LOLA CARDINAL:113602C-L</t>
        </is>
      </c>
      <c r="F1548" s="0" t="inlineStr">
        <is>
          <t>'801113602064</t>
        </is>
      </c>
      <c r="G1548" s="0" t="inlineStr">
        <is>
          <t>WOMENS</t>
        </is>
      </c>
      <c r="H1548" s="0" t="inlineStr">
        <is>
          <t>L</t>
        </is>
      </c>
      <c r="I1548" s="0">
        <v>39.99</v>
      </c>
      <c r="J1548" s="0">
        <v>0</v>
      </c>
    </row>
    <row r="1549" spans="1:10" customHeight="0">
      <c r="A1549" s="0">
        <f>HYPERLINK("https://dl.dropboxusercontent.com/scl/fi/31hfeswh685a6pnmiumyp/113602-af.jpg?rlkey=yi4fjzkv90quwexch7elbvo3b&amp;dl=0","Click to download Image")</f>
      </c>
      <c r="B1549" s="0">
        <f>HYPERLINK("https://dl.dropboxusercontent.com/scl/fi/ruhnss6vow71j11rwr6l1/womens-t-shirt-size-chartslola.jpg?rlkey=8o1modoc6i2edpr1k0c7q2br0&amp;dl=0","Click to download SizeChart")</f>
      </c>
      <c r="C1549" s="0" t="inlineStr">
        <is>
          <t>Lola Women's Long Sleeve Shirt</t>
        </is>
      </c>
      <c r="D1549" s="0" t="inlineStr">
        <is>
          <t>'113602</t>
        </is>
      </c>
      <c r="E1549" s="0" t="inlineStr">
        <is>
          <t>ISU LOLA CARDINAL:113602D-XL</t>
        </is>
      </c>
      <c r="F1549" s="0" t="inlineStr">
        <is>
          <t>'801113602071</t>
        </is>
      </c>
      <c r="G1549" s="0" t="inlineStr">
        <is>
          <t>WOMENS</t>
        </is>
      </c>
      <c r="H1549" s="0" t="inlineStr">
        <is>
          <t>XL</t>
        </is>
      </c>
      <c r="I1549" s="0">
        <v>39.99</v>
      </c>
      <c r="J1549" s="0">
        <v>0</v>
      </c>
    </row>
    <row r="1550" spans="1:10" customHeight="0">
      <c r="A1550" s="0">
        <f>HYPERLINK("https://dl.dropboxusercontent.com/scl/fi/31hfeswh685a6pnmiumyp/113602-af.jpg?rlkey=yi4fjzkv90quwexch7elbvo3b&amp;dl=0","Click to download Image")</f>
      </c>
      <c r="B1550" s="0">
        <f>HYPERLINK("https://dl.dropboxusercontent.com/scl/fi/ruhnss6vow71j11rwr6l1/womens-t-shirt-size-chartslola.jpg?rlkey=8o1modoc6i2edpr1k0c7q2br0&amp;dl=0","Click to download SizeChart")</f>
      </c>
      <c r="C1550" s="0" t="inlineStr">
        <is>
          <t>Lola Women's Long Sleeve Shirt</t>
        </is>
      </c>
      <c r="D1550" s="0" t="inlineStr">
        <is>
          <t>'113602</t>
        </is>
      </c>
      <c r="E1550" s="0" t="inlineStr">
        <is>
          <t>ISU LOLA CARDINAL:113602E-2XL</t>
        </is>
      </c>
      <c r="F1550" s="0" t="inlineStr">
        <is>
          <t>'801113602088</t>
        </is>
      </c>
      <c r="G1550" s="0" t="inlineStr">
        <is>
          <t>WOMENS</t>
        </is>
      </c>
      <c r="H1550" s="0" t="inlineStr">
        <is>
          <t>2XL</t>
        </is>
      </c>
      <c r="I1550" s="0">
        <v>41.99</v>
      </c>
      <c r="J1550" s="0">
        <v>1</v>
      </c>
    </row>
    <row r="1551" spans="1:10" customHeight="0">
      <c r="A1551" s="0">
        <f>HYPERLINK("https://dl.dropboxusercontent.com/scl/fi/31hfeswh685a6pnmiumyp/113602-af.jpg?rlkey=yi4fjzkv90quwexch7elbvo3b&amp;dl=0","Click to download Image")</f>
      </c>
      <c r="B1551" s="0">
        <f>HYPERLINK("https://dl.dropboxusercontent.com/scl/fi/ruhnss6vow71j11rwr6l1/womens-t-shirt-size-chartslola.jpg?rlkey=8o1modoc6i2edpr1k0c7q2br0&amp;dl=0","Click to download SizeChart")</f>
      </c>
      <c r="C1551" s="0" t="inlineStr">
        <is>
          <t>Lola Women's Long Sleeve Shirt</t>
        </is>
      </c>
      <c r="D1551" s="0" t="inlineStr">
        <is>
          <t>'113602</t>
        </is>
      </c>
      <c r="E1551" s="0" t="inlineStr">
        <is>
          <t>ISU LOLA CARDINAL:113602F-3XL</t>
        </is>
      </c>
      <c r="F1551" s="0" t="inlineStr">
        <is>
          <t>'801113602095</t>
        </is>
      </c>
      <c r="G1551" s="0" t="inlineStr">
        <is>
          <t>WOMENS</t>
        </is>
      </c>
      <c r="H1551" s="0" t="inlineStr">
        <is>
          <t>3XL</t>
        </is>
      </c>
      <c r="I1551" s="0">
        <v>41.99</v>
      </c>
      <c r="J1551" s="0">
        <v>2</v>
      </c>
    </row>
    <row r="1552" spans="1:10" customHeight="0">
      <c r="A1552" s="0">
        <f>HYPERLINK("https://dl.dropboxusercontent.com/scl/fi/31hfeswh685a6pnmiumyp/113602-af.jpg?rlkey=yi4fjzkv90quwexch7elbvo3b&amp;dl=0","Click to download Image")</f>
      </c>
      <c r="B1552" s="0">
        <f>HYPERLINK("https://dl.dropboxusercontent.com/scl/fi/ruhnss6vow71j11rwr6l1/womens-t-shirt-size-chartslola.jpg?rlkey=8o1modoc6i2edpr1k0c7q2br0&amp;dl=0","Click to download SizeChart")</f>
      </c>
      <c r="C1552" s="0" t="inlineStr">
        <is>
          <t>Lola Women's Long Sleeve Shirt</t>
        </is>
      </c>
      <c r="D1552" s="0" t="inlineStr">
        <is>
          <t>'113602</t>
        </is>
      </c>
      <c r="E1552" s="0" t="inlineStr">
        <is>
          <t>ISU LOLA CARDINAL 12 PACK:113602Z-12PK</t>
        </is>
      </c>
      <c r="F1552" s="0" t="inlineStr">
        <is>
          <t>'801113602996</t>
        </is>
      </c>
      <c r="G1552" s="0" t="inlineStr">
        <is>
          <t>WOMENS</t>
        </is>
      </c>
      <c r="H1552" s="0" t="inlineStr">
        <is>
          <t>12 PACK</t>
        </is>
      </c>
      <c r="I1552" s="0">
        <v>384</v>
      </c>
      <c r="J1552" s="0">
        <v>0</v>
      </c>
    </row>
    <row r="1553" spans="1:10" customHeight="0">
      <c r="A1553" s="0">
        <f>HYPERLINK("https://dl.dropboxusercontent.com/scl/fi/7oyq8k27v2m85hhe4u5go/114526m.jpg?rlkey=e4oak1rhtwkf1gj2uje4zyype&amp;dl=0","Click to download Image")</f>
      </c>
      <c r="B1553" s="0">
        <f>HYPERLINK("https://dl.dropboxusercontent.com/scl/fi/ruhnss6vow71j11rwr6l1/womens-t-shirt-size-chartslola.jpg?rlkey=8o1modoc6i2edpr1k0c7q2br0&amp;dl=0","Click to download SizeChart")</f>
      </c>
      <c r="C1553" s="0" t="inlineStr">
        <is>
          <t>Lola Women's Long Sleeve Shirt</t>
        </is>
      </c>
      <c r="D1553" s="0" t="inlineStr">
        <is>
          <t>'114526</t>
        </is>
      </c>
      <c r="E1553" s="0" t="inlineStr">
        <is>
          <t>UNI LOLA W PURPLE:114526A-S</t>
        </is>
      </c>
      <c r="F1553" s="0" t="inlineStr">
        <is>
          <t>'802114526045</t>
        </is>
      </c>
      <c r="G1553" s="0" t="inlineStr">
        <is>
          <t>WOMENS</t>
        </is>
      </c>
      <c r="H1553" s="0" t="inlineStr">
        <is>
          <t>S</t>
        </is>
      </c>
      <c r="I1553" s="0">
        <v>39.99</v>
      </c>
      <c r="J1553" s="0">
        <v>0</v>
      </c>
    </row>
    <row r="1554" spans="1:10" customHeight="0">
      <c r="A1554" s="0">
        <f>HYPERLINK("https://dl.dropboxusercontent.com/scl/fi/7oyq8k27v2m85hhe4u5go/114526m.jpg?rlkey=e4oak1rhtwkf1gj2uje4zyype&amp;dl=0","Click to download Image")</f>
      </c>
      <c r="B1554" s="0">
        <f>HYPERLINK("https://dl.dropboxusercontent.com/scl/fi/ruhnss6vow71j11rwr6l1/womens-t-shirt-size-chartslola.jpg?rlkey=8o1modoc6i2edpr1k0c7q2br0&amp;dl=0","Click to download SizeChart")</f>
      </c>
      <c r="C1554" s="0" t="inlineStr">
        <is>
          <t>Lola Women's Long Sleeve Shirt</t>
        </is>
      </c>
      <c r="D1554" s="0" t="inlineStr">
        <is>
          <t>'114526</t>
        </is>
      </c>
      <c r="E1554" s="0" t="inlineStr">
        <is>
          <t>UNI LOLA W PURPLE:114526B-M</t>
        </is>
      </c>
      <c r="F1554" s="0" t="inlineStr">
        <is>
          <t>'802114526052</t>
        </is>
      </c>
      <c r="G1554" s="0" t="inlineStr">
        <is>
          <t>WOMENS</t>
        </is>
      </c>
      <c r="H1554" s="0" t="inlineStr">
        <is>
          <t>M</t>
        </is>
      </c>
      <c r="I1554" s="0">
        <v>39.99</v>
      </c>
      <c r="J1554" s="0">
        <v>5</v>
      </c>
    </row>
    <row r="1555" spans="1:10" customHeight="0">
      <c r="A1555" s="0">
        <f>HYPERLINK("https://dl.dropboxusercontent.com/scl/fi/7oyq8k27v2m85hhe4u5go/114526m.jpg?rlkey=e4oak1rhtwkf1gj2uje4zyype&amp;dl=0","Click to download Image")</f>
      </c>
      <c r="B1555" s="0">
        <f>HYPERLINK("https://dl.dropboxusercontent.com/scl/fi/ruhnss6vow71j11rwr6l1/womens-t-shirt-size-chartslola.jpg?rlkey=8o1modoc6i2edpr1k0c7q2br0&amp;dl=0","Click to download SizeChart")</f>
      </c>
      <c r="C1555" s="0" t="inlineStr">
        <is>
          <t>Lola Women's Long Sleeve Shirt</t>
        </is>
      </c>
      <c r="D1555" s="0" t="inlineStr">
        <is>
          <t>'114526</t>
        </is>
      </c>
      <c r="E1555" s="0" t="inlineStr">
        <is>
          <t>UNI LOLA W PURPLE:114526C-L</t>
        </is>
      </c>
      <c r="F1555" s="0" t="inlineStr">
        <is>
          <t>'802114526069</t>
        </is>
      </c>
      <c r="G1555" s="0" t="inlineStr">
        <is>
          <t>WOMENS</t>
        </is>
      </c>
      <c r="H1555" s="0" t="inlineStr">
        <is>
          <t>L</t>
        </is>
      </c>
      <c r="I1555" s="0">
        <v>39.99</v>
      </c>
      <c r="J1555" s="0">
        <v>7</v>
      </c>
    </row>
    <row r="1556" spans="1:10" customHeight="0">
      <c r="A1556" s="0">
        <f>HYPERLINK("https://dl.dropboxusercontent.com/scl/fi/7oyq8k27v2m85hhe4u5go/114526m.jpg?rlkey=e4oak1rhtwkf1gj2uje4zyype&amp;dl=0","Click to download Image")</f>
      </c>
      <c r="B1556" s="0">
        <f>HYPERLINK("https://dl.dropboxusercontent.com/scl/fi/ruhnss6vow71j11rwr6l1/womens-t-shirt-size-chartslola.jpg?rlkey=8o1modoc6i2edpr1k0c7q2br0&amp;dl=0","Click to download SizeChart")</f>
      </c>
      <c r="C1556" s="0" t="inlineStr">
        <is>
          <t>Lola Women's Long Sleeve Shirt</t>
        </is>
      </c>
      <c r="D1556" s="0" t="inlineStr">
        <is>
          <t>'114526</t>
        </is>
      </c>
      <c r="E1556" s="0" t="inlineStr">
        <is>
          <t>UNI LOLA W PURPLE:114526D-XL</t>
        </is>
      </c>
      <c r="F1556" s="0" t="inlineStr">
        <is>
          <t>'802114526076</t>
        </is>
      </c>
      <c r="G1556" s="0" t="inlineStr">
        <is>
          <t>WOMENS</t>
        </is>
      </c>
      <c r="H1556" s="0" t="inlineStr">
        <is>
          <t>XL</t>
        </is>
      </c>
      <c r="I1556" s="0">
        <v>39.99</v>
      </c>
      <c r="J1556" s="0">
        <v>0</v>
      </c>
    </row>
    <row r="1557" spans="1:10" customHeight="0">
      <c r="A1557" s="0">
        <f>HYPERLINK("https://dl.dropboxusercontent.com/scl/fi/7oyq8k27v2m85hhe4u5go/114526m.jpg?rlkey=e4oak1rhtwkf1gj2uje4zyype&amp;dl=0","Click to download Image")</f>
      </c>
      <c r="B1557" s="0">
        <f>HYPERLINK("https://dl.dropboxusercontent.com/scl/fi/ruhnss6vow71j11rwr6l1/womens-t-shirt-size-chartslola.jpg?rlkey=8o1modoc6i2edpr1k0c7q2br0&amp;dl=0","Click to download SizeChart")</f>
      </c>
      <c r="C1557" s="0" t="inlineStr">
        <is>
          <t>Lola Women's Long Sleeve Shirt</t>
        </is>
      </c>
      <c r="D1557" s="0" t="inlineStr">
        <is>
          <t>'114526</t>
        </is>
      </c>
      <c r="E1557" s="0" t="inlineStr">
        <is>
          <t>UNI LOLA W PURPLE:114526E-2XL</t>
        </is>
      </c>
      <c r="F1557" s="0" t="inlineStr">
        <is>
          <t>'802114526083</t>
        </is>
      </c>
      <c r="G1557" s="0" t="inlineStr">
        <is>
          <t>WOMENS</t>
        </is>
      </c>
      <c r="H1557" s="0" t="inlineStr">
        <is>
          <t>2XL</t>
        </is>
      </c>
      <c r="I1557" s="0">
        <v>41.99</v>
      </c>
      <c r="J1557" s="0">
        <v>3</v>
      </c>
    </row>
    <row r="1558" spans="1:10" customHeight="0">
      <c r="A1558" s="0">
        <f>HYPERLINK("https://dl.dropboxusercontent.com/scl/fi/7oyq8k27v2m85hhe4u5go/114526m.jpg?rlkey=e4oak1rhtwkf1gj2uje4zyype&amp;dl=0","Click to download Image")</f>
      </c>
      <c r="B1558" s="0">
        <f>HYPERLINK("https://dl.dropboxusercontent.com/scl/fi/ruhnss6vow71j11rwr6l1/womens-t-shirt-size-chartslola.jpg?rlkey=8o1modoc6i2edpr1k0c7q2br0&amp;dl=0","Click to download SizeChart")</f>
      </c>
      <c r="C1558" s="0" t="inlineStr">
        <is>
          <t>Lola Women's Long Sleeve Shirt</t>
        </is>
      </c>
      <c r="D1558" s="0" t="inlineStr">
        <is>
          <t>'114526</t>
        </is>
      </c>
      <c r="E1558" s="0" t="inlineStr">
        <is>
          <t>UNI LOLA W PURPLE:114526F-3XL</t>
        </is>
      </c>
      <c r="F1558" s="0" t="inlineStr">
        <is>
          <t>'802114526090</t>
        </is>
      </c>
      <c r="G1558" s="0" t="inlineStr">
        <is>
          <t>WOMENS</t>
        </is>
      </c>
      <c r="H1558" s="0" t="inlineStr">
        <is>
          <t>3XL</t>
        </is>
      </c>
      <c r="I1558" s="0">
        <v>41.99</v>
      </c>
      <c r="J1558" s="0">
        <v>1</v>
      </c>
    </row>
    <row r="1559" spans="1:10" customHeight="0">
      <c r="A1559" s="0">
        <f>HYPERLINK("https://dl.dropboxusercontent.com/scl/fi/7oyq8k27v2m85hhe4u5go/114526m.jpg?rlkey=e4oak1rhtwkf1gj2uje4zyype&amp;dl=0","Click to download Image")</f>
      </c>
      <c r="B1559" s="0">
        <f>HYPERLINK("https://dl.dropboxusercontent.com/scl/fi/ruhnss6vow71j11rwr6l1/womens-t-shirt-size-chartslola.jpg?rlkey=8o1modoc6i2edpr1k0c7q2br0&amp;dl=0","Click to download SizeChart")</f>
      </c>
      <c r="C1559" s="0" t="inlineStr">
        <is>
          <t>Lola Women's Long Sleeve Shirt</t>
        </is>
      </c>
      <c r="D1559" s="0" t="inlineStr">
        <is>
          <t>'114526</t>
        </is>
      </c>
      <c r="E1559" s="0" t="inlineStr">
        <is>
          <t>UNI LOLA W PURPLE 12 PACK:114526Z-12PK</t>
        </is>
      </c>
      <c r="F1559" s="0" t="inlineStr">
        <is>
          <t>'802114526991</t>
        </is>
      </c>
      <c r="G1559" s="0" t="inlineStr">
        <is>
          <t>WOMENS</t>
        </is>
      </c>
      <c r="H1559" s="0" t="inlineStr">
        <is>
          <t>12 PACK</t>
        </is>
      </c>
      <c r="I1559" s="0">
        <v>384</v>
      </c>
      <c r="J1559" s="0">
        <v>0</v>
      </c>
    </row>
    <row r="1560" spans="1:10" customHeight="0">
      <c r="A1560" s="0">
        <f>HYPERLINK("https://dl.dropboxusercontent.com/scl/fi/60perp8cc2qm1c3kc65eg/123878-af.jpg?rlkey=1mbchgk8xwrl3lqs6r9b7yoxl&amp;dl=0","Click to download Image")</f>
      </c>
      <c r="B1560" s="0">
        <f>HYPERLINK("https://dl.dropboxusercontent.com/scl/fi/ruhnss6vow71j11rwr6l1/womens-t-shirt-size-chartslola.jpg?rlkey=8o1modoc6i2edpr1k0c7q2br0&amp;dl=0","Click to download SizeChart")</f>
      </c>
      <c r="C1560" s="0" t="inlineStr">
        <is>
          <t>Lola Women's Long Sleeve Shirt</t>
        </is>
      </c>
      <c r="D1560" s="0" t="inlineStr">
        <is>
          <t>'123878</t>
        </is>
      </c>
      <c r="E1560" s="0" t="inlineStr">
        <is>
          <t>CU LOLA W BK:123878A-S</t>
        </is>
      </c>
      <c r="F1560" s="0" t="inlineStr">
        <is>
          <t>'810123878048</t>
        </is>
      </c>
      <c r="G1560" s="0" t="inlineStr">
        <is>
          <t>WOMENS</t>
        </is>
      </c>
      <c r="H1560" s="0" t="inlineStr">
        <is>
          <t>S</t>
        </is>
      </c>
      <c r="I1560" s="0">
        <v>39.99</v>
      </c>
      <c r="J1560" s="0">
        <v>4</v>
      </c>
    </row>
    <row r="1561" spans="1:10" customHeight="0">
      <c r="A1561" s="0">
        <f>HYPERLINK("https://dl.dropboxusercontent.com/scl/fi/60perp8cc2qm1c3kc65eg/123878-af.jpg?rlkey=1mbchgk8xwrl3lqs6r9b7yoxl&amp;dl=0","Click to download Image")</f>
      </c>
      <c r="B1561" s="0">
        <f>HYPERLINK("https://dl.dropboxusercontent.com/scl/fi/ruhnss6vow71j11rwr6l1/womens-t-shirt-size-chartslola.jpg?rlkey=8o1modoc6i2edpr1k0c7q2br0&amp;dl=0","Click to download SizeChart")</f>
      </c>
      <c r="C1561" s="0" t="inlineStr">
        <is>
          <t>Lola Women's Long Sleeve Shirt</t>
        </is>
      </c>
      <c r="D1561" s="0" t="inlineStr">
        <is>
          <t>'123878</t>
        </is>
      </c>
      <c r="E1561" s="0" t="inlineStr">
        <is>
          <t>CU LOLA W BK:123878B-M</t>
        </is>
      </c>
      <c r="F1561" s="0" t="inlineStr">
        <is>
          <t>'810123878055</t>
        </is>
      </c>
      <c r="G1561" s="0" t="inlineStr">
        <is>
          <t>WOMENS</t>
        </is>
      </c>
      <c r="H1561" s="0" t="inlineStr">
        <is>
          <t>M</t>
        </is>
      </c>
      <c r="I1561" s="0">
        <v>39.99</v>
      </c>
      <c r="J1561" s="0">
        <v>8</v>
      </c>
    </row>
    <row r="1562" spans="1:10" customHeight="0">
      <c r="A1562" s="0">
        <f>HYPERLINK("https://dl.dropboxusercontent.com/scl/fi/60perp8cc2qm1c3kc65eg/123878-af.jpg?rlkey=1mbchgk8xwrl3lqs6r9b7yoxl&amp;dl=0","Click to download Image")</f>
      </c>
      <c r="B1562" s="0">
        <f>HYPERLINK("https://dl.dropboxusercontent.com/scl/fi/ruhnss6vow71j11rwr6l1/womens-t-shirt-size-chartslola.jpg?rlkey=8o1modoc6i2edpr1k0c7q2br0&amp;dl=0","Click to download SizeChart")</f>
      </c>
      <c r="C1562" s="0" t="inlineStr">
        <is>
          <t>Lola Women's Long Sleeve Shirt</t>
        </is>
      </c>
      <c r="D1562" s="0" t="inlineStr">
        <is>
          <t>'123878</t>
        </is>
      </c>
      <c r="E1562" s="0" t="inlineStr">
        <is>
          <t>CU LOLA W BK:123878C-L</t>
        </is>
      </c>
      <c r="F1562" s="0" t="inlineStr">
        <is>
          <t>'810123878062</t>
        </is>
      </c>
      <c r="G1562" s="0" t="inlineStr">
        <is>
          <t>WOMENS</t>
        </is>
      </c>
      <c r="H1562" s="0" t="inlineStr">
        <is>
          <t>L</t>
        </is>
      </c>
      <c r="I1562" s="0">
        <v>39.99</v>
      </c>
      <c r="J1562" s="0">
        <v>8</v>
      </c>
    </row>
    <row r="1563" spans="1:10" customHeight="0">
      <c r="A1563" s="0">
        <f>HYPERLINK("https://dl.dropboxusercontent.com/scl/fi/60perp8cc2qm1c3kc65eg/123878-af.jpg?rlkey=1mbchgk8xwrl3lqs6r9b7yoxl&amp;dl=0","Click to download Image")</f>
      </c>
      <c r="B1563" s="0">
        <f>HYPERLINK("https://dl.dropboxusercontent.com/scl/fi/ruhnss6vow71j11rwr6l1/womens-t-shirt-size-chartslola.jpg?rlkey=8o1modoc6i2edpr1k0c7q2br0&amp;dl=0","Click to download SizeChart")</f>
      </c>
      <c r="C1563" s="0" t="inlineStr">
        <is>
          <t>Lola Women's Long Sleeve Shirt</t>
        </is>
      </c>
      <c r="D1563" s="0" t="inlineStr">
        <is>
          <t>'123878</t>
        </is>
      </c>
      <c r="E1563" s="0" t="inlineStr">
        <is>
          <t>CU LOLA W BK:123878D-XL</t>
        </is>
      </c>
      <c r="F1563" s="0" t="inlineStr">
        <is>
          <t>'810123878079</t>
        </is>
      </c>
      <c r="G1563" s="0" t="inlineStr">
        <is>
          <t>WOMENS</t>
        </is>
      </c>
      <c r="H1563" s="0" t="inlineStr">
        <is>
          <t>XL</t>
        </is>
      </c>
      <c r="I1563" s="0">
        <v>39.99</v>
      </c>
      <c r="J1563" s="0">
        <v>4</v>
      </c>
    </row>
    <row r="1564" spans="1:10" customHeight="0">
      <c r="A1564" s="0">
        <f>HYPERLINK("https://dl.dropboxusercontent.com/scl/fi/60perp8cc2qm1c3kc65eg/123878-af.jpg?rlkey=1mbchgk8xwrl3lqs6r9b7yoxl&amp;dl=0","Click to download Image")</f>
      </c>
      <c r="B1564" s="0">
        <f>HYPERLINK("https://dl.dropboxusercontent.com/scl/fi/ruhnss6vow71j11rwr6l1/womens-t-shirt-size-chartslola.jpg?rlkey=8o1modoc6i2edpr1k0c7q2br0&amp;dl=0","Click to download SizeChart")</f>
      </c>
      <c r="C1564" s="0" t="inlineStr">
        <is>
          <t>Lola Women's Long Sleeve Shirt</t>
        </is>
      </c>
      <c r="D1564" s="0" t="inlineStr">
        <is>
          <t>'123878</t>
        </is>
      </c>
      <c r="E1564" s="0" t="inlineStr">
        <is>
          <t>CU LOLA W BK:123878E-2XL</t>
        </is>
      </c>
      <c r="F1564" s="0" t="inlineStr">
        <is>
          <t>'810123878086</t>
        </is>
      </c>
      <c r="G1564" s="0" t="inlineStr">
        <is>
          <t>WOMENS</t>
        </is>
      </c>
      <c r="H1564" s="0" t="inlineStr">
        <is>
          <t>2XL</t>
        </is>
      </c>
      <c r="I1564" s="0">
        <v>41.99</v>
      </c>
      <c r="J1564" s="0">
        <v>4</v>
      </c>
    </row>
    <row r="1565" spans="1:10" customHeight="0">
      <c r="A1565" s="0">
        <f>HYPERLINK("https://dl.dropboxusercontent.com/scl/fi/60perp8cc2qm1c3kc65eg/123878-af.jpg?rlkey=1mbchgk8xwrl3lqs6r9b7yoxl&amp;dl=0","Click to download Image")</f>
      </c>
      <c r="B1565" s="0">
        <f>HYPERLINK("https://dl.dropboxusercontent.com/scl/fi/ruhnss6vow71j11rwr6l1/womens-t-shirt-size-chartslola.jpg?rlkey=8o1modoc6i2edpr1k0c7q2br0&amp;dl=0","Click to download SizeChart")</f>
      </c>
      <c r="C1565" s="0" t="inlineStr">
        <is>
          <t>Lola Women's Long Sleeve Shirt</t>
        </is>
      </c>
      <c r="D1565" s="0" t="inlineStr">
        <is>
          <t>'123878</t>
        </is>
      </c>
      <c r="E1565" s="0" t="inlineStr">
        <is>
          <t>CU LOLA W BK:123878F-3XL</t>
        </is>
      </c>
      <c r="F1565" s="0" t="inlineStr">
        <is>
          <t>'810123878093</t>
        </is>
      </c>
      <c r="G1565" s="0" t="inlineStr">
        <is>
          <t>WOMENS</t>
        </is>
      </c>
      <c r="H1565" s="0" t="inlineStr">
        <is>
          <t>3XL</t>
        </is>
      </c>
      <c r="I1565" s="0">
        <v>41.99</v>
      </c>
      <c r="J1565" s="0">
        <v>2</v>
      </c>
    </row>
    <row r="1566" spans="1:10" customHeight="0">
      <c r="A1566" s="0">
        <f>HYPERLINK("https://dl.dropboxusercontent.com/scl/fi/60perp8cc2qm1c3kc65eg/123878-af.jpg?rlkey=1mbchgk8xwrl3lqs6r9b7yoxl&amp;dl=0","Click to download Image")</f>
      </c>
      <c r="B1566" s="0">
        <f>HYPERLINK("https://dl.dropboxusercontent.com/scl/fi/ruhnss6vow71j11rwr6l1/womens-t-shirt-size-chartslola.jpg?rlkey=8o1modoc6i2edpr1k0c7q2br0&amp;dl=0","Click to download SizeChart")</f>
      </c>
      <c r="C1566" s="0" t="inlineStr">
        <is>
          <t>Lola Women's Long Sleeve Shirt</t>
        </is>
      </c>
      <c r="D1566" s="0" t="inlineStr">
        <is>
          <t>'123878</t>
        </is>
      </c>
      <c r="E1566" s="0" t="inlineStr">
        <is>
          <t>CU LOLA W BK 12PK:123878Z-12PK</t>
        </is>
      </c>
      <c r="F1566" s="0" t="inlineStr">
        <is>
          <t>'810123878994</t>
        </is>
      </c>
      <c r="G1566" s="0" t="inlineStr">
        <is>
          <t>WOMENS</t>
        </is>
      </c>
      <c r="H1566" s="0" t="inlineStr">
        <is>
          <t>12 PACK</t>
        </is>
      </c>
      <c r="I1566" s="0">
        <v>384</v>
      </c>
      <c r="J1566" s="0">
        <v>0</v>
      </c>
    </row>
    <row r="1567" spans="1:10" customHeight="0">
      <c r="A1567" s="0">
        <f>HYPERLINK("https://dl.dropboxusercontent.com/scl/fi/f7f11gdzk88bqcxzu8aqr/113380-af.jpg?rlkey=wusmd7uixtw3jaaua2jgy1uh5&amp;dl=0","Click to download Image")</f>
      </c>
      <c r="B1567" s="0">
        <f>HYPERLINK("https://dl.dropboxusercontent.com/scl/fi/31ft9od7gaf8gu4h2nfb6/womens-t-shirt-size-chartsmarielle.jpg?rlkey=xuf8egh8yaq5g3zpqg8td14td&amp;dl=0","Click to download SizeChart")</f>
      </c>
      <c r="C1567" s="0" t="inlineStr">
        <is>
          <t>Marielle Women's Relaxed T-shirt</t>
        </is>
      </c>
      <c r="D1567" s="0" t="inlineStr">
        <is>
          <t>'113380</t>
        </is>
      </c>
      <c r="E1567" s="0" t="inlineStr">
        <is>
          <t>IOWA MARIELLE W BLACK:113380A-S</t>
        </is>
      </c>
      <c r="F1567" s="0" t="inlineStr">
        <is>
          <t>'800113380040</t>
        </is>
      </c>
      <c r="G1567" s="0" t="inlineStr">
        <is>
          <t>WOMENS</t>
        </is>
      </c>
      <c r="H1567" s="0" t="inlineStr">
        <is>
          <t>S</t>
        </is>
      </c>
      <c r="I1567" s="0">
        <v>24.99</v>
      </c>
      <c r="J1567" s="0">
        <v>0</v>
      </c>
    </row>
    <row r="1568" spans="1:10" customHeight="0">
      <c r="A1568" s="0">
        <f>HYPERLINK("https://dl.dropboxusercontent.com/scl/fi/f7f11gdzk88bqcxzu8aqr/113380-af.jpg?rlkey=wusmd7uixtw3jaaua2jgy1uh5&amp;dl=0","Click to download Image")</f>
      </c>
      <c r="B1568" s="0">
        <f>HYPERLINK("https://dl.dropboxusercontent.com/scl/fi/31ft9od7gaf8gu4h2nfb6/womens-t-shirt-size-chartsmarielle.jpg?rlkey=xuf8egh8yaq5g3zpqg8td14td&amp;dl=0","Click to download SizeChart")</f>
      </c>
      <c r="C1568" s="0" t="inlineStr">
        <is>
          <t>Marielle Women's Relaxed T-shirt</t>
        </is>
      </c>
      <c r="D1568" s="0" t="inlineStr">
        <is>
          <t>'113380</t>
        </is>
      </c>
      <c r="E1568" s="0" t="inlineStr">
        <is>
          <t>IOWA MARIELLE W BLACK:113380B-M</t>
        </is>
      </c>
      <c r="F1568" s="0" t="inlineStr">
        <is>
          <t>'800113380057</t>
        </is>
      </c>
      <c r="G1568" s="0" t="inlineStr">
        <is>
          <t>WOMENS</t>
        </is>
      </c>
      <c r="H1568" s="0" t="inlineStr">
        <is>
          <t>M</t>
        </is>
      </c>
      <c r="I1568" s="0">
        <v>24.99</v>
      </c>
      <c r="J1568" s="0">
        <v>0</v>
      </c>
    </row>
    <row r="1569" spans="1:10" customHeight="0">
      <c r="A1569" s="0">
        <f>HYPERLINK("https://dl.dropboxusercontent.com/scl/fi/f7f11gdzk88bqcxzu8aqr/113380-af.jpg?rlkey=wusmd7uixtw3jaaua2jgy1uh5&amp;dl=0","Click to download Image")</f>
      </c>
      <c r="B1569" s="0">
        <f>HYPERLINK("https://dl.dropboxusercontent.com/scl/fi/31ft9od7gaf8gu4h2nfb6/womens-t-shirt-size-chartsmarielle.jpg?rlkey=xuf8egh8yaq5g3zpqg8td14td&amp;dl=0","Click to download SizeChart")</f>
      </c>
      <c r="C1569" s="0" t="inlineStr">
        <is>
          <t>Marielle Women's Relaxed T-shirt</t>
        </is>
      </c>
      <c r="D1569" s="0" t="inlineStr">
        <is>
          <t>'113380</t>
        </is>
      </c>
      <c r="E1569" s="0" t="inlineStr">
        <is>
          <t>IOWA MARIELLE W BLACK:113380C-L</t>
        </is>
      </c>
      <c r="F1569" s="0" t="inlineStr">
        <is>
          <t>'800113380064</t>
        </is>
      </c>
      <c r="G1569" s="0" t="inlineStr">
        <is>
          <t>WOMENS</t>
        </is>
      </c>
      <c r="H1569" s="0" t="inlineStr">
        <is>
          <t>L</t>
        </is>
      </c>
      <c r="I1569" s="0">
        <v>24.99</v>
      </c>
      <c r="J1569" s="0">
        <v>0</v>
      </c>
    </row>
    <row r="1570" spans="1:10" customHeight="0">
      <c r="A1570" s="0">
        <f>HYPERLINK("https://dl.dropboxusercontent.com/scl/fi/f7f11gdzk88bqcxzu8aqr/113380-af.jpg?rlkey=wusmd7uixtw3jaaua2jgy1uh5&amp;dl=0","Click to download Image")</f>
      </c>
      <c r="B1570" s="0">
        <f>HYPERLINK("https://dl.dropboxusercontent.com/scl/fi/31ft9od7gaf8gu4h2nfb6/womens-t-shirt-size-chartsmarielle.jpg?rlkey=xuf8egh8yaq5g3zpqg8td14td&amp;dl=0","Click to download SizeChart")</f>
      </c>
      <c r="C1570" s="0" t="inlineStr">
        <is>
          <t>Marielle Women's Relaxed T-shirt</t>
        </is>
      </c>
      <c r="D1570" s="0" t="inlineStr">
        <is>
          <t>'113380</t>
        </is>
      </c>
      <c r="E1570" s="0" t="inlineStr">
        <is>
          <t>IOWA MARIELLE W BLACK:113380D-XL</t>
        </is>
      </c>
      <c r="F1570" s="0" t="inlineStr">
        <is>
          <t>'800113380071</t>
        </is>
      </c>
      <c r="G1570" s="0" t="inlineStr">
        <is>
          <t>WOMENS</t>
        </is>
      </c>
      <c r="H1570" s="0" t="inlineStr">
        <is>
          <t>XL</t>
        </is>
      </c>
      <c r="I1570" s="0">
        <v>24.99</v>
      </c>
      <c r="J1570" s="0">
        <v>0</v>
      </c>
    </row>
    <row r="1571" spans="1:10" customHeight="0">
      <c r="A1571" s="0">
        <f>HYPERLINK("https://dl.dropboxusercontent.com/scl/fi/f7f11gdzk88bqcxzu8aqr/113380-af.jpg?rlkey=wusmd7uixtw3jaaua2jgy1uh5&amp;dl=0","Click to download Image")</f>
      </c>
      <c r="B1571" s="0">
        <f>HYPERLINK("https://dl.dropboxusercontent.com/scl/fi/31ft9od7gaf8gu4h2nfb6/womens-t-shirt-size-chartsmarielle.jpg?rlkey=xuf8egh8yaq5g3zpqg8td14td&amp;dl=0","Click to download SizeChart")</f>
      </c>
      <c r="C1571" s="0" t="inlineStr">
        <is>
          <t>Marielle Women's Relaxed T-shirt</t>
        </is>
      </c>
      <c r="D1571" s="0" t="inlineStr">
        <is>
          <t>'113380</t>
        </is>
      </c>
      <c r="E1571" s="0" t="inlineStr">
        <is>
          <t>IOWA MARIELLE W BLACK:113380E-2XL</t>
        </is>
      </c>
      <c r="F1571" s="0" t="inlineStr">
        <is>
          <t>'800113380088</t>
        </is>
      </c>
      <c r="G1571" s="0" t="inlineStr">
        <is>
          <t>WOMENS</t>
        </is>
      </c>
      <c r="H1571" s="0" t="inlineStr">
        <is>
          <t>2XL</t>
        </is>
      </c>
      <c r="I1571" s="0">
        <v>30.99</v>
      </c>
      <c r="J1571" s="0">
        <v>13</v>
      </c>
    </row>
    <row r="1572" spans="1:10" customHeight="0">
      <c r="A1572" s="0">
        <f>HYPERLINK("https://dl.dropboxusercontent.com/scl/fi/f7f11gdzk88bqcxzu8aqr/113380-af.jpg?rlkey=wusmd7uixtw3jaaua2jgy1uh5&amp;dl=0","Click to download Image")</f>
      </c>
      <c r="B1572" s="0">
        <f>HYPERLINK("https://dl.dropboxusercontent.com/scl/fi/31ft9od7gaf8gu4h2nfb6/womens-t-shirt-size-chartsmarielle.jpg?rlkey=xuf8egh8yaq5g3zpqg8td14td&amp;dl=0","Click to download SizeChart")</f>
      </c>
      <c r="C1572" s="0" t="inlineStr">
        <is>
          <t>Marielle Women's Relaxed T-shirt</t>
        </is>
      </c>
      <c r="D1572" s="0" t="inlineStr">
        <is>
          <t>'113380</t>
        </is>
      </c>
      <c r="E1572" s="0" t="inlineStr">
        <is>
          <t>IOWA MARIELLE W BLACK:113380F-3XL</t>
        </is>
      </c>
      <c r="F1572" s="0" t="inlineStr">
        <is>
          <t>'800113380095</t>
        </is>
      </c>
      <c r="G1572" s="0" t="inlineStr">
        <is>
          <t>WOMENS</t>
        </is>
      </c>
      <c r="H1572" s="0" t="inlineStr">
        <is>
          <t>3XL</t>
        </is>
      </c>
      <c r="I1572" s="0">
        <v>30.99</v>
      </c>
      <c r="J1572" s="0">
        <v>15</v>
      </c>
    </row>
    <row r="1573" spans="1:10" customHeight="0">
      <c r="A1573" s="0">
        <f>HYPERLINK("https://dl.dropboxusercontent.com/scl/fi/f7f11gdzk88bqcxzu8aqr/113380-af.jpg?rlkey=wusmd7uixtw3jaaua2jgy1uh5&amp;dl=0","Click to download Image")</f>
      </c>
      <c r="B1573" s="0">
        <f>HYPERLINK("https://dl.dropboxusercontent.com/scl/fi/31ft9od7gaf8gu4h2nfb6/womens-t-shirt-size-chartsmarielle.jpg?rlkey=xuf8egh8yaq5g3zpqg8td14td&amp;dl=0","Click to download SizeChart")</f>
      </c>
      <c r="C1573" s="0" t="inlineStr">
        <is>
          <t>Marielle Women's Relaxed T-shirt</t>
        </is>
      </c>
      <c r="D1573" s="0" t="inlineStr">
        <is>
          <t>'113380</t>
        </is>
      </c>
      <c r="E1573" s="0" t="inlineStr">
        <is>
          <t>IOWA MARIELLE W BLACK 12 PACK:113380Z-12PK</t>
        </is>
      </c>
      <c r="F1573" s="0" t="inlineStr">
        <is>
          <t>'800113380996</t>
        </is>
      </c>
      <c r="G1573" s="0" t="inlineStr">
        <is>
          <t>WOMENS</t>
        </is>
      </c>
      <c r="H1573" s="0" t="inlineStr">
        <is>
          <t>12 PACK</t>
        </is>
      </c>
      <c r="I1573" s="0">
        <v>240</v>
      </c>
      <c r="J1573" s="0">
        <v>0</v>
      </c>
    </row>
    <row r="1574" spans="1:10" customHeight="0">
      <c r="A1574" s="0">
        <f>HYPERLINK("https://dl.dropboxusercontent.com/scl/fi/uwkj1h3fuxgrikc8owksc/123893-af.jpg?rlkey=qtnlbekbhwzn85uo14ff6md3v&amp;dl=0","Click to download Image")</f>
      </c>
      <c r="B1574" s="0">
        <f>HYPERLINK("https://dl.dropboxusercontent.com/scl/fi/31ft9od7gaf8gu4h2nfb6/womens-t-shirt-size-chartsmarielle.jpg?rlkey=xuf8egh8yaq5g3zpqg8td14td&amp;dl=0","Click to download SizeChart")</f>
      </c>
      <c r="C1574" s="0" t="inlineStr">
        <is>
          <t>Marielle Women's Relaxed T-shirt</t>
        </is>
      </c>
      <c r="D1574" s="0" t="inlineStr">
        <is>
          <t>'123893</t>
        </is>
      </c>
      <c r="E1574" s="0" t="inlineStr">
        <is>
          <t>UNO MARIELLE W BK:123893A-S</t>
        </is>
      </c>
      <c r="F1574" s="0" t="inlineStr">
        <is>
          <t>'809123893045</t>
        </is>
      </c>
      <c r="G1574" s="0" t="inlineStr">
        <is>
          <t>WOMENS</t>
        </is>
      </c>
      <c r="H1574" s="0" t="inlineStr">
        <is>
          <t>S</t>
        </is>
      </c>
      <c r="I1574" s="0">
        <v>24.99</v>
      </c>
      <c r="J1574" s="0">
        <v>5</v>
      </c>
    </row>
    <row r="1575" spans="1:10" customHeight="0">
      <c r="A1575" s="0">
        <f>HYPERLINK("https://dl.dropboxusercontent.com/scl/fi/uwkj1h3fuxgrikc8owksc/123893-af.jpg?rlkey=qtnlbekbhwzn85uo14ff6md3v&amp;dl=0","Click to download Image")</f>
      </c>
      <c r="B1575" s="0">
        <f>HYPERLINK("https://dl.dropboxusercontent.com/scl/fi/31ft9od7gaf8gu4h2nfb6/womens-t-shirt-size-chartsmarielle.jpg?rlkey=xuf8egh8yaq5g3zpqg8td14td&amp;dl=0","Click to download SizeChart")</f>
      </c>
      <c r="C1575" s="0" t="inlineStr">
        <is>
          <t>Marielle Women's Relaxed T-shirt</t>
        </is>
      </c>
      <c r="D1575" s="0" t="inlineStr">
        <is>
          <t>'123893</t>
        </is>
      </c>
      <c r="E1575" s="0" t="inlineStr">
        <is>
          <t>UNO MARIELLE W BK:123893B-M</t>
        </is>
      </c>
      <c r="F1575" s="0" t="inlineStr">
        <is>
          <t>'809123893052</t>
        </is>
      </c>
      <c r="G1575" s="0" t="inlineStr">
        <is>
          <t>WOMENS</t>
        </is>
      </c>
      <c r="H1575" s="0" t="inlineStr">
        <is>
          <t>M</t>
        </is>
      </c>
      <c r="I1575" s="0">
        <v>24.99</v>
      </c>
      <c r="J1575" s="0">
        <v>8</v>
      </c>
    </row>
    <row r="1576" spans="1:10" customHeight="0">
      <c r="A1576" s="0">
        <f>HYPERLINK("https://dl.dropboxusercontent.com/scl/fi/uwkj1h3fuxgrikc8owksc/123893-af.jpg?rlkey=qtnlbekbhwzn85uo14ff6md3v&amp;dl=0","Click to download Image")</f>
      </c>
      <c r="B1576" s="0">
        <f>HYPERLINK("https://dl.dropboxusercontent.com/scl/fi/31ft9od7gaf8gu4h2nfb6/womens-t-shirt-size-chartsmarielle.jpg?rlkey=xuf8egh8yaq5g3zpqg8td14td&amp;dl=0","Click to download SizeChart")</f>
      </c>
      <c r="C1576" s="0" t="inlineStr">
        <is>
          <t>Marielle Women's Relaxed T-shirt</t>
        </is>
      </c>
      <c r="D1576" s="0" t="inlineStr">
        <is>
          <t>'123893</t>
        </is>
      </c>
      <c r="E1576" s="0" t="inlineStr">
        <is>
          <t>UNO MARIELLE W BK:123893C-L</t>
        </is>
      </c>
      <c r="F1576" s="0" t="inlineStr">
        <is>
          <t>'809123893069</t>
        </is>
      </c>
      <c r="G1576" s="0" t="inlineStr">
        <is>
          <t>WOMENS</t>
        </is>
      </c>
      <c r="H1576" s="0" t="inlineStr">
        <is>
          <t>L</t>
        </is>
      </c>
      <c r="I1576" s="0">
        <v>24.99</v>
      </c>
      <c r="J1576" s="0">
        <v>8</v>
      </c>
    </row>
    <row r="1577" spans="1:10" customHeight="0">
      <c r="A1577" s="0">
        <f>HYPERLINK("https://dl.dropboxusercontent.com/scl/fi/uwkj1h3fuxgrikc8owksc/123893-af.jpg?rlkey=qtnlbekbhwzn85uo14ff6md3v&amp;dl=0","Click to download Image")</f>
      </c>
      <c r="B1577" s="0">
        <f>HYPERLINK("https://dl.dropboxusercontent.com/scl/fi/31ft9od7gaf8gu4h2nfb6/womens-t-shirt-size-chartsmarielle.jpg?rlkey=xuf8egh8yaq5g3zpqg8td14td&amp;dl=0","Click to download SizeChart")</f>
      </c>
      <c r="C1577" s="0" t="inlineStr">
        <is>
          <t>Marielle Women's Relaxed T-shirt</t>
        </is>
      </c>
      <c r="D1577" s="0" t="inlineStr">
        <is>
          <t>'123893</t>
        </is>
      </c>
      <c r="E1577" s="0" t="inlineStr">
        <is>
          <t>UNO MARIELLE W BK:123893D-XL</t>
        </is>
      </c>
      <c r="F1577" s="0" t="inlineStr">
        <is>
          <t>'809123893076</t>
        </is>
      </c>
      <c r="G1577" s="0" t="inlineStr">
        <is>
          <t>WOMENS</t>
        </is>
      </c>
      <c r="H1577" s="0" t="inlineStr">
        <is>
          <t>XL</t>
        </is>
      </c>
      <c r="I1577" s="0">
        <v>24.99</v>
      </c>
      <c r="J1577" s="0">
        <v>4</v>
      </c>
    </row>
    <row r="1578" spans="1:10" customHeight="0">
      <c r="A1578" s="0">
        <f>HYPERLINK("https://dl.dropboxusercontent.com/scl/fi/uwkj1h3fuxgrikc8owksc/123893-af.jpg?rlkey=qtnlbekbhwzn85uo14ff6md3v&amp;dl=0","Click to download Image")</f>
      </c>
      <c r="B1578" s="0">
        <f>HYPERLINK("https://dl.dropboxusercontent.com/scl/fi/31ft9od7gaf8gu4h2nfb6/womens-t-shirt-size-chartsmarielle.jpg?rlkey=xuf8egh8yaq5g3zpqg8td14td&amp;dl=0","Click to download SizeChart")</f>
      </c>
      <c r="C1578" s="0" t="inlineStr">
        <is>
          <t>Marielle Women's Relaxed T-shirt</t>
        </is>
      </c>
      <c r="D1578" s="0" t="inlineStr">
        <is>
          <t>'123893</t>
        </is>
      </c>
      <c r="E1578" s="0" t="inlineStr">
        <is>
          <t>UNO MARIELLE W BK:123893E-2XL</t>
        </is>
      </c>
      <c r="F1578" s="0" t="inlineStr">
        <is>
          <t>'809123893083</t>
        </is>
      </c>
      <c r="G1578" s="0" t="inlineStr">
        <is>
          <t>WOMENS</t>
        </is>
      </c>
      <c r="H1578" s="0" t="inlineStr">
        <is>
          <t>2XL</t>
        </is>
      </c>
      <c r="I1578" s="0">
        <v>30.99</v>
      </c>
      <c r="J1578" s="0">
        <v>4</v>
      </c>
    </row>
    <row r="1579" spans="1:10" customHeight="0">
      <c r="A1579" s="0">
        <f>HYPERLINK("https://dl.dropboxusercontent.com/scl/fi/uwkj1h3fuxgrikc8owksc/123893-af.jpg?rlkey=qtnlbekbhwzn85uo14ff6md3v&amp;dl=0","Click to download Image")</f>
      </c>
      <c r="B1579" s="0">
        <f>HYPERLINK("https://dl.dropboxusercontent.com/scl/fi/31ft9od7gaf8gu4h2nfb6/womens-t-shirt-size-chartsmarielle.jpg?rlkey=xuf8egh8yaq5g3zpqg8td14td&amp;dl=0","Click to download SizeChart")</f>
      </c>
      <c r="C1579" s="0" t="inlineStr">
        <is>
          <t>Marielle Women's Relaxed T-shirt</t>
        </is>
      </c>
      <c r="D1579" s="0" t="inlineStr">
        <is>
          <t>'123893</t>
        </is>
      </c>
      <c r="E1579" s="0" t="inlineStr">
        <is>
          <t>UNO MARIELLE W BK:123893F-3XL</t>
        </is>
      </c>
      <c r="F1579" s="0" t="inlineStr">
        <is>
          <t>'809123893090</t>
        </is>
      </c>
      <c r="G1579" s="0" t="inlineStr">
        <is>
          <t>WOMENS</t>
        </is>
      </c>
      <c r="H1579" s="0" t="inlineStr">
        <is>
          <t>3XL</t>
        </is>
      </c>
      <c r="I1579" s="0">
        <v>30.99</v>
      </c>
      <c r="J1579" s="0">
        <v>2</v>
      </c>
    </row>
    <row r="1580" spans="1:10" customHeight="0">
      <c r="A1580" s="0">
        <f>HYPERLINK("https://dl.dropboxusercontent.com/scl/fi/uwkj1h3fuxgrikc8owksc/123893-af.jpg?rlkey=qtnlbekbhwzn85uo14ff6md3v&amp;dl=0","Click to download Image")</f>
      </c>
      <c r="B1580" s="0">
        <f>HYPERLINK("https://dl.dropboxusercontent.com/scl/fi/31ft9od7gaf8gu4h2nfb6/womens-t-shirt-size-chartsmarielle.jpg?rlkey=xuf8egh8yaq5g3zpqg8td14td&amp;dl=0","Click to download SizeChart")</f>
      </c>
      <c r="C1580" s="0" t="inlineStr">
        <is>
          <t>Marielle Women's Relaxed T-shirt</t>
        </is>
      </c>
      <c r="D1580" s="0" t="inlineStr">
        <is>
          <t>'123893</t>
        </is>
      </c>
      <c r="E1580" s="0" t="inlineStr">
        <is>
          <t>UNO MARIELLE W BK 12PK:123893Z-12PK</t>
        </is>
      </c>
      <c r="F1580" s="0" t="inlineStr">
        <is>
          <t>'809123893991</t>
        </is>
      </c>
      <c r="G1580" s="0" t="inlineStr">
        <is>
          <t>WOMENS</t>
        </is>
      </c>
      <c r="H1580" s="0" t="inlineStr">
        <is>
          <t>12 PACK</t>
        </is>
      </c>
      <c r="I1580" s="0">
        <v>240</v>
      </c>
      <c r="J1580" s="0">
        <v>2</v>
      </c>
    </row>
    <row r="1581" spans="1:10" customHeight="0">
      <c r="A1581" s="0">
        <f>HYPERLINK("https://dl.dropboxusercontent.com/scl/fi/pqpohf5crbdmrcct9u1dj/marielle-editdsc3683.jpg?rlkey=u2zjpqozf8efymi7be7zwj8j2&amp;dl=0","Click to download Image")</f>
      </c>
      <c r="B1581" s="0">
        <f>HYPERLINK("https://dl.dropboxusercontent.com/scl/fi/31ft9od7gaf8gu4h2nfb6/womens-t-shirt-size-chartsmarielle.jpg?rlkey=xuf8egh8yaq5g3zpqg8td14td&amp;dl=0","Click to download SizeChart")</f>
      </c>
      <c r="C1581" s="0" t="inlineStr">
        <is>
          <t>Marielle Women's Relaxed T-shirt</t>
        </is>
      </c>
      <c r="D1581" s="0" t="inlineStr">
        <is>
          <t>'123978</t>
        </is>
      </c>
      <c r="E1581" s="0" t="inlineStr">
        <is>
          <t>CU MARIEL W GY:123978A-S</t>
        </is>
      </c>
      <c r="F1581" s="0" t="inlineStr">
        <is>
          <t>'810123978045</t>
        </is>
      </c>
      <c r="G1581" s="0" t="inlineStr">
        <is>
          <t>WOMENS</t>
        </is>
      </c>
      <c r="H1581" s="0" t="inlineStr">
        <is>
          <t>S</t>
        </is>
      </c>
      <c r="I1581" s="0">
        <v>24.99</v>
      </c>
      <c r="J1581" s="0">
        <v>4</v>
      </c>
    </row>
    <row r="1582" spans="1:10" customHeight="0">
      <c r="A1582" s="0">
        <f>HYPERLINK("https://dl.dropboxusercontent.com/scl/fi/pqpohf5crbdmrcct9u1dj/marielle-editdsc3683.jpg?rlkey=u2zjpqozf8efymi7be7zwj8j2&amp;dl=0","Click to download Image")</f>
      </c>
      <c r="B1582" s="0">
        <f>HYPERLINK("https://dl.dropboxusercontent.com/scl/fi/31ft9od7gaf8gu4h2nfb6/womens-t-shirt-size-chartsmarielle.jpg?rlkey=xuf8egh8yaq5g3zpqg8td14td&amp;dl=0","Click to download SizeChart")</f>
      </c>
      <c r="C1582" s="0" t="inlineStr">
        <is>
          <t>Marielle Women's Relaxed T-shirt</t>
        </is>
      </c>
      <c r="D1582" s="0" t="inlineStr">
        <is>
          <t>'123978</t>
        </is>
      </c>
      <c r="E1582" s="0" t="inlineStr">
        <is>
          <t>CU MARIEL W GY:123978B-M</t>
        </is>
      </c>
      <c r="F1582" s="0" t="inlineStr">
        <is>
          <t>'810123978052</t>
        </is>
      </c>
      <c r="G1582" s="0" t="inlineStr">
        <is>
          <t>WOMENS</t>
        </is>
      </c>
      <c r="H1582" s="0" t="inlineStr">
        <is>
          <t>M</t>
        </is>
      </c>
      <c r="I1582" s="0">
        <v>24.99</v>
      </c>
      <c r="J1582" s="0">
        <v>6</v>
      </c>
    </row>
    <row r="1583" spans="1:10" customHeight="0">
      <c r="A1583" s="0">
        <f>HYPERLINK("https://dl.dropboxusercontent.com/scl/fi/pqpohf5crbdmrcct9u1dj/marielle-editdsc3683.jpg?rlkey=u2zjpqozf8efymi7be7zwj8j2&amp;dl=0","Click to download Image")</f>
      </c>
      <c r="B1583" s="0">
        <f>HYPERLINK("https://dl.dropboxusercontent.com/scl/fi/31ft9od7gaf8gu4h2nfb6/womens-t-shirt-size-chartsmarielle.jpg?rlkey=xuf8egh8yaq5g3zpqg8td14td&amp;dl=0","Click to download SizeChart")</f>
      </c>
      <c r="C1583" s="0" t="inlineStr">
        <is>
          <t>Marielle Women's Relaxed T-shirt</t>
        </is>
      </c>
      <c r="D1583" s="0" t="inlineStr">
        <is>
          <t>'123978</t>
        </is>
      </c>
      <c r="E1583" s="0" t="inlineStr">
        <is>
          <t>CU MARIEL W GY:123978C-L</t>
        </is>
      </c>
      <c r="F1583" s="0" t="inlineStr">
        <is>
          <t>'810123978069</t>
        </is>
      </c>
      <c r="G1583" s="0" t="inlineStr">
        <is>
          <t>WOMENS</t>
        </is>
      </c>
      <c r="H1583" s="0" t="inlineStr">
        <is>
          <t>L</t>
        </is>
      </c>
      <c r="I1583" s="0">
        <v>24.99</v>
      </c>
      <c r="J1583" s="0">
        <v>9</v>
      </c>
    </row>
    <row r="1584" spans="1:10" customHeight="0">
      <c r="A1584" s="0">
        <f>HYPERLINK("https://dl.dropboxusercontent.com/scl/fi/pqpohf5crbdmrcct9u1dj/marielle-editdsc3683.jpg?rlkey=u2zjpqozf8efymi7be7zwj8j2&amp;dl=0","Click to download Image")</f>
      </c>
      <c r="B1584" s="0">
        <f>HYPERLINK("https://dl.dropboxusercontent.com/scl/fi/31ft9od7gaf8gu4h2nfb6/womens-t-shirt-size-chartsmarielle.jpg?rlkey=xuf8egh8yaq5g3zpqg8td14td&amp;dl=0","Click to download SizeChart")</f>
      </c>
      <c r="C1584" s="0" t="inlineStr">
        <is>
          <t>Marielle Women's Relaxed T-shirt</t>
        </is>
      </c>
      <c r="D1584" s="0" t="inlineStr">
        <is>
          <t>'123978</t>
        </is>
      </c>
      <c r="E1584" s="0" t="inlineStr">
        <is>
          <t>CU MARIEL W GY:123978D-XL</t>
        </is>
      </c>
      <c r="F1584" s="0" t="inlineStr">
        <is>
          <t>'810123978076</t>
        </is>
      </c>
      <c r="G1584" s="0" t="inlineStr">
        <is>
          <t>WOMENS</t>
        </is>
      </c>
      <c r="H1584" s="0" t="inlineStr">
        <is>
          <t>XL</t>
        </is>
      </c>
      <c r="I1584" s="0">
        <v>24.99</v>
      </c>
      <c r="J1584" s="0">
        <v>4</v>
      </c>
    </row>
    <row r="1585" spans="1:10" customHeight="0">
      <c r="A1585" s="0">
        <f>HYPERLINK("https://dl.dropboxusercontent.com/scl/fi/pqpohf5crbdmrcct9u1dj/marielle-editdsc3683.jpg?rlkey=u2zjpqozf8efymi7be7zwj8j2&amp;dl=0","Click to download Image")</f>
      </c>
      <c r="B1585" s="0">
        <f>HYPERLINK("https://dl.dropboxusercontent.com/scl/fi/31ft9od7gaf8gu4h2nfb6/womens-t-shirt-size-chartsmarielle.jpg?rlkey=xuf8egh8yaq5g3zpqg8td14td&amp;dl=0","Click to download SizeChart")</f>
      </c>
      <c r="C1585" s="0" t="inlineStr">
        <is>
          <t>Marielle Women's Relaxed T-shirt</t>
        </is>
      </c>
      <c r="D1585" s="0" t="inlineStr">
        <is>
          <t>'123978</t>
        </is>
      </c>
      <c r="E1585" s="0" t="inlineStr">
        <is>
          <t>CU MARIEL W GY:123978E-2XL</t>
        </is>
      </c>
      <c r="F1585" s="0" t="inlineStr">
        <is>
          <t>'810123978083</t>
        </is>
      </c>
      <c r="G1585" s="0" t="inlineStr">
        <is>
          <t>WOMENS</t>
        </is>
      </c>
      <c r="H1585" s="0" t="inlineStr">
        <is>
          <t>2XL</t>
        </is>
      </c>
      <c r="I1585" s="0">
        <v>30.99</v>
      </c>
      <c r="J1585" s="0">
        <v>5</v>
      </c>
    </row>
    <row r="1586" spans="1:10" customHeight="0">
      <c r="A1586" s="0">
        <f>HYPERLINK("https://dl.dropboxusercontent.com/scl/fi/pqpohf5crbdmrcct9u1dj/marielle-editdsc3683.jpg?rlkey=u2zjpqozf8efymi7be7zwj8j2&amp;dl=0","Click to download Image")</f>
      </c>
      <c r="B1586" s="0">
        <f>HYPERLINK("https://dl.dropboxusercontent.com/scl/fi/31ft9od7gaf8gu4h2nfb6/womens-t-shirt-size-chartsmarielle.jpg?rlkey=xuf8egh8yaq5g3zpqg8td14td&amp;dl=0","Click to download SizeChart")</f>
      </c>
      <c r="C1586" s="0" t="inlineStr">
        <is>
          <t>Marielle Women's Relaxed T-shirt</t>
        </is>
      </c>
      <c r="D1586" s="0" t="inlineStr">
        <is>
          <t>'123978</t>
        </is>
      </c>
      <c r="E1586" s="0" t="inlineStr">
        <is>
          <t>CU MARIEL W GY:123978F-3XL</t>
        </is>
      </c>
      <c r="F1586" s="0" t="inlineStr">
        <is>
          <t>'810123978090</t>
        </is>
      </c>
      <c r="G1586" s="0" t="inlineStr">
        <is>
          <t>WOMENS</t>
        </is>
      </c>
      <c r="H1586" s="0" t="inlineStr">
        <is>
          <t>3XL</t>
        </is>
      </c>
      <c r="I1586" s="0">
        <v>30.99</v>
      </c>
      <c r="J1586" s="0">
        <v>0</v>
      </c>
    </row>
    <row r="1587" spans="1:10" customHeight="0">
      <c r="A1587" s="0">
        <f>HYPERLINK("https://dl.dropboxusercontent.com/scl/fi/pqpohf5crbdmrcct9u1dj/marielle-editdsc3683.jpg?rlkey=u2zjpqozf8efymi7be7zwj8j2&amp;dl=0","Click to download Image")</f>
      </c>
      <c r="B1587" s="0">
        <f>HYPERLINK("https://dl.dropboxusercontent.com/scl/fi/31ft9od7gaf8gu4h2nfb6/womens-t-shirt-size-chartsmarielle.jpg?rlkey=xuf8egh8yaq5g3zpqg8td14td&amp;dl=0","Click to download SizeChart")</f>
      </c>
      <c r="C1587" s="0" t="inlineStr">
        <is>
          <t>Marielle Women's Relaxed T-shirt</t>
        </is>
      </c>
      <c r="D1587" s="0" t="inlineStr">
        <is>
          <t>'123978</t>
        </is>
      </c>
      <c r="E1587" s="0" t="inlineStr">
        <is>
          <t>CU MARIEL W GY 12PK:123978Z-12PK</t>
        </is>
      </c>
      <c r="F1587" s="0" t="inlineStr">
        <is>
          <t>'810123978991</t>
        </is>
      </c>
      <c r="G1587" s="0" t="inlineStr">
        <is>
          <t>WOMENS</t>
        </is>
      </c>
      <c r="H1587" s="0" t="inlineStr">
        <is>
          <t>12 PACK</t>
        </is>
      </c>
      <c r="I1587" s="0">
        <v>240</v>
      </c>
      <c r="J1587" s="0">
        <v>1</v>
      </c>
    </row>
    <row r="1588" spans="1:10" customHeight="0">
      <c r="A1588" s="0">
        <f>HYPERLINK("https://dl.dropboxusercontent.com/scl/fi/ezkmcie5iiqah85g5ksbi/kent-137434f.jpg?rlkey=mcq6h963ouublobcbz3o5bbm8&amp;dl=0","Click to download Image")</f>
      </c>
      <c r="B1588" s="0">
        <f>HYPERLINK("https://dl.dropboxusercontent.com/scl/fi/5y73xy7y35goxkl25ec48/graphic-update2022-mens.jpg?rlkey=7paoo5iejucbso17gylhqdfof&amp;dl=0","Click to download SizeChart")</f>
      </c>
      <c r="C1588" s="0" t="inlineStr">
        <is>
          <t>Kent Men's Midweight Sweatshirt</t>
        </is>
      </c>
      <c r="D1588" s="0" t="inlineStr">
        <is>
          <t>'137434</t>
        </is>
      </c>
      <c r="E1588" s="0" t="inlineStr">
        <is>
          <t>IOWA KENT M BK:137434A-S</t>
        </is>
      </c>
      <c r="F1588" s="0" t="inlineStr">
        <is>
          <t>'800137434040</t>
        </is>
      </c>
      <c r="G1588" s="0" t="inlineStr">
        <is>
          <t>MENS</t>
        </is>
      </c>
      <c r="H1588" s="0" t="inlineStr">
        <is>
          <t>S</t>
        </is>
      </c>
      <c r="I1588" s="0">
        <v>34.99</v>
      </c>
      <c r="J1588" s="0">
        <v>1</v>
      </c>
    </row>
    <row r="1589" spans="1:10" customHeight="0">
      <c r="A1589" s="0">
        <f>HYPERLINK("https://dl.dropboxusercontent.com/scl/fi/ezkmcie5iiqah85g5ksbi/kent-137434f.jpg?rlkey=mcq6h963ouublobcbz3o5bbm8&amp;dl=0","Click to download Image")</f>
      </c>
      <c r="B1589" s="0">
        <f>HYPERLINK("https://dl.dropboxusercontent.com/scl/fi/5y73xy7y35goxkl25ec48/graphic-update2022-mens.jpg?rlkey=7paoo5iejucbso17gylhqdfof&amp;dl=0","Click to download SizeChart")</f>
      </c>
      <c r="C1589" s="0" t="inlineStr">
        <is>
          <t>Kent Men's Midweight Sweatshirt</t>
        </is>
      </c>
      <c r="D1589" s="0" t="inlineStr">
        <is>
          <t>'137434</t>
        </is>
      </c>
      <c r="E1589" s="0" t="inlineStr">
        <is>
          <t>IOWA KENT M BK:137434B-M</t>
        </is>
      </c>
      <c r="F1589" s="0" t="inlineStr">
        <is>
          <t>'800137434057</t>
        </is>
      </c>
      <c r="G1589" s="0" t="inlineStr">
        <is>
          <t>MENS</t>
        </is>
      </c>
      <c r="H1589" s="0" t="inlineStr">
        <is>
          <t>M</t>
        </is>
      </c>
      <c r="I1589" s="0">
        <v>34.99</v>
      </c>
      <c r="J1589" s="0">
        <v>1</v>
      </c>
    </row>
    <row r="1590" spans="1:10" customHeight="0">
      <c r="A1590" s="0">
        <f>HYPERLINK("https://dl.dropboxusercontent.com/scl/fi/ezkmcie5iiqah85g5ksbi/kent-137434f.jpg?rlkey=mcq6h963ouublobcbz3o5bbm8&amp;dl=0","Click to download Image")</f>
      </c>
      <c r="B1590" s="0">
        <f>HYPERLINK("https://dl.dropboxusercontent.com/scl/fi/5y73xy7y35goxkl25ec48/graphic-update2022-mens.jpg?rlkey=7paoo5iejucbso17gylhqdfof&amp;dl=0","Click to download SizeChart")</f>
      </c>
      <c r="C1590" s="0" t="inlineStr">
        <is>
          <t>Kent Men's Midweight Sweatshirt</t>
        </is>
      </c>
      <c r="D1590" s="0" t="inlineStr">
        <is>
          <t>'137434</t>
        </is>
      </c>
      <c r="E1590" s="0" t="inlineStr">
        <is>
          <t>IOWA KENT M BK:137434C-L</t>
        </is>
      </c>
      <c r="F1590" s="0" t="inlineStr">
        <is>
          <t>'800137434064</t>
        </is>
      </c>
      <c r="G1590" s="0" t="inlineStr">
        <is>
          <t>MENS</t>
        </is>
      </c>
      <c r="H1590" s="0" t="inlineStr">
        <is>
          <t>L</t>
        </is>
      </c>
      <c r="I1590" s="0">
        <v>34.99</v>
      </c>
      <c r="J1590" s="0">
        <v>0</v>
      </c>
    </row>
    <row r="1591" spans="1:10" customHeight="0">
      <c r="A1591" s="0">
        <f>HYPERLINK("https://dl.dropboxusercontent.com/scl/fi/ezkmcie5iiqah85g5ksbi/kent-137434f.jpg?rlkey=mcq6h963ouublobcbz3o5bbm8&amp;dl=0","Click to download Image")</f>
      </c>
      <c r="B1591" s="0">
        <f>HYPERLINK("https://dl.dropboxusercontent.com/scl/fi/5y73xy7y35goxkl25ec48/graphic-update2022-mens.jpg?rlkey=7paoo5iejucbso17gylhqdfof&amp;dl=0","Click to download SizeChart")</f>
      </c>
      <c r="C1591" s="0" t="inlineStr">
        <is>
          <t>Kent Men's Midweight Sweatshirt</t>
        </is>
      </c>
      <c r="D1591" s="0" t="inlineStr">
        <is>
          <t>'137434</t>
        </is>
      </c>
      <c r="E1591" s="0" t="inlineStr">
        <is>
          <t>IOWA KENT M BK:137434D-XL</t>
        </is>
      </c>
      <c r="F1591" s="0" t="inlineStr">
        <is>
          <t>'800137434071</t>
        </is>
      </c>
      <c r="G1591" s="0" t="inlineStr">
        <is>
          <t>MENS</t>
        </is>
      </c>
      <c r="H1591" s="0" t="inlineStr">
        <is>
          <t>XL</t>
        </is>
      </c>
      <c r="I1591" s="0">
        <v>34.99</v>
      </c>
      <c r="J1591" s="0">
        <v>0</v>
      </c>
    </row>
    <row r="1592" spans="1:10" customHeight="0">
      <c r="A1592" s="0">
        <f>HYPERLINK("https://dl.dropboxusercontent.com/scl/fi/ezkmcie5iiqah85g5ksbi/kent-137434f.jpg?rlkey=mcq6h963ouublobcbz3o5bbm8&amp;dl=0","Click to download Image")</f>
      </c>
      <c r="B1592" s="0">
        <f>HYPERLINK("https://dl.dropboxusercontent.com/scl/fi/5y73xy7y35goxkl25ec48/graphic-update2022-mens.jpg?rlkey=7paoo5iejucbso17gylhqdfof&amp;dl=0","Click to download SizeChart")</f>
      </c>
      <c r="C1592" s="0" t="inlineStr">
        <is>
          <t>Kent Men's Midweight Sweatshirt</t>
        </is>
      </c>
      <c r="D1592" s="0" t="inlineStr">
        <is>
          <t>'137434</t>
        </is>
      </c>
      <c r="E1592" s="0" t="inlineStr">
        <is>
          <t>IOWA KENT M BK:137434E-2XL</t>
        </is>
      </c>
      <c r="F1592" s="0" t="inlineStr">
        <is>
          <t>'800137434088</t>
        </is>
      </c>
      <c r="G1592" s="0" t="inlineStr">
        <is>
          <t>MENS</t>
        </is>
      </c>
      <c r="H1592" s="0" t="inlineStr">
        <is>
          <t>2XL</t>
        </is>
      </c>
      <c r="I1592" s="0">
        <v>46.99</v>
      </c>
      <c r="J1592" s="0">
        <v>0</v>
      </c>
    </row>
    <row r="1593" spans="1:10" customHeight="0">
      <c r="A1593" s="0">
        <f>HYPERLINK("https://dl.dropboxusercontent.com/scl/fi/ezkmcie5iiqah85g5ksbi/kent-137434f.jpg?rlkey=mcq6h963ouublobcbz3o5bbm8&amp;dl=0","Click to download Image")</f>
      </c>
      <c r="B1593" s="0">
        <f>HYPERLINK("https://dl.dropboxusercontent.com/scl/fi/5y73xy7y35goxkl25ec48/graphic-update2022-mens.jpg?rlkey=7paoo5iejucbso17gylhqdfof&amp;dl=0","Click to download SizeChart")</f>
      </c>
      <c r="C1593" s="0" t="inlineStr">
        <is>
          <t>Kent Men's Midweight Sweatshirt</t>
        </is>
      </c>
      <c r="D1593" s="0" t="inlineStr">
        <is>
          <t>'137434</t>
        </is>
      </c>
      <c r="E1593" s="0" t="inlineStr">
        <is>
          <t>IOWA KENT M BK:137434F-3XL</t>
        </is>
      </c>
      <c r="F1593" s="0" t="inlineStr">
        <is>
          <t>'800137434095</t>
        </is>
      </c>
      <c r="G1593" s="0" t="inlineStr">
        <is>
          <t>MENS</t>
        </is>
      </c>
      <c r="H1593" s="0" t="inlineStr">
        <is>
          <t>3XL</t>
        </is>
      </c>
      <c r="I1593" s="0">
        <v>46.99</v>
      </c>
      <c r="J1593" s="0">
        <v>0</v>
      </c>
    </row>
    <row r="1594" spans="1:10" customHeight="0">
      <c r="A1594" s="0">
        <f>HYPERLINK("https://dl.dropboxusercontent.com/scl/fi/2ema94vbhvpnjpvm73r1w/123358-af.jpg?rlkey=aoms5z2v4px23sk4rx9o6a4et&amp;dl=0","Click to download Image")</f>
      </c>
      <c r="C1594" s="0" t="inlineStr">
        <is>
          <t>Leona Youth Hoodie</t>
        </is>
      </c>
      <c r="D1594" s="0" t="inlineStr">
        <is>
          <t>'123358</t>
        </is>
      </c>
      <c r="E1594" s="0" t="inlineStr">
        <is>
          <t>IND LEONA Y GY:123358B-YS</t>
        </is>
      </c>
      <c r="F1594" s="0" t="inlineStr">
        <is>
          <t>'806123358017</t>
        </is>
      </c>
      <c r="G1594" s="0" t="inlineStr">
        <is>
          <t>YOUTH</t>
        </is>
      </c>
      <c r="H1594" s="0" t="inlineStr">
        <is>
          <t>YS</t>
        </is>
      </c>
      <c r="I1594" s="0">
        <v>29.99</v>
      </c>
      <c r="J1594" s="0">
        <v>5</v>
      </c>
    </row>
    <row r="1595" spans="1:10" customHeight="0">
      <c r="A1595" s="0">
        <f>HYPERLINK("https://dl.dropboxusercontent.com/scl/fi/2ema94vbhvpnjpvm73r1w/123358-af.jpg?rlkey=aoms5z2v4px23sk4rx9o6a4et&amp;dl=0","Click to download Image")</f>
      </c>
      <c r="C1595" s="0" t="inlineStr">
        <is>
          <t>Leona Youth Hoodie</t>
        </is>
      </c>
      <c r="D1595" s="0" t="inlineStr">
        <is>
          <t>'123358</t>
        </is>
      </c>
      <c r="E1595" s="0" t="inlineStr">
        <is>
          <t>IND LEONA Y GY:123358C-YM</t>
        </is>
      </c>
      <c r="F1595" s="0" t="inlineStr">
        <is>
          <t>'806123358024</t>
        </is>
      </c>
      <c r="G1595" s="0" t="inlineStr">
        <is>
          <t>YOUTH</t>
        </is>
      </c>
      <c r="H1595" s="0" t="inlineStr">
        <is>
          <t>YM</t>
        </is>
      </c>
      <c r="I1595" s="0">
        <v>29.99</v>
      </c>
      <c r="J1595" s="0">
        <v>10</v>
      </c>
    </row>
    <row r="1596" spans="1:10" customHeight="0">
      <c r="A1596" s="0">
        <f>HYPERLINK("https://dl.dropboxusercontent.com/scl/fi/2ema94vbhvpnjpvm73r1w/123358-af.jpg?rlkey=aoms5z2v4px23sk4rx9o6a4et&amp;dl=0","Click to download Image")</f>
      </c>
      <c r="C1596" s="0" t="inlineStr">
        <is>
          <t>Leona Youth Hoodie</t>
        </is>
      </c>
      <c r="D1596" s="0" t="inlineStr">
        <is>
          <t>'123358</t>
        </is>
      </c>
      <c r="E1596" s="0" t="inlineStr">
        <is>
          <t>IND LEONA Y GY:123358D-YL</t>
        </is>
      </c>
      <c r="F1596" s="0" t="inlineStr">
        <is>
          <t>'806123358031</t>
        </is>
      </c>
      <c r="G1596" s="0" t="inlineStr">
        <is>
          <t>YOUTH</t>
        </is>
      </c>
      <c r="H1596" s="0" t="inlineStr">
        <is>
          <t>YL</t>
        </is>
      </c>
      <c r="I1596" s="0">
        <v>29.99</v>
      </c>
      <c r="J1596" s="0">
        <v>11</v>
      </c>
    </row>
    <row r="1597" spans="1:10" customHeight="0">
      <c r="A1597" s="0">
        <f>HYPERLINK("https://dl.dropboxusercontent.com/scl/fi/2ema94vbhvpnjpvm73r1w/123358-af.jpg?rlkey=aoms5z2v4px23sk4rx9o6a4et&amp;dl=0","Click to download Image")</f>
      </c>
      <c r="C1597" s="0" t="inlineStr">
        <is>
          <t>Leona Youth Hoodie</t>
        </is>
      </c>
      <c r="D1597" s="0" t="inlineStr">
        <is>
          <t>'123358</t>
        </is>
      </c>
      <c r="E1597" s="0" t="inlineStr">
        <is>
          <t>IND LEONA Y GY:123358E-YXL</t>
        </is>
      </c>
      <c r="F1597" s="0" t="inlineStr">
        <is>
          <t>'806123358048</t>
        </is>
      </c>
      <c r="G1597" s="0" t="inlineStr">
        <is>
          <t>YOUTH</t>
        </is>
      </c>
      <c r="H1597" s="0" t="inlineStr">
        <is>
          <t>YXL</t>
        </is>
      </c>
      <c r="I1597" s="0">
        <v>29.99</v>
      </c>
      <c r="J1597" s="0">
        <v>12</v>
      </c>
    </row>
    <row r="1598" spans="1:10" customHeight="0">
      <c r="A1598" s="0">
        <f>HYPERLINK("https://dl.dropboxusercontent.com/scl/fi/2ema94vbhvpnjpvm73r1w/123358-af.jpg?rlkey=aoms5z2v4px23sk4rx9o6a4et&amp;dl=0","Click to download Image")</f>
      </c>
      <c r="C1598" s="0" t="inlineStr">
        <is>
          <t>Leona Youth Hoodie</t>
        </is>
      </c>
      <c r="D1598" s="0" t="inlineStr">
        <is>
          <t>'123358</t>
        </is>
      </c>
      <c r="E1598" s="0" t="inlineStr">
        <is>
          <t>IND LEONA Y GY 12PK:123358Z-12PK</t>
        </is>
      </c>
      <c r="F1598" s="0" t="inlineStr">
        <is>
          <t>'806123358994</t>
        </is>
      </c>
      <c r="G1598" s="0" t="inlineStr">
        <is>
          <t>YOUTH</t>
        </is>
      </c>
      <c r="H1598" s="0" t="inlineStr">
        <is>
          <t>12 PACK</t>
        </is>
      </c>
      <c r="I1598" s="0">
        <v>288</v>
      </c>
      <c r="J1598" s="0">
        <v>1</v>
      </c>
    </row>
    <row r="1599" spans="1:10" customHeight="0">
      <c r="A1599" s="0">
        <f>HYPERLINK("https://dl.dropboxusercontent.com/scl/fi/t7qj9p7z2enngaq20pfup/123358-af.jpg?rlkey=pvelbuuk0jctvcroj2b36iclo&amp;dl=0","Click to download Image")</f>
      </c>
      <c r="C1599" s="0" t="inlineStr">
        <is>
          <t>Leona Youth Hoodie</t>
        </is>
      </c>
      <c r="D1599" s="0" t="inlineStr">
        <is>
          <t>'124077</t>
        </is>
      </c>
      <c r="E1599" s="0" t="inlineStr">
        <is>
          <t>USD LEONA Y GY:124077B-YS</t>
        </is>
      </c>
      <c r="F1599" s="0" t="inlineStr">
        <is>
          <t>'811124077010</t>
        </is>
      </c>
      <c r="G1599" s="0" t="inlineStr">
        <is>
          <t>YOUTH</t>
        </is>
      </c>
      <c r="H1599" s="0" t="inlineStr">
        <is>
          <t>YS</t>
        </is>
      </c>
      <c r="I1599" s="0">
        <v>29.99</v>
      </c>
      <c r="J1599" s="0">
        <v>10</v>
      </c>
    </row>
    <row r="1600" spans="1:10" customHeight="0">
      <c r="A1600" s="0">
        <f>HYPERLINK("https://dl.dropboxusercontent.com/scl/fi/t7qj9p7z2enngaq20pfup/123358-af.jpg?rlkey=pvelbuuk0jctvcroj2b36iclo&amp;dl=0","Click to download Image")</f>
      </c>
      <c r="C1600" s="0" t="inlineStr">
        <is>
          <t>Leona Youth Hoodie</t>
        </is>
      </c>
      <c r="D1600" s="0" t="inlineStr">
        <is>
          <t>'124077</t>
        </is>
      </c>
      <c r="E1600" s="0" t="inlineStr">
        <is>
          <t>USD LEONA Y GY:124077C-YM</t>
        </is>
      </c>
      <c r="F1600" s="0" t="inlineStr">
        <is>
          <t>'811124077027</t>
        </is>
      </c>
      <c r="G1600" s="0" t="inlineStr">
        <is>
          <t>YOUTH</t>
        </is>
      </c>
      <c r="H1600" s="0" t="inlineStr">
        <is>
          <t>YM</t>
        </is>
      </c>
      <c r="I1600" s="0">
        <v>29.99</v>
      </c>
      <c r="J1600" s="0">
        <v>9</v>
      </c>
    </row>
    <row r="1601" spans="1:10" customHeight="0">
      <c r="A1601" s="0">
        <f>HYPERLINK("https://dl.dropboxusercontent.com/scl/fi/t7qj9p7z2enngaq20pfup/123358-af.jpg?rlkey=pvelbuuk0jctvcroj2b36iclo&amp;dl=0","Click to download Image")</f>
      </c>
      <c r="C1601" s="0" t="inlineStr">
        <is>
          <t>Leona Youth Hoodie</t>
        </is>
      </c>
      <c r="D1601" s="0" t="inlineStr">
        <is>
          <t>'124077</t>
        </is>
      </c>
      <c r="E1601" s="0" t="inlineStr">
        <is>
          <t>USD LEONA Y GY:124077D-YL</t>
        </is>
      </c>
      <c r="F1601" s="0" t="inlineStr">
        <is>
          <t>'811124077034</t>
        </is>
      </c>
      <c r="G1601" s="0" t="inlineStr">
        <is>
          <t>YOUTH</t>
        </is>
      </c>
      <c r="H1601" s="0" t="inlineStr">
        <is>
          <t>YL</t>
        </is>
      </c>
      <c r="I1601" s="0">
        <v>29.99</v>
      </c>
      <c r="J1601" s="0">
        <v>9</v>
      </c>
    </row>
    <row r="1602" spans="1:10" customHeight="0">
      <c r="A1602" s="0">
        <f>HYPERLINK("https://dl.dropboxusercontent.com/scl/fi/t7qj9p7z2enngaq20pfup/123358-af.jpg?rlkey=pvelbuuk0jctvcroj2b36iclo&amp;dl=0","Click to download Image")</f>
      </c>
      <c r="C1602" s="0" t="inlineStr">
        <is>
          <t>Leona Youth Hoodie</t>
        </is>
      </c>
      <c r="D1602" s="0" t="inlineStr">
        <is>
          <t>'124077</t>
        </is>
      </c>
      <c r="E1602" s="0" t="inlineStr">
        <is>
          <t>USD LEONA Y GY:124077E-YXL</t>
        </is>
      </c>
      <c r="F1602" s="0" t="inlineStr">
        <is>
          <t>'811124077041</t>
        </is>
      </c>
      <c r="G1602" s="0" t="inlineStr">
        <is>
          <t>YOUTH</t>
        </is>
      </c>
      <c r="H1602" s="0" t="inlineStr">
        <is>
          <t>YXL</t>
        </is>
      </c>
      <c r="I1602" s="0">
        <v>29.99</v>
      </c>
      <c r="J1602" s="0">
        <v>9</v>
      </c>
    </row>
    <row r="1603" spans="1:10" customHeight="0">
      <c r="A1603" s="0">
        <f>HYPERLINK("https://dl.dropboxusercontent.com/scl/fi/t7qj9p7z2enngaq20pfup/123358-af.jpg?rlkey=pvelbuuk0jctvcroj2b36iclo&amp;dl=0","Click to download Image")</f>
      </c>
      <c r="C1603" s="0" t="inlineStr">
        <is>
          <t>Leona Youth Hoodie</t>
        </is>
      </c>
      <c r="D1603" s="0" t="inlineStr">
        <is>
          <t>'124077</t>
        </is>
      </c>
      <c r="E1603" s="0" t="inlineStr">
        <is>
          <t>USD LEONA Y GY 12PK:124077Z-12PK</t>
        </is>
      </c>
      <c r="F1603" s="0" t="inlineStr">
        <is>
          <t>'811124077997</t>
        </is>
      </c>
      <c r="G1603" s="0" t="inlineStr">
        <is>
          <t>YOUTH</t>
        </is>
      </c>
      <c r="H1603" s="0" t="inlineStr">
        <is>
          <t>12 PACK</t>
        </is>
      </c>
      <c r="I1603" s="0">
        <v>288</v>
      </c>
      <c r="J1603" s="0">
        <v>3</v>
      </c>
    </row>
    <row r="1604" spans="1:10" customHeight="0">
      <c r="A1604" s="0">
        <f>HYPERLINK("https://dl.dropboxusercontent.com/scl/fi/w1ud7tb3uuxfex6tingp0/123362-af.jpg?rlkey=odlk08kbiod0i2f48zrrcxu6l&amp;dl=0","Click to download Image")</f>
      </c>
      <c r="C1604" s="0" t="inlineStr">
        <is>
          <t>Leona Toddler Hoodie</t>
        </is>
      </c>
      <c r="D1604" s="0" t="inlineStr">
        <is>
          <t>'123362</t>
        </is>
      </c>
      <c r="E1604" s="0" t="inlineStr">
        <is>
          <t>PUR LEONA T GY:123362A-2T</t>
        </is>
      </c>
      <c r="F1604" s="0" t="inlineStr">
        <is>
          <t>'804123362089</t>
        </is>
      </c>
      <c r="G1604" s="0" t="inlineStr">
        <is>
          <t>TODDLER</t>
        </is>
      </c>
      <c r="H1604" s="0" t="inlineStr">
        <is>
          <t>2T</t>
        </is>
      </c>
      <c r="I1604" s="0">
        <v>29.99</v>
      </c>
      <c r="J1604" s="0">
        <v>1</v>
      </c>
    </row>
    <row r="1605" spans="1:10" customHeight="0">
      <c r="A1605" s="0">
        <f>HYPERLINK("https://dl.dropboxusercontent.com/scl/fi/w1ud7tb3uuxfex6tingp0/123362-af.jpg?rlkey=odlk08kbiod0i2f48zrrcxu6l&amp;dl=0","Click to download Image")</f>
      </c>
      <c r="C1605" s="0" t="inlineStr">
        <is>
          <t>Leona Toddler Hoodie</t>
        </is>
      </c>
      <c r="D1605" s="0" t="inlineStr">
        <is>
          <t>'123362</t>
        </is>
      </c>
      <c r="E1605" s="0" t="inlineStr">
        <is>
          <t>PUR LEONA T GY:123362B-3T</t>
        </is>
      </c>
      <c r="F1605" s="0" t="inlineStr">
        <is>
          <t>'804123362096</t>
        </is>
      </c>
      <c r="G1605" s="0" t="inlineStr">
        <is>
          <t>TODDLER</t>
        </is>
      </c>
      <c r="H1605" s="0" t="inlineStr">
        <is>
          <t>3T</t>
        </is>
      </c>
      <c r="I1605" s="0">
        <v>29.99</v>
      </c>
      <c r="J1605" s="0">
        <v>1</v>
      </c>
    </row>
    <row r="1606" spans="1:10" customHeight="0">
      <c r="A1606" s="0">
        <f>HYPERLINK("https://dl.dropboxusercontent.com/scl/fi/w1ud7tb3uuxfex6tingp0/123362-af.jpg?rlkey=odlk08kbiod0i2f48zrrcxu6l&amp;dl=0","Click to download Image")</f>
      </c>
      <c r="C1606" s="0" t="inlineStr">
        <is>
          <t>Leona Toddler Hoodie</t>
        </is>
      </c>
      <c r="D1606" s="0" t="inlineStr">
        <is>
          <t>'123362</t>
        </is>
      </c>
      <c r="E1606" s="0" t="inlineStr">
        <is>
          <t>PUR LEONA T GY:123362C-4T</t>
        </is>
      </c>
      <c r="F1606" s="0" t="inlineStr">
        <is>
          <t>'804123362102</t>
        </is>
      </c>
      <c r="G1606" s="0" t="inlineStr">
        <is>
          <t>TODDLER</t>
        </is>
      </c>
      <c r="H1606" s="0" t="inlineStr">
        <is>
          <t>4T</t>
        </is>
      </c>
      <c r="I1606" s="0">
        <v>29.99</v>
      </c>
      <c r="J1606" s="0">
        <v>3</v>
      </c>
    </row>
    <row r="1607" spans="1:10" customHeight="0">
      <c r="A1607" s="0">
        <f>HYPERLINK("https://dl.dropboxusercontent.com/scl/fi/w1ud7tb3uuxfex6tingp0/123362-af.jpg?rlkey=odlk08kbiod0i2f48zrrcxu6l&amp;dl=0","Click to download Image")</f>
      </c>
      <c r="C1607" s="0" t="inlineStr">
        <is>
          <t>Leona Toddler Hoodie</t>
        </is>
      </c>
      <c r="D1607" s="0" t="inlineStr">
        <is>
          <t>'123362</t>
        </is>
      </c>
      <c r="E1607" s="0" t="inlineStr">
        <is>
          <t>PUR LEONA T GY:123362D-5T</t>
        </is>
      </c>
      <c r="F1607" s="0" t="inlineStr">
        <is>
          <t>'804123362119</t>
        </is>
      </c>
      <c r="G1607" s="0" t="inlineStr">
        <is>
          <t>TODDLER</t>
        </is>
      </c>
      <c r="H1607" s="0" t="inlineStr">
        <is>
          <t>5T</t>
        </is>
      </c>
      <c r="I1607" s="0">
        <v>29.99</v>
      </c>
      <c r="J1607" s="0">
        <v>2</v>
      </c>
    </row>
    <row r="1608" spans="1:10" customHeight="0">
      <c r="A1608" s="0">
        <f>HYPERLINK("https://dl.dropboxusercontent.com/scl/fi/w1ud7tb3uuxfex6tingp0/123362-af.jpg?rlkey=odlk08kbiod0i2f48zrrcxu6l&amp;dl=0","Click to download Image")</f>
      </c>
      <c r="C1608" s="0" t="inlineStr">
        <is>
          <t>Leona Toddler Hoodie</t>
        </is>
      </c>
      <c r="D1608" s="0" t="inlineStr">
        <is>
          <t>'123362</t>
        </is>
      </c>
      <c r="E1608" s="0" t="inlineStr">
        <is>
          <t>PUR LEONA T GY 12PK:123362Z-12PK</t>
        </is>
      </c>
      <c r="F1608" s="0" t="inlineStr">
        <is>
          <t>'804123362997</t>
        </is>
      </c>
      <c r="G1608" s="0" t="inlineStr">
        <is>
          <t>TODDLER</t>
        </is>
      </c>
      <c r="H1608" s="0" t="inlineStr">
        <is>
          <t>12 PACK</t>
        </is>
      </c>
      <c r="I1608" s="0">
        <v>288</v>
      </c>
      <c r="J1608" s="0">
        <v>0</v>
      </c>
    </row>
    <row r="1609" spans="1:10" customHeight="0">
      <c r="A1609" s="0">
        <f>HYPERLINK("https://dl.dropboxusercontent.com/scl/fi/hynlt6f9hhgmy4wcey1qc/ndsu-leona.jpg?rlkey=d5j5oje39n0evmjlvqo1r54ca&amp;dl=0","Click to download Image")</f>
      </c>
      <c r="C1609" s="0" t="inlineStr">
        <is>
          <t>Leona Toddler Hoodie</t>
        </is>
      </c>
      <c r="D1609" s="0" t="inlineStr">
        <is>
          <t>'123767</t>
        </is>
      </c>
      <c r="E1609" s="0" t="inlineStr">
        <is>
          <t>NDSU LEONA T GY:123767A-2T</t>
        </is>
      </c>
      <c r="F1609" s="0" t="inlineStr">
        <is>
          <t>'813123767084</t>
        </is>
      </c>
      <c r="G1609" s="0" t="inlineStr">
        <is>
          <t>TODDLER</t>
        </is>
      </c>
      <c r="H1609" s="0" t="inlineStr">
        <is>
          <t>2T</t>
        </is>
      </c>
      <c r="I1609" s="0">
        <v>29.99</v>
      </c>
      <c r="J1609" s="0">
        <v>2</v>
      </c>
    </row>
    <row r="1610" spans="1:10" customHeight="0">
      <c r="A1610" s="0">
        <f>HYPERLINK("https://dl.dropboxusercontent.com/scl/fi/hynlt6f9hhgmy4wcey1qc/ndsu-leona.jpg?rlkey=d5j5oje39n0evmjlvqo1r54ca&amp;dl=0","Click to download Image")</f>
      </c>
      <c r="C1610" s="0" t="inlineStr">
        <is>
          <t>Leona Toddler Hoodie</t>
        </is>
      </c>
      <c r="D1610" s="0" t="inlineStr">
        <is>
          <t>'123767</t>
        </is>
      </c>
      <c r="E1610" s="0" t="inlineStr">
        <is>
          <t>NDSU LEONA T GY:123767B-3T</t>
        </is>
      </c>
      <c r="F1610" s="0" t="inlineStr">
        <is>
          <t>'813123767091</t>
        </is>
      </c>
      <c r="G1610" s="0" t="inlineStr">
        <is>
          <t>TODDLER</t>
        </is>
      </c>
      <c r="H1610" s="0" t="inlineStr">
        <is>
          <t>3T</t>
        </is>
      </c>
      <c r="I1610" s="0">
        <v>29.99</v>
      </c>
      <c r="J1610" s="0">
        <v>2</v>
      </c>
    </row>
    <row r="1611" spans="1:10" customHeight="0">
      <c r="A1611" s="0">
        <f>HYPERLINK("https://dl.dropboxusercontent.com/scl/fi/hynlt6f9hhgmy4wcey1qc/ndsu-leona.jpg?rlkey=d5j5oje39n0evmjlvqo1r54ca&amp;dl=0","Click to download Image")</f>
      </c>
      <c r="C1611" s="0" t="inlineStr">
        <is>
          <t>Leona Toddler Hoodie</t>
        </is>
      </c>
      <c r="D1611" s="0" t="inlineStr">
        <is>
          <t>'123767</t>
        </is>
      </c>
      <c r="E1611" s="0" t="inlineStr">
        <is>
          <t>NDSU LEONA T GY:123767C-4T</t>
        </is>
      </c>
      <c r="F1611" s="0" t="inlineStr">
        <is>
          <t>'813123767107</t>
        </is>
      </c>
      <c r="G1611" s="0" t="inlineStr">
        <is>
          <t>TODDLER</t>
        </is>
      </c>
      <c r="H1611" s="0" t="inlineStr">
        <is>
          <t>4T</t>
        </is>
      </c>
      <c r="I1611" s="0">
        <v>29.99</v>
      </c>
      <c r="J1611" s="0">
        <v>2</v>
      </c>
    </row>
    <row r="1612" spans="1:10" customHeight="0">
      <c r="A1612" s="0">
        <f>HYPERLINK("https://dl.dropboxusercontent.com/scl/fi/hynlt6f9hhgmy4wcey1qc/ndsu-leona.jpg?rlkey=d5j5oje39n0evmjlvqo1r54ca&amp;dl=0","Click to download Image")</f>
      </c>
      <c r="C1612" s="0" t="inlineStr">
        <is>
          <t>Leona Toddler Hoodie</t>
        </is>
      </c>
      <c r="D1612" s="0" t="inlineStr">
        <is>
          <t>'123767</t>
        </is>
      </c>
      <c r="E1612" s="0" t="inlineStr">
        <is>
          <t>NDSU LEONA T GY:123767D-5T</t>
        </is>
      </c>
      <c r="F1612" s="0" t="inlineStr">
        <is>
          <t>'813123767114</t>
        </is>
      </c>
      <c r="G1612" s="0" t="inlineStr">
        <is>
          <t>TODDLER</t>
        </is>
      </c>
      <c r="H1612" s="0" t="inlineStr">
        <is>
          <t>5T</t>
        </is>
      </c>
      <c r="I1612" s="0">
        <v>29.99</v>
      </c>
      <c r="J1612" s="0">
        <v>6</v>
      </c>
    </row>
    <row r="1613" spans="1:10" customHeight="0">
      <c r="A1613" s="0">
        <f>HYPERLINK("https://dl.dropboxusercontent.com/scl/fi/hynlt6f9hhgmy4wcey1qc/ndsu-leona.jpg?rlkey=d5j5oje39n0evmjlvqo1r54ca&amp;dl=0","Click to download Image")</f>
      </c>
      <c r="C1613" s="0" t="inlineStr">
        <is>
          <t>Leona Toddler Hoodie</t>
        </is>
      </c>
      <c r="D1613" s="0" t="inlineStr">
        <is>
          <t>'123767</t>
        </is>
      </c>
      <c r="E1613" s="0" t="inlineStr">
        <is>
          <t>NDSU LEONA T GY 12PK:123767Z-12PK</t>
        </is>
      </c>
      <c r="F1613" s="0" t="inlineStr">
        <is>
          <t>'813123767992</t>
        </is>
      </c>
      <c r="G1613" s="0" t="inlineStr">
        <is>
          <t>TODDLER</t>
        </is>
      </c>
      <c r="H1613" s="0" t="inlineStr">
        <is>
          <t>12 PACK</t>
        </is>
      </c>
      <c r="I1613" s="0">
        <v>288</v>
      </c>
      <c r="J1613" s="0">
        <v>0</v>
      </c>
    </row>
    <row r="1614" spans="1:10" customHeight="0">
      <c r="A1614" s="0">
        <f>HYPERLINK("https://dl.dropboxusercontent.com/scl/fi/1egtyhsyr5r5lyhqrryjs/123786-f.jpg?rlkey=2mfrpsvl9joia9zjvqkp17cum&amp;dl=0","Click to download Image")</f>
      </c>
      <c r="C1614" s="0" t="inlineStr">
        <is>
          <t>Lian Infant Bodysuit</t>
        </is>
      </c>
      <c r="D1614" s="0" t="inlineStr">
        <is>
          <t>'123786</t>
        </is>
      </c>
      <c r="E1614" s="0" t="inlineStr">
        <is>
          <t>NDSU LIAN I GN:123786A-0-3M</t>
        </is>
      </c>
      <c r="F1614" s="0" t="inlineStr">
        <is>
          <t>'813123786009</t>
        </is>
      </c>
      <c r="G1614" s="0" t="inlineStr">
        <is>
          <t>INFANT</t>
        </is>
      </c>
      <c r="H1614" s="0" t="inlineStr">
        <is>
          <t>0-3M</t>
        </is>
      </c>
      <c r="I1614" s="0">
        <v>24.99</v>
      </c>
      <c r="J1614" s="0">
        <v>12</v>
      </c>
    </row>
    <row r="1615" spans="1:10" customHeight="0">
      <c r="A1615" s="0">
        <f>HYPERLINK("https://dl.dropboxusercontent.com/scl/fi/1egtyhsyr5r5lyhqrryjs/123786-f.jpg?rlkey=2mfrpsvl9joia9zjvqkp17cum&amp;dl=0","Click to download Image")</f>
      </c>
      <c r="C1615" s="0" t="inlineStr">
        <is>
          <t>Lian Infant Bodysuit</t>
        </is>
      </c>
      <c r="D1615" s="0" t="inlineStr">
        <is>
          <t>'123786</t>
        </is>
      </c>
      <c r="E1615" s="0" t="inlineStr">
        <is>
          <t>NDSU LIAN I GN:123786B-3-6M</t>
        </is>
      </c>
      <c r="F1615" s="0" t="inlineStr">
        <is>
          <t>'813123786016</t>
        </is>
      </c>
      <c r="G1615" s="0" t="inlineStr">
        <is>
          <t>INFANT</t>
        </is>
      </c>
      <c r="H1615" s="0" t="inlineStr">
        <is>
          <t>3-6M</t>
        </is>
      </c>
      <c r="I1615" s="0">
        <v>24.99</v>
      </c>
      <c r="J1615" s="0">
        <v>12</v>
      </c>
    </row>
    <row r="1616" spans="1:10" customHeight="0">
      <c r="A1616" s="0">
        <f>HYPERLINK("https://dl.dropboxusercontent.com/scl/fi/1egtyhsyr5r5lyhqrryjs/123786-f.jpg?rlkey=2mfrpsvl9joia9zjvqkp17cum&amp;dl=0","Click to download Image")</f>
      </c>
      <c r="C1616" s="0" t="inlineStr">
        <is>
          <t>Lian Infant Bodysuit</t>
        </is>
      </c>
      <c r="D1616" s="0" t="inlineStr">
        <is>
          <t>'123786</t>
        </is>
      </c>
      <c r="E1616" s="0" t="inlineStr">
        <is>
          <t>NDSU LIAN I GN:123786C-6-9M</t>
        </is>
      </c>
      <c r="F1616" s="0" t="inlineStr">
        <is>
          <t>'813123786023</t>
        </is>
      </c>
      <c r="G1616" s="0" t="inlineStr">
        <is>
          <t>INFANT</t>
        </is>
      </c>
      <c r="H1616" s="0" t="inlineStr">
        <is>
          <t>6-9M</t>
        </is>
      </c>
      <c r="I1616" s="0">
        <v>24.99</v>
      </c>
      <c r="J1616" s="0">
        <v>6</v>
      </c>
    </row>
    <row r="1617" spans="1:10" customHeight="0">
      <c r="A1617" s="0">
        <f>HYPERLINK("https://dl.dropboxusercontent.com/scl/fi/1egtyhsyr5r5lyhqrryjs/123786-f.jpg?rlkey=2mfrpsvl9joia9zjvqkp17cum&amp;dl=0","Click to download Image")</f>
      </c>
      <c r="C1617" s="0" t="inlineStr">
        <is>
          <t>Lian Infant Bodysuit</t>
        </is>
      </c>
      <c r="D1617" s="0" t="inlineStr">
        <is>
          <t>'123786</t>
        </is>
      </c>
      <c r="E1617" s="0" t="inlineStr">
        <is>
          <t>NDSU LIAN I GN:123786F-12M</t>
        </is>
      </c>
      <c r="F1617" s="0" t="inlineStr">
        <is>
          <t>'813123786030</t>
        </is>
      </c>
      <c r="G1617" s="0" t="inlineStr">
        <is>
          <t>INFANT</t>
        </is>
      </c>
      <c r="H1617" s="0" t="inlineStr">
        <is>
          <t>12M</t>
        </is>
      </c>
      <c r="I1617" s="0">
        <v>24.99</v>
      </c>
      <c r="J1617" s="0">
        <v>6</v>
      </c>
    </row>
    <row r="1618" spans="1:10" customHeight="0">
      <c r="A1618" s="0">
        <f>HYPERLINK("https://dl.dropboxusercontent.com/scl/fi/1egtyhsyr5r5lyhqrryjs/123786-f.jpg?rlkey=2mfrpsvl9joia9zjvqkp17cum&amp;dl=0","Click to download Image")</f>
      </c>
      <c r="C1618" s="0" t="inlineStr">
        <is>
          <t>Lian Infant Bodysuit</t>
        </is>
      </c>
      <c r="D1618" s="0" t="inlineStr">
        <is>
          <t>'123786</t>
        </is>
      </c>
      <c r="E1618" s="0" t="inlineStr">
        <is>
          <t>NDSU LIAN I GN 12PK:123786Z-12PK</t>
        </is>
      </c>
      <c r="F1618" s="0" t="inlineStr">
        <is>
          <t>'813123786993</t>
        </is>
      </c>
      <c r="G1618" s="0" t="inlineStr">
        <is>
          <t>INFANT</t>
        </is>
      </c>
      <c r="H1618" s="0" t="inlineStr">
        <is>
          <t>12 PACK</t>
        </is>
      </c>
      <c r="I1618" s="0">
        <v>240</v>
      </c>
      <c r="J1618" s="0">
        <v>2</v>
      </c>
    </row>
    <row r="1619" spans="1:10" customHeight="0">
      <c r="A1619" s="0">
        <f>HYPERLINK("https://dl.dropboxusercontent.com/scl/fi/876t79zsw40v0yllb4a68/123809-f.jpg?rlkey=32v1luezoqx97qifveorfcixb&amp;dl=0","Click to download Image")</f>
      </c>
      <c r="C1619" s="0" t="inlineStr">
        <is>
          <t>Lian Infant Bodysuit</t>
        </is>
      </c>
      <c r="D1619" s="0" t="inlineStr">
        <is>
          <t>'123809</t>
        </is>
      </c>
      <c r="E1619" s="0" t="inlineStr">
        <is>
          <t>SDSU LIAN I RL:123809A-0-3M</t>
        </is>
      </c>
      <c r="F1619" s="0" t="inlineStr">
        <is>
          <t>'816123809006</t>
        </is>
      </c>
      <c r="G1619" s="0" t="inlineStr">
        <is>
          <t>INFANT</t>
        </is>
      </c>
      <c r="H1619" s="0" t="inlineStr">
        <is>
          <t>0-3M</t>
        </is>
      </c>
      <c r="I1619" s="0">
        <v>24.99</v>
      </c>
      <c r="J1619" s="0">
        <v>8</v>
      </c>
    </row>
    <row r="1620" spans="1:10" customHeight="0">
      <c r="A1620" s="0">
        <f>HYPERLINK("https://dl.dropboxusercontent.com/scl/fi/876t79zsw40v0yllb4a68/123809-f.jpg?rlkey=32v1luezoqx97qifveorfcixb&amp;dl=0","Click to download Image")</f>
      </c>
      <c r="C1620" s="0" t="inlineStr">
        <is>
          <t>Lian Infant Bodysuit</t>
        </is>
      </c>
      <c r="D1620" s="0" t="inlineStr">
        <is>
          <t>'123809</t>
        </is>
      </c>
      <c r="E1620" s="0" t="inlineStr">
        <is>
          <t>SDSU LIAN I RL:123809B-3-6M</t>
        </is>
      </c>
      <c r="F1620" s="0" t="inlineStr">
        <is>
          <t>'816123809013</t>
        </is>
      </c>
      <c r="G1620" s="0" t="inlineStr">
        <is>
          <t>INFANT</t>
        </is>
      </c>
      <c r="H1620" s="0" t="inlineStr">
        <is>
          <t>3-6M</t>
        </is>
      </c>
      <c r="I1620" s="0">
        <v>24.99</v>
      </c>
      <c r="J1620" s="0">
        <v>5</v>
      </c>
    </row>
    <row r="1621" spans="1:10" customHeight="0">
      <c r="A1621" s="0">
        <f>HYPERLINK("https://dl.dropboxusercontent.com/scl/fi/876t79zsw40v0yllb4a68/123809-f.jpg?rlkey=32v1luezoqx97qifveorfcixb&amp;dl=0","Click to download Image")</f>
      </c>
      <c r="C1621" s="0" t="inlineStr">
        <is>
          <t>Lian Infant Bodysuit</t>
        </is>
      </c>
      <c r="D1621" s="0" t="inlineStr">
        <is>
          <t>'123809</t>
        </is>
      </c>
      <c r="E1621" s="0" t="inlineStr">
        <is>
          <t>SDSU LIAN I RL:123809C-6-9M</t>
        </is>
      </c>
      <c r="F1621" s="0" t="inlineStr">
        <is>
          <t>'816123809020</t>
        </is>
      </c>
      <c r="G1621" s="0" t="inlineStr">
        <is>
          <t>INFANT</t>
        </is>
      </c>
      <c r="H1621" s="0" t="inlineStr">
        <is>
          <t>6-9M</t>
        </is>
      </c>
      <c r="I1621" s="0">
        <v>24.99</v>
      </c>
      <c r="J1621" s="0">
        <v>5</v>
      </c>
    </row>
    <row r="1622" spans="1:10" customHeight="0">
      <c r="A1622" s="0">
        <f>HYPERLINK("https://dl.dropboxusercontent.com/scl/fi/876t79zsw40v0yllb4a68/123809-f.jpg?rlkey=32v1luezoqx97qifveorfcixb&amp;dl=0","Click to download Image")</f>
      </c>
      <c r="C1622" s="0" t="inlineStr">
        <is>
          <t>Lian Infant Bodysuit</t>
        </is>
      </c>
      <c r="D1622" s="0" t="inlineStr">
        <is>
          <t>'123809</t>
        </is>
      </c>
      <c r="E1622" s="0" t="inlineStr">
        <is>
          <t>SDSU LIAN I RL:123809F-12M</t>
        </is>
      </c>
      <c r="F1622" s="0" t="inlineStr">
        <is>
          <t>'816123809037</t>
        </is>
      </c>
      <c r="G1622" s="0" t="inlineStr">
        <is>
          <t>INFANT</t>
        </is>
      </c>
      <c r="H1622" s="0" t="inlineStr">
        <is>
          <t>12M</t>
        </is>
      </c>
      <c r="I1622" s="0">
        <v>24.99</v>
      </c>
      <c r="J1622" s="0">
        <v>5</v>
      </c>
    </row>
    <row r="1623" spans="1:10" customHeight="0">
      <c r="A1623" s="0">
        <f>HYPERLINK("https://dl.dropboxusercontent.com/scl/fi/876t79zsw40v0yllb4a68/123809-f.jpg?rlkey=32v1luezoqx97qifveorfcixb&amp;dl=0","Click to download Image")</f>
      </c>
      <c r="C1623" s="0" t="inlineStr">
        <is>
          <t>Lian Infant Bodysuit</t>
        </is>
      </c>
      <c r="D1623" s="0" t="inlineStr">
        <is>
          <t>'123809</t>
        </is>
      </c>
      <c r="E1623" s="0" t="inlineStr">
        <is>
          <t>SDSU LIAN I RL 12PK:123809Z-12PK</t>
        </is>
      </c>
      <c r="F1623" s="0" t="inlineStr">
        <is>
          <t>'816123809990</t>
        </is>
      </c>
      <c r="G1623" s="0" t="inlineStr">
        <is>
          <t>INFANT</t>
        </is>
      </c>
      <c r="H1623" s="0" t="inlineStr">
        <is>
          <t>12 PACK</t>
        </is>
      </c>
      <c r="I1623" s="0">
        <v>240</v>
      </c>
      <c r="J1623" s="0">
        <v>1</v>
      </c>
    </row>
    <row r="1624" spans="1:10" customHeight="0">
      <c r="A1624" s="0">
        <f>HYPERLINK("https://dl.dropboxusercontent.com/scl/fi/lbxisz7h7j956jeb8b8t2/123808-f.jpg?rlkey=bzu66mv77i96nxrhtsemkadgb&amp;dl=0","Click to download Image")</f>
      </c>
      <c r="C1624" s="0" t="inlineStr">
        <is>
          <t>Lian Infant Bodysuit</t>
        </is>
      </c>
      <c r="D1624" s="0" t="inlineStr">
        <is>
          <t>'123808</t>
        </is>
      </c>
      <c r="E1624" s="0" t="inlineStr">
        <is>
          <t>USD LIAN I RD:123808A-0-3M</t>
        </is>
      </c>
      <c r="F1624" s="0" t="inlineStr">
        <is>
          <t>'811123808004</t>
        </is>
      </c>
      <c r="G1624" s="0" t="inlineStr">
        <is>
          <t>INFANT</t>
        </is>
      </c>
      <c r="H1624" s="0" t="inlineStr">
        <is>
          <t>0-3M</t>
        </is>
      </c>
      <c r="I1624" s="0">
        <v>24.99</v>
      </c>
      <c r="J1624" s="0">
        <v>7</v>
      </c>
    </row>
    <row r="1625" spans="1:10" customHeight="0">
      <c r="A1625" s="0">
        <f>HYPERLINK("https://dl.dropboxusercontent.com/scl/fi/lbxisz7h7j956jeb8b8t2/123808-f.jpg?rlkey=bzu66mv77i96nxrhtsemkadgb&amp;dl=0","Click to download Image")</f>
      </c>
      <c r="C1625" s="0" t="inlineStr">
        <is>
          <t>Lian Infant Bodysuit</t>
        </is>
      </c>
      <c r="D1625" s="0" t="inlineStr">
        <is>
          <t>'123808</t>
        </is>
      </c>
      <c r="E1625" s="0" t="inlineStr">
        <is>
          <t>USD LIAN I RD:123808B-3-6M</t>
        </is>
      </c>
      <c r="F1625" s="0" t="inlineStr">
        <is>
          <t>'811123808011</t>
        </is>
      </c>
      <c r="G1625" s="0" t="inlineStr">
        <is>
          <t>INFANT</t>
        </is>
      </c>
      <c r="H1625" s="0" t="inlineStr">
        <is>
          <t>3-6M</t>
        </is>
      </c>
      <c r="I1625" s="0">
        <v>24.99</v>
      </c>
      <c r="J1625" s="0">
        <v>7</v>
      </c>
    </row>
    <row r="1626" spans="1:10" customHeight="0">
      <c r="A1626" s="0">
        <f>HYPERLINK("https://dl.dropboxusercontent.com/scl/fi/lbxisz7h7j956jeb8b8t2/123808-f.jpg?rlkey=bzu66mv77i96nxrhtsemkadgb&amp;dl=0","Click to download Image")</f>
      </c>
      <c r="C1626" s="0" t="inlineStr">
        <is>
          <t>Lian Infant Bodysuit</t>
        </is>
      </c>
      <c r="D1626" s="0" t="inlineStr">
        <is>
          <t>'123808</t>
        </is>
      </c>
      <c r="E1626" s="0" t="inlineStr">
        <is>
          <t>USD LIAN I RD:123808C-6-9M</t>
        </is>
      </c>
      <c r="F1626" s="0" t="inlineStr">
        <is>
          <t>'811123808028</t>
        </is>
      </c>
      <c r="G1626" s="0" t="inlineStr">
        <is>
          <t>INFANT</t>
        </is>
      </c>
      <c r="H1626" s="0" t="inlineStr">
        <is>
          <t>6-9M</t>
        </is>
      </c>
      <c r="I1626" s="0">
        <v>24.99</v>
      </c>
      <c r="J1626" s="0">
        <v>4</v>
      </c>
    </row>
    <row r="1627" spans="1:10" customHeight="0">
      <c r="A1627" s="0">
        <f>HYPERLINK("https://dl.dropboxusercontent.com/scl/fi/lbxisz7h7j956jeb8b8t2/123808-f.jpg?rlkey=bzu66mv77i96nxrhtsemkadgb&amp;dl=0","Click to download Image")</f>
      </c>
      <c r="C1627" s="0" t="inlineStr">
        <is>
          <t>Lian Infant Bodysuit</t>
        </is>
      </c>
      <c r="D1627" s="0" t="inlineStr">
        <is>
          <t>'123808</t>
        </is>
      </c>
      <c r="E1627" s="0" t="inlineStr">
        <is>
          <t>USD LIAN I RD:123808F-12M</t>
        </is>
      </c>
      <c r="F1627" s="0" t="inlineStr">
        <is>
          <t>'811123808035</t>
        </is>
      </c>
      <c r="G1627" s="0" t="inlineStr">
        <is>
          <t>INFANT</t>
        </is>
      </c>
      <c r="H1627" s="0" t="inlineStr">
        <is>
          <t>12M</t>
        </is>
      </c>
      <c r="I1627" s="0">
        <v>24.99</v>
      </c>
      <c r="J1627" s="0">
        <v>5</v>
      </c>
    </row>
    <row r="1628" spans="1:10" customHeight="0">
      <c r="A1628" s="0">
        <f>HYPERLINK("https://dl.dropboxusercontent.com/scl/fi/lbxisz7h7j956jeb8b8t2/123808-f.jpg?rlkey=bzu66mv77i96nxrhtsemkadgb&amp;dl=0","Click to download Image")</f>
      </c>
      <c r="C1628" s="0" t="inlineStr">
        <is>
          <t>Lian Infant Bodysuit</t>
        </is>
      </c>
      <c r="D1628" s="0" t="inlineStr">
        <is>
          <t>'123808</t>
        </is>
      </c>
      <c r="E1628" s="0" t="inlineStr">
        <is>
          <t>USD LIAN I RD 12PK:123808Z-12PK</t>
        </is>
      </c>
      <c r="F1628" s="0" t="inlineStr">
        <is>
          <t>'811123808998</t>
        </is>
      </c>
      <c r="G1628" s="0" t="inlineStr">
        <is>
          <t>INFANT</t>
        </is>
      </c>
      <c r="H1628" s="0" t="inlineStr">
        <is>
          <t>12 PACK</t>
        </is>
      </c>
      <c r="I1628" s="0">
        <v>240</v>
      </c>
      <c r="J1628" s="0">
        <v>1</v>
      </c>
    </row>
    <row r="1629" spans="1:10" customHeight="0">
      <c r="A1629" s="0">
        <f>HYPERLINK("https://dl.dropboxusercontent.com/scl/fi/plw11lve3o0vkfe3a6vgn/drakelianpresentation-0222043.jpg?rlkey=g5skapm0nyyvgme04if72mq0i&amp;dl=0","Click to download Image")</f>
      </c>
      <c r="C1629" s="0" t="inlineStr">
        <is>
          <t>Lian Infant Bodysuit</t>
        </is>
      </c>
      <c r="D1629" s="0" t="inlineStr">
        <is>
          <t>'127943</t>
        </is>
      </c>
      <c r="E1629" s="0" t="inlineStr">
        <is>
          <t>DRK LIAN I RL:127943A-0-3M</t>
        </is>
      </c>
      <c r="F1629" s="0" t="inlineStr">
        <is>
          <t>'817127943000</t>
        </is>
      </c>
      <c r="G1629" s="0" t="inlineStr">
        <is>
          <t>INFANT</t>
        </is>
      </c>
      <c r="H1629" s="0" t="inlineStr">
        <is>
          <t>0-3M</t>
        </is>
      </c>
      <c r="I1629" s="0">
        <v>24.99</v>
      </c>
      <c r="J1629" s="0">
        <v>2</v>
      </c>
    </row>
    <row r="1630" spans="1:10" customHeight="0">
      <c r="A1630" s="0">
        <f>HYPERLINK("https://dl.dropboxusercontent.com/scl/fi/plw11lve3o0vkfe3a6vgn/drakelianpresentation-0222043.jpg?rlkey=g5skapm0nyyvgme04if72mq0i&amp;dl=0","Click to download Image")</f>
      </c>
      <c r="C1630" s="0" t="inlineStr">
        <is>
          <t>Lian Infant Bodysuit</t>
        </is>
      </c>
      <c r="D1630" s="0" t="inlineStr">
        <is>
          <t>'127943</t>
        </is>
      </c>
      <c r="E1630" s="0" t="inlineStr">
        <is>
          <t>DRK LIAN I RL:127943B-3-6M</t>
        </is>
      </c>
      <c r="F1630" s="0" t="inlineStr">
        <is>
          <t>'817127943017</t>
        </is>
      </c>
      <c r="G1630" s="0" t="inlineStr">
        <is>
          <t>INFANT</t>
        </is>
      </c>
      <c r="H1630" s="0" t="inlineStr">
        <is>
          <t>3-6M</t>
        </is>
      </c>
      <c r="I1630" s="0">
        <v>24.99</v>
      </c>
      <c r="J1630" s="0">
        <v>9</v>
      </c>
    </row>
    <row r="1631" spans="1:10" customHeight="0">
      <c r="A1631" s="0">
        <f>HYPERLINK("https://dl.dropboxusercontent.com/scl/fi/plw11lve3o0vkfe3a6vgn/drakelianpresentation-0222043.jpg?rlkey=g5skapm0nyyvgme04if72mq0i&amp;dl=0","Click to download Image")</f>
      </c>
      <c r="C1631" s="0" t="inlineStr">
        <is>
          <t>Lian Infant Bodysuit</t>
        </is>
      </c>
      <c r="D1631" s="0" t="inlineStr">
        <is>
          <t>'127943</t>
        </is>
      </c>
      <c r="E1631" s="0" t="inlineStr">
        <is>
          <t>DRK LIAN I RL:127943C-6-9M</t>
        </is>
      </c>
      <c r="F1631" s="0" t="inlineStr">
        <is>
          <t>'817127943024</t>
        </is>
      </c>
      <c r="G1631" s="0" t="inlineStr">
        <is>
          <t>INFANT</t>
        </is>
      </c>
      <c r="H1631" s="0" t="inlineStr">
        <is>
          <t>6-9M</t>
        </is>
      </c>
      <c r="I1631" s="0">
        <v>24.99</v>
      </c>
      <c r="J1631" s="0">
        <v>8</v>
      </c>
    </row>
    <row r="1632" spans="1:10" customHeight="0">
      <c r="A1632" s="0">
        <f>HYPERLINK("https://dl.dropboxusercontent.com/scl/fi/plw11lve3o0vkfe3a6vgn/drakelianpresentation-0222043.jpg?rlkey=g5skapm0nyyvgme04if72mq0i&amp;dl=0","Click to download Image")</f>
      </c>
      <c r="C1632" s="0" t="inlineStr">
        <is>
          <t>Lian Infant Bodysuit</t>
        </is>
      </c>
      <c r="D1632" s="0" t="inlineStr">
        <is>
          <t>'127943</t>
        </is>
      </c>
      <c r="E1632" s="0" t="inlineStr">
        <is>
          <t>DRK LIAN I RL:127943F-12M</t>
        </is>
      </c>
      <c r="F1632" s="0" t="inlineStr">
        <is>
          <t>'817127943031</t>
        </is>
      </c>
      <c r="G1632" s="0" t="inlineStr">
        <is>
          <t>INFANT</t>
        </is>
      </c>
      <c r="H1632" s="0" t="inlineStr">
        <is>
          <t>12M</t>
        </is>
      </c>
      <c r="I1632" s="0">
        <v>24.99</v>
      </c>
      <c r="J1632" s="0">
        <v>3</v>
      </c>
    </row>
    <row r="1633" spans="1:10" customHeight="0">
      <c r="A1633" s="0">
        <f>HYPERLINK("https://dl.dropboxusercontent.com/scl/fi/plw11lve3o0vkfe3a6vgn/drakelianpresentation-0222043.jpg?rlkey=g5skapm0nyyvgme04if72mq0i&amp;dl=0","Click to download Image")</f>
      </c>
      <c r="C1633" s="0" t="inlineStr">
        <is>
          <t>Lian Infant Bodysuit</t>
        </is>
      </c>
      <c r="D1633" s="0" t="inlineStr">
        <is>
          <t>'127943</t>
        </is>
      </c>
      <c r="E1633" s="0" t="inlineStr">
        <is>
          <t>DRK LIAN I RL:127943Z-12PK</t>
        </is>
      </c>
      <c r="F1633" s="0" t="inlineStr">
        <is>
          <t>'000012794312</t>
        </is>
      </c>
      <c r="G1633" s="0" t="inlineStr">
        <is>
          <t>INFANT</t>
        </is>
      </c>
      <c r="H1633" s="0" t="inlineStr">
        <is>
          <t>12 PACK</t>
        </is>
      </c>
      <c r="I1633" s="0">
        <v>240</v>
      </c>
      <c r="J1633" s="0">
        <v>0</v>
      </c>
    </row>
    <row r="1634" spans="1:10" customHeight="0">
      <c r="A1634" s="0">
        <f>HYPERLINK("https://dl.dropboxusercontent.com/scl/fi/49ipq8er8cypp42a9j7na/108240-af.png?rlkey=rargrhc9ln9r2wbmfa4y055jb&amp;dl=0","Click to download Image")</f>
      </c>
      <c r="C1634" s="0" t="inlineStr">
        <is>
          <t>Django Men's Midweight Hoodie</t>
        </is>
      </c>
      <c r="D1634" s="0" t="inlineStr">
        <is>
          <t>'108240</t>
        </is>
      </c>
      <c r="E1634" s="0" t="inlineStr">
        <is>
          <t>IA DJANGO BLACK:108240A-S</t>
        </is>
      </c>
      <c r="F1634" s="0" t="inlineStr">
        <is>
          <t>'800108240014</t>
        </is>
      </c>
      <c r="G1634" s="0" t="inlineStr">
        <is>
          <t>MENS</t>
        </is>
      </c>
      <c r="H1634" s="0" t="inlineStr">
        <is>
          <t>S</t>
        </is>
      </c>
      <c r="I1634" s="0">
        <v>29.99</v>
      </c>
      <c r="J1634" s="0">
        <v>0</v>
      </c>
    </row>
    <row r="1635" spans="1:10" customHeight="0">
      <c r="A1635" s="0">
        <f>HYPERLINK("https://dl.dropboxusercontent.com/scl/fi/49ipq8er8cypp42a9j7na/108240-af.png?rlkey=rargrhc9ln9r2wbmfa4y055jb&amp;dl=0","Click to download Image")</f>
      </c>
      <c r="C1635" s="0" t="inlineStr">
        <is>
          <t>Django Men's Midweight Hoodie</t>
        </is>
      </c>
      <c r="D1635" s="0" t="inlineStr">
        <is>
          <t>'108240</t>
        </is>
      </c>
      <c r="E1635" s="0" t="inlineStr">
        <is>
          <t>IA DJANGO BLACK:108240B-M</t>
        </is>
      </c>
      <c r="F1635" s="0" t="inlineStr">
        <is>
          <t>'800108240021</t>
        </is>
      </c>
      <c r="G1635" s="0" t="inlineStr">
        <is>
          <t>MENS</t>
        </is>
      </c>
      <c r="H1635" s="0" t="inlineStr">
        <is>
          <t>M</t>
        </is>
      </c>
      <c r="I1635" s="0">
        <v>29.99</v>
      </c>
      <c r="J1635" s="0">
        <v>2</v>
      </c>
    </row>
    <row r="1636" spans="1:10" customHeight="0">
      <c r="A1636" s="0">
        <f>HYPERLINK("https://dl.dropboxusercontent.com/scl/fi/49ipq8er8cypp42a9j7na/108240-af.png?rlkey=rargrhc9ln9r2wbmfa4y055jb&amp;dl=0","Click to download Image")</f>
      </c>
      <c r="C1636" s="0" t="inlineStr">
        <is>
          <t>Django Men's Midweight Hoodie</t>
        </is>
      </c>
      <c r="D1636" s="0" t="inlineStr">
        <is>
          <t>'108240</t>
        </is>
      </c>
      <c r="E1636" s="0" t="inlineStr">
        <is>
          <t>IA DJANGO BLACK:108240C-L</t>
        </is>
      </c>
      <c r="F1636" s="0" t="inlineStr">
        <is>
          <t>'800108240038</t>
        </is>
      </c>
      <c r="G1636" s="0" t="inlineStr">
        <is>
          <t>MENS</t>
        </is>
      </c>
      <c r="H1636" s="0" t="inlineStr">
        <is>
          <t>L</t>
        </is>
      </c>
      <c r="I1636" s="0">
        <v>29.99</v>
      </c>
      <c r="J1636" s="0">
        <v>0</v>
      </c>
    </row>
    <row r="1637" spans="1:10" customHeight="0">
      <c r="A1637" s="0">
        <f>HYPERLINK("https://dl.dropboxusercontent.com/scl/fi/49ipq8er8cypp42a9j7na/108240-af.png?rlkey=rargrhc9ln9r2wbmfa4y055jb&amp;dl=0","Click to download Image")</f>
      </c>
      <c r="C1637" s="0" t="inlineStr">
        <is>
          <t>Django Men's Midweight Hoodie</t>
        </is>
      </c>
      <c r="D1637" s="0" t="inlineStr">
        <is>
          <t>'108240</t>
        </is>
      </c>
      <c r="E1637" s="0" t="inlineStr">
        <is>
          <t>IA DJANGO BLACK:108240D-XL</t>
        </is>
      </c>
      <c r="F1637" s="0" t="inlineStr">
        <is>
          <t>'800108240045</t>
        </is>
      </c>
      <c r="G1637" s="0" t="inlineStr">
        <is>
          <t>MENS</t>
        </is>
      </c>
      <c r="H1637" s="0" t="inlineStr">
        <is>
          <t>XL</t>
        </is>
      </c>
      <c r="I1637" s="0">
        <v>29.99</v>
      </c>
      <c r="J1637" s="0">
        <v>0</v>
      </c>
    </row>
    <row r="1638" spans="1:10" customHeight="0">
      <c r="A1638" s="0">
        <f>HYPERLINK("https://dl.dropboxusercontent.com/scl/fi/49ipq8er8cypp42a9j7na/108240-af.png?rlkey=rargrhc9ln9r2wbmfa4y055jb&amp;dl=0","Click to download Image")</f>
      </c>
      <c r="C1638" s="0" t="inlineStr">
        <is>
          <t>Django Men's Midweight Hoodie</t>
        </is>
      </c>
      <c r="D1638" s="0" t="inlineStr">
        <is>
          <t>'108240</t>
        </is>
      </c>
      <c r="E1638" s="0" t="inlineStr">
        <is>
          <t>IA DJANGO BLACK:108240E-2XL</t>
        </is>
      </c>
      <c r="F1638" s="0" t="inlineStr">
        <is>
          <t>'800108240052</t>
        </is>
      </c>
      <c r="G1638" s="0" t="inlineStr">
        <is>
          <t>MENS</t>
        </is>
      </c>
      <c r="H1638" s="0" t="inlineStr">
        <is>
          <t>2XL</t>
        </is>
      </c>
      <c r="I1638" s="0">
        <v>31.99</v>
      </c>
      <c r="J1638" s="0">
        <v>0</v>
      </c>
    </row>
    <row r="1639" spans="1:10" customHeight="0">
      <c r="A1639" s="0">
        <f>HYPERLINK("https://dl.dropboxusercontent.com/scl/fi/49ipq8er8cypp42a9j7na/108240-af.png?rlkey=rargrhc9ln9r2wbmfa4y055jb&amp;dl=0","Click to download Image")</f>
      </c>
      <c r="C1639" s="0" t="inlineStr">
        <is>
          <t>Django Men's Midweight Hoodie</t>
        </is>
      </c>
      <c r="D1639" s="0" t="inlineStr">
        <is>
          <t>'108240</t>
        </is>
      </c>
      <c r="E1639" s="0" t="inlineStr">
        <is>
          <t>IA DJANGO BLACK:108240F-3XL</t>
        </is>
      </c>
      <c r="F1639" s="0" t="inlineStr">
        <is>
          <t>'800108240069</t>
        </is>
      </c>
      <c r="G1639" s="0" t="inlineStr">
        <is>
          <t>MENS</t>
        </is>
      </c>
      <c r="H1639" s="0" t="inlineStr">
        <is>
          <t>3XL</t>
        </is>
      </c>
      <c r="I1639" s="0">
        <v>31.99</v>
      </c>
      <c r="J1639" s="0">
        <v>0</v>
      </c>
    </row>
    <row r="1640" spans="1:10" customHeight="0">
      <c r="A1640" s="0">
        <f>HYPERLINK("https://dl.dropboxusercontent.com/scl/fi/qbd1rrd44mck2g9klbc85/long-sleeve-03.jpg?rlkey=xa0k86qu33sskee681386rsk0&amp;dl=0","Click to download Image")</f>
      </c>
      <c r="B1640" s="0">
        <f>HYPERLINK("https://dl.dropboxusercontent.com/scl/fi/8xybrskr4i3n0x4k4fhih/mens-t-shirt-size-chartscason-slate-ls.jpg?rlkey=riw2im1i72lgtlz4mugt9lmvw&amp;dl=0","Click to download SizeChart")</f>
      </c>
      <c r="C1640" s="0" t="inlineStr">
        <is>
          <t>Long Sleeve Men's T-Shirt</t>
        </is>
      </c>
      <c r="D1640" s="0" t="inlineStr">
        <is>
          <t>'155283</t>
        </is>
      </c>
      <c r="E1640" s="0" t="inlineStr">
        <is>
          <t>ISU CASLS M GY:155283A-S</t>
        </is>
      </c>
      <c r="F1640" s="0" t="inlineStr">
        <is>
          <t>'801155283047</t>
        </is>
      </c>
      <c r="G1640" s="0" t="inlineStr">
        <is>
          <t>MENS</t>
        </is>
      </c>
      <c r="H1640" s="0" t="inlineStr">
        <is>
          <t>S</t>
        </is>
      </c>
      <c r="I1640" s="0">
        <v>32.99</v>
      </c>
      <c r="J1640" s="0">
        <v>4</v>
      </c>
    </row>
    <row r="1641" spans="1:10" customHeight="0">
      <c r="A1641" s="0">
        <f>HYPERLINK("https://dl.dropboxusercontent.com/scl/fi/qbd1rrd44mck2g9klbc85/long-sleeve-03.jpg?rlkey=xa0k86qu33sskee681386rsk0&amp;dl=0","Click to download Image")</f>
      </c>
      <c r="B1641" s="0">
        <f>HYPERLINK("https://dl.dropboxusercontent.com/scl/fi/8xybrskr4i3n0x4k4fhih/mens-t-shirt-size-chartscason-slate-ls.jpg?rlkey=riw2im1i72lgtlz4mugt9lmvw&amp;dl=0","Click to download SizeChart")</f>
      </c>
      <c r="C1641" s="0" t="inlineStr">
        <is>
          <t>Long Sleeve Men's T-Shirt</t>
        </is>
      </c>
      <c r="D1641" s="0" t="inlineStr">
        <is>
          <t>'155283</t>
        </is>
      </c>
      <c r="E1641" s="0" t="inlineStr">
        <is>
          <t>ISU CASLS M GY:155283B-M</t>
        </is>
      </c>
      <c r="F1641" s="0" t="inlineStr">
        <is>
          <t>'801155283054</t>
        </is>
      </c>
      <c r="G1641" s="0" t="inlineStr">
        <is>
          <t>MENS</t>
        </is>
      </c>
      <c r="H1641" s="0" t="inlineStr">
        <is>
          <t>M</t>
        </is>
      </c>
      <c r="I1641" s="0">
        <v>32.99</v>
      </c>
      <c r="J1641" s="0">
        <v>-12</v>
      </c>
    </row>
    <row r="1642" spans="1:10" customHeight="0">
      <c r="A1642" s="0">
        <f>HYPERLINK("https://dl.dropboxusercontent.com/scl/fi/qbd1rrd44mck2g9klbc85/long-sleeve-03.jpg?rlkey=xa0k86qu33sskee681386rsk0&amp;dl=0","Click to download Image")</f>
      </c>
      <c r="B1642" s="0">
        <f>HYPERLINK("https://dl.dropboxusercontent.com/scl/fi/8xybrskr4i3n0x4k4fhih/mens-t-shirt-size-chartscason-slate-ls.jpg?rlkey=riw2im1i72lgtlz4mugt9lmvw&amp;dl=0","Click to download SizeChart")</f>
      </c>
      <c r="C1642" s="0" t="inlineStr">
        <is>
          <t>Long Sleeve Men's T-Shirt</t>
        </is>
      </c>
      <c r="D1642" s="0" t="inlineStr">
        <is>
          <t>'155283</t>
        </is>
      </c>
      <c r="E1642" s="0" t="inlineStr">
        <is>
          <t>ISU CASLS M GY:155283C-L</t>
        </is>
      </c>
      <c r="F1642" s="0" t="inlineStr">
        <is>
          <t>'801155283061</t>
        </is>
      </c>
      <c r="G1642" s="0" t="inlineStr">
        <is>
          <t>MENS</t>
        </is>
      </c>
      <c r="H1642" s="0" t="inlineStr">
        <is>
          <t>L</t>
        </is>
      </c>
      <c r="I1642" s="0">
        <v>32.99</v>
      </c>
      <c r="J1642" s="0">
        <v>-18</v>
      </c>
    </row>
    <row r="1643" spans="1:10" customHeight="0">
      <c r="A1643" s="0">
        <f>HYPERLINK("https://dl.dropboxusercontent.com/scl/fi/qbd1rrd44mck2g9klbc85/long-sleeve-03.jpg?rlkey=xa0k86qu33sskee681386rsk0&amp;dl=0","Click to download Image")</f>
      </c>
      <c r="B1643" s="0">
        <f>HYPERLINK("https://dl.dropboxusercontent.com/scl/fi/8xybrskr4i3n0x4k4fhih/mens-t-shirt-size-chartscason-slate-ls.jpg?rlkey=riw2im1i72lgtlz4mugt9lmvw&amp;dl=0","Click to download SizeChart")</f>
      </c>
      <c r="C1643" s="0" t="inlineStr">
        <is>
          <t>Long Sleeve Men's T-Shirt</t>
        </is>
      </c>
      <c r="D1643" s="0" t="inlineStr">
        <is>
          <t>'155283</t>
        </is>
      </c>
      <c r="E1643" s="0" t="inlineStr">
        <is>
          <t>ISU CASLS M GY:155283D-XL</t>
        </is>
      </c>
      <c r="F1643" s="0" t="inlineStr">
        <is>
          <t>'801155283078</t>
        </is>
      </c>
      <c r="G1643" s="0" t="inlineStr">
        <is>
          <t>MENS</t>
        </is>
      </c>
      <c r="H1643" s="0" t="inlineStr">
        <is>
          <t>XL</t>
        </is>
      </c>
      <c r="I1643" s="0">
        <v>32.99</v>
      </c>
      <c r="J1643" s="0">
        <v>-9</v>
      </c>
    </row>
    <row r="1644" spans="1:10" customHeight="0">
      <c r="A1644" s="0">
        <f>HYPERLINK("https://dl.dropboxusercontent.com/scl/fi/qbd1rrd44mck2g9klbc85/long-sleeve-03.jpg?rlkey=xa0k86qu33sskee681386rsk0&amp;dl=0","Click to download Image")</f>
      </c>
      <c r="B1644" s="0">
        <f>HYPERLINK("https://dl.dropboxusercontent.com/scl/fi/8xybrskr4i3n0x4k4fhih/mens-t-shirt-size-chartscason-slate-ls.jpg?rlkey=riw2im1i72lgtlz4mugt9lmvw&amp;dl=0","Click to download SizeChart")</f>
      </c>
      <c r="C1644" s="0" t="inlineStr">
        <is>
          <t>Long Sleeve Men's T-Shirt</t>
        </is>
      </c>
      <c r="D1644" s="0" t="inlineStr">
        <is>
          <t>'155283</t>
        </is>
      </c>
      <c r="E1644" s="0" t="inlineStr">
        <is>
          <t>ISU CASLS M GY:155283E-2XL</t>
        </is>
      </c>
      <c r="F1644" s="0" t="inlineStr">
        <is>
          <t>'801155283085</t>
        </is>
      </c>
      <c r="G1644" s="0" t="inlineStr">
        <is>
          <t>MENS</t>
        </is>
      </c>
      <c r="H1644" s="0" t="inlineStr">
        <is>
          <t>2XL</t>
        </is>
      </c>
      <c r="I1644" s="0">
        <v>34.99</v>
      </c>
      <c r="J1644" s="0">
        <v>10</v>
      </c>
    </row>
    <row r="1645" spans="1:10" customHeight="0">
      <c r="A1645" s="0">
        <f>HYPERLINK("https://dl.dropboxusercontent.com/scl/fi/qbd1rrd44mck2g9klbc85/long-sleeve-03.jpg?rlkey=xa0k86qu33sskee681386rsk0&amp;dl=0","Click to download Image")</f>
      </c>
      <c r="B1645" s="0">
        <f>HYPERLINK("https://dl.dropboxusercontent.com/scl/fi/8xybrskr4i3n0x4k4fhih/mens-t-shirt-size-chartscason-slate-ls.jpg?rlkey=riw2im1i72lgtlz4mugt9lmvw&amp;dl=0","Click to download SizeChart")</f>
      </c>
      <c r="C1645" s="0" t="inlineStr">
        <is>
          <t>Long Sleeve Men's T-Shirt</t>
        </is>
      </c>
      <c r="D1645" s="0" t="inlineStr">
        <is>
          <t>'155283</t>
        </is>
      </c>
      <c r="E1645" s="0" t="inlineStr">
        <is>
          <t>ISU CASLS M GY:155283F-3XL</t>
        </is>
      </c>
      <c r="F1645" s="0" t="inlineStr">
        <is>
          <t>'801155283092</t>
        </is>
      </c>
      <c r="G1645" s="0" t="inlineStr">
        <is>
          <t>MENS</t>
        </is>
      </c>
      <c r="H1645" s="0" t="inlineStr">
        <is>
          <t>3XL</t>
        </is>
      </c>
      <c r="I1645" s="0">
        <v>34.99</v>
      </c>
      <c r="J1645" s="0">
        <v>12</v>
      </c>
    </row>
    <row r="1646" spans="1:10" customHeight="0">
      <c r="A1646" s="0">
        <f>HYPERLINK("https://dl.dropboxusercontent.com/scl/fi/g3afr95hntsh28nvx2ovg/109385f1.jpg?rlkey=jc8727ux41t392dsx2fh0z3z2&amp;dl=0","Click to download Image")</f>
      </c>
      <c r="B1646" s="0">
        <f>HYPERLINK("https://dl.dropboxusercontent.com/scl/fi/2cneo4uvzjaeavtvrmh19/graphic-update22022-infant.jpg?rlkey=ulqtx19pk8l0vho4ilwgrkybe&amp;dl=0","Click to download SizeChart")</f>
      </c>
      <c r="C1646" s="0" t="inlineStr">
        <is>
          <t>Lenox Infant Denim Overalls</t>
        </is>
      </c>
      <c r="D1646" s="0" t="inlineStr">
        <is>
          <t>'109385</t>
        </is>
      </c>
      <c r="E1646" s="0" t="inlineStr">
        <is>
          <t>LENOX UNICORN INFANT:109385A - 0-3M</t>
        </is>
      </c>
      <c r="F1646" s="0" t="inlineStr">
        <is>
          <t>'800109385011</t>
        </is>
      </c>
      <c r="G1646" s="0" t="inlineStr">
        <is>
          <t>INFANT</t>
        </is>
      </c>
      <c r="H1646" s="0" t="inlineStr">
        <is>
          <t>0-3M</t>
        </is>
      </c>
      <c r="I1646" s="0">
        <v>23.99</v>
      </c>
      <c r="J1646" s="0">
        <v>38</v>
      </c>
    </row>
    <row r="1647" spans="1:10" customHeight="0">
      <c r="A1647" s="0">
        <f>HYPERLINK("https://dl.dropboxusercontent.com/scl/fi/g3afr95hntsh28nvx2ovg/109385f1.jpg?rlkey=jc8727ux41t392dsx2fh0z3z2&amp;dl=0","Click to download Image")</f>
      </c>
      <c r="B1647" s="0">
        <f>HYPERLINK("https://dl.dropboxusercontent.com/scl/fi/2cneo4uvzjaeavtvrmh19/graphic-update22022-infant.jpg?rlkey=ulqtx19pk8l0vho4ilwgrkybe&amp;dl=0","Click to download SizeChart")</f>
      </c>
      <c r="C1647" s="0" t="inlineStr">
        <is>
          <t>Lenox Infant Denim Overalls</t>
        </is>
      </c>
      <c r="D1647" s="0" t="inlineStr">
        <is>
          <t>'109385</t>
        </is>
      </c>
      <c r="E1647" s="0" t="inlineStr">
        <is>
          <t>LENOX UNICORN INFANT:109385B - 3-6M</t>
        </is>
      </c>
      <c r="F1647" s="0" t="inlineStr">
        <is>
          <t>'800109385028</t>
        </is>
      </c>
      <c r="G1647" s="0" t="inlineStr">
        <is>
          <t>INFANT</t>
        </is>
      </c>
      <c r="H1647" s="0" t="inlineStr">
        <is>
          <t>3-6M</t>
        </is>
      </c>
      <c r="I1647" s="0">
        <v>23.99</v>
      </c>
      <c r="J1647" s="0">
        <v>41</v>
      </c>
    </row>
    <row r="1648" spans="1:10" customHeight="0">
      <c r="A1648" s="0">
        <f>HYPERLINK("https://dl.dropboxusercontent.com/scl/fi/g3afr95hntsh28nvx2ovg/109385f1.jpg?rlkey=jc8727ux41t392dsx2fh0z3z2&amp;dl=0","Click to download Image")</f>
      </c>
      <c r="B1648" s="0">
        <f>HYPERLINK("https://dl.dropboxusercontent.com/scl/fi/2cneo4uvzjaeavtvrmh19/graphic-update22022-infant.jpg?rlkey=ulqtx19pk8l0vho4ilwgrkybe&amp;dl=0","Click to download SizeChart")</f>
      </c>
      <c r="C1648" s="0" t="inlineStr">
        <is>
          <t>Lenox Infant Denim Overalls</t>
        </is>
      </c>
      <c r="D1648" s="0" t="inlineStr">
        <is>
          <t>'109385</t>
        </is>
      </c>
      <c r="E1648" s="0" t="inlineStr">
        <is>
          <t>LENOX UNICORN INFANT:109385C - 6-9M</t>
        </is>
      </c>
      <c r="F1648" s="0" t="inlineStr">
        <is>
          <t>'800109385035</t>
        </is>
      </c>
      <c r="G1648" s="0" t="inlineStr">
        <is>
          <t>INFANT</t>
        </is>
      </c>
      <c r="H1648" s="0" t="inlineStr">
        <is>
          <t>9-12M</t>
        </is>
      </c>
      <c r="I1648" s="0">
        <v>23.99</v>
      </c>
      <c r="J1648" s="0">
        <v>38</v>
      </c>
    </row>
    <row r="1649" spans="1:10" customHeight="0">
      <c r="A1649" s="0">
        <f>HYPERLINK("https://dl.dropboxusercontent.com/scl/fi/g3afr95hntsh28nvx2ovg/109385f1.jpg?rlkey=jc8727ux41t392dsx2fh0z3z2&amp;dl=0","Click to download Image")</f>
      </c>
      <c r="B1649" s="0">
        <f>HYPERLINK("https://dl.dropboxusercontent.com/scl/fi/2cneo4uvzjaeavtvrmh19/graphic-update22022-infant.jpg?rlkey=ulqtx19pk8l0vho4ilwgrkybe&amp;dl=0","Click to download SizeChart")</f>
      </c>
      <c r="C1649" s="0" t="inlineStr">
        <is>
          <t>Lenox Infant Denim Overalls</t>
        </is>
      </c>
      <c r="D1649" s="0" t="inlineStr">
        <is>
          <t>'109385</t>
        </is>
      </c>
      <c r="E1649" s="0" t="inlineStr">
        <is>
          <t>LENOX UNICORN INFANT:109385F - 12M</t>
        </is>
      </c>
      <c r="F1649" s="0" t="inlineStr">
        <is>
          <t>'800109385042</t>
        </is>
      </c>
      <c r="G1649" s="0" t="inlineStr">
        <is>
          <t>INFANT</t>
        </is>
      </c>
      <c r="H1649" s="0" t="inlineStr">
        <is>
          <t>9-12M</t>
        </is>
      </c>
      <c r="I1649" s="0">
        <v>23.99</v>
      </c>
      <c r="J1649" s="0">
        <v>37</v>
      </c>
    </row>
    <row r="1650" spans="1:10" customHeight="0">
      <c r="A1650" s="0">
        <f>HYPERLINK("https://dl.dropboxusercontent.com/scl/fi/vot65b9ayspcv0nbh2onr/109384f1.jpg?rlkey=0xirjb0hqvupijcb9en1stg0v&amp;dl=0","Click to download Image")</f>
      </c>
      <c r="B1650" s="0">
        <f>HYPERLINK("https://dl.dropboxusercontent.com/scl/fi/2cneo4uvzjaeavtvrmh19/graphic-update22022-infant.jpg?rlkey=ulqtx19pk8l0vho4ilwgrkybe&amp;dl=0","Click to download SizeChart")</f>
      </c>
      <c r="C1650" s="0" t="inlineStr">
        <is>
          <t>Lenox Infant Denim Overalls</t>
        </is>
      </c>
      <c r="D1650" s="0" t="inlineStr">
        <is>
          <t>'109384</t>
        </is>
      </c>
      <c r="E1650" s="0" t="inlineStr">
        <is>
          <t>LENOX SHARK INFANT:109384A - 0-3M</t>
        </is>
      </c>
      <c r="F1650" s="0" t="inlineStr">
        <is>
          <t>'800109384014</t>
        </is>
      </c>
      <c r="G1650" s="0" t="inlineStr">
        <is>
          <t>INFANT</t>
        </is>
      </c>
      <c r="H1650" s="0" t="inlineStr">
        <is>
          <t>0-3M</t>
        </is>
      </c>
      <c r="I1650" s="0">
        <v>23.99</v>
      </c>
      <c r="J1650" s="0">
        <v>39</v>
      </c>
    </row>
    <row r="1651" spans="1:10" customHeight="0">
      <c r="A1651" s="0">
        <f>HYPERLINK("https://dl.dropboxusercontent.com/scl/fi/vot65b9ayspcv0nbh2onr/109384f1.jpg?rlkey=0xirjb0hqvupijcb9en1stg0v&amp;dl=0","Click to download Image")</f>
      </c>
      <c r="B1651" s="0">
        <f>HYPERLINK("https://dl.dropboxusercontent.com/scl/fi/2cneo4uvzjaeavtvrmh19/graphic-update22022-infant.jpg?rlkey=ulqtx19pk8l0vho4ilwgrkybe&amp;dl=0","Click to download SizeChart")</f>
      </c>
      <c r="C1651" s="0" t="inlineStr">
        <is>
          <t>Lenox Infant Denim Overalls</t>
        </is>
      </c>
      <c r="D1651" s="0" t="inlineStr">
        <is>
          <t>'109384</t>
        </is>
      </c>
      <c r="E1651" s="0" t="inlineStr">
        <is>
          <t>LENOX SHARK INFANT:109384B - 3-6M</t>
        </is>
      </c>
      <c r="F1651" s="0" t="inlineStr">
        <is>
          <t>'800109384021</t>
        </is>
      </c>
      <c r="G1651" s="0" t="inlineStr">
        <is>
          <t>INFANT</t>
        </is>
      </c>
      <c r="H1651" s="0" t="inlineStr">
        <is>
          <t>3-6M</t>
        </is>
      </c>
      <c r="I1651" s="0">
        <v>23.99</v>
      </c>
      <c r="J1651" s="0">
        <v>38</v>
      </c>
    </row>
    <row r="1652" spans="1:10" customHeight="0">
      <c r="A1652" s="0">
        <f>HYPERLINK("https://dl.dropboxusercontent.com/scl/fi/vot65b9ayspcv0nbh2onr/109384f1.jpg?rlkey=0xirjb0hqvupijcb9en1stg0v&amp;dl=0","Click to download Image")</f>
      </c>
      <c r="B1652" s="0">
        <f>HYPERLINK("https://dl.dropboxusercontent.com/scl/fi/2cneo4uvzjaeavtvrmh19/graphic-update22022-infant.jpg?rlkey=ulqtx19pk8l0vho4ilwgrkybe&amp;dl=0","Click to download SizeChart")</f>
      </c>
      <c r="C1652" s="0" t="inlineStr">
        <is>
          <t>Lenox Infant Denim Overalls</t>
        </is>
      </c>
      <c r="D1652" s="0" t="inlineStr">
        <is>
          <t>'109384</t>
        </is>
      </c>
      <c r="E1652" s="0" t="inlineStr">
        <is>
          <t>LENOX SHARK INFANT:109384C - 6-9M</t>
        </is>
      </c>
      <c r="F1652" s="0" t="inlineStr">
        <is>
          <t>'800109384038</t>
        </is>
      </c>
      <c r="G1652" s="0" t="inlineStr">
        <is>
          <t>INFANT</t>
        </is>
      </c>
      <c r="H1652" s="0" t="inlineStr">
        <is>
          <t>6-9M</t>
        </is>
      </c>
      <c r="I1652" s="0">
        <v>23.99</v>
      </c>
      <c r="J1652" s="0">
        <v>38</v>
      </c>
    </row>
    <row r="1653" spans="1:10" customHeight="0">
      <c r="A1653" s="0">
        <f>HYPERLINK("https://dl.dropboxusercontent.com/scl/fi/vot65b9ayspcv0nbh2onr/109384f1.jpg?rlkey=0xirjb0hqvupijcb9en1stg0v&amp;dl=0","Click to download Image")</f>
      </c>
      <c r="B1653" s="0">
        <f>HYPERLINK("https://dl.dropboxusercontent.com/scl/fi/2cneo4uvzjaeavtvrmh19/graphic-update22022-infant.jpg?rlkey=ulqtx19pk8l0vho4ilwgrkybe&amp;dl=0","Click to download SizeChart")</f>
      </c>
      <c r="C1653" s="0" t="inlineStr">
        <is>
          <t>Lenox Infant Denim Overalls</t>
        </is>
      </c>
      <c r="D1653" s="0" t="inlineStr">
        <is>
          <t>'109384</t>
        </is>
      </c>
      <c r="E1653" s="0" t="inlineStr">
        <is>
          <t>LENOX SHARK INFANT:109384F - 12M</t>
        </is>
      </c>
      <c r="F1653" s="0" t="inlineStr">
        <is>
          <t>'800109384045</t>
        </is>
      </c>
      <c r="G1653" s="0" t="inlineStr">
        <is>
          <t>INFANT</t>
        </is>
      </c>
      <c r="H1653" s="0" t="inlineStr">
        <is>
          <t>9-12M</t>
        </is>
      </c>
      <c r="I1653" s="0">
        <v>23.99</v>
      </c>
      <c r="J1653" s="0">
        <v>40</v>
      </c>
    </row>
    <row r="1654" spans="1:10" customHeight="0">
      <c r="A1654" s="0">
        <f>HYPERLINK("https://dl.dropboxusercontent.com/scl/fi/8i07lr13nq66re274ku5m/109381-f.jpg?rlkey=5h1b6kfhfod5187csg3yy5gy7&amp;dl=0","Click to download Image")</f>
      </c>
      <c r="B1654" s="0">
        <f>HYPERLINK("https://dl.dropboxusercontent.com/scl/fi/kg5jfh50w06bjn5w2h1vd/graphic-update22022-toddler.jpg?rlkey=uznpf7h1ntcb3whv3bcfgubru&amp;dl=0","Click to download SizeChart")</f>
      </c>
      <c r="C1654" s="0" t="inlineStr">
        <is>
          <t>Lenox Toddler Denim Overalls</t>
        </is>
      </c>
      <c r="D1654" s="0" t="inlineStr">
        <is>
          <t>'109381</t>
        </is>
      </c>
      <c r="E1654" s="0" t="inlineStr">
        <is>
          <t>LENOX SHARK TDLR:109381A - 2T</t>
        </is>
      </c>
      <c r="F1654" s="0" t="inlineStr">
        <is>
          <t>'800109381013</t>
        </is>
      </c>
      <c r="G1654" s="0" t="inlineStr">
        <is>
          <t>TODDLER</t>
        </is>
      </c>
      <c r="H1654" s="0" t="inlineStr">
        <is>
          <t>2T</t>
        </is>
      </c>
      <c r="I1654" s="0">
        <v>23.99</v>
      </c>
      <c r="J1654" s="0">
        <v>38</v>
      </c>
    </row>
    <row r="1655" spans="1:10" customHeight="0">
      <c r="A1655" s="0">
        <f>HYPERLINK("https://dl.dropboxusercontent.com/scl/fi/8i07lr13nq66re274ku5m/109381-f.jpg?rlkey=5h1b6kfhfod5187csg3yy5gy7&amp;dl=0","Click to download Image")</f>
      </c>
      <c r="B1655" s="0">
        <f>HYPERLINK("https://dl.dropboxusercontent.com/scl/fi/kg5jfh50w06bjn5w2h1vd/graphic-update22022-toddler.jpg?rlkey=uznpf7h1ntcb3whv3bcfgubru&amp;dl=0","Click to download SizeChart")</f>
      </c>
      <c r="C1655" s="0" t="inlineStr">
        <is>
          <t>Lenox Toddler Denim Overalls</t>
        </is>
      </c>
      <c r="D1655" s="0" t="inlineStr">
        <is>
          <t>'109381</t>
        </is>
      </c>
      <c r="E1655" s="0" t="inlineStr">
        <is>
          <t>LENOX SHARK TDLR:109381B - 3T</t>
        </is>
      </c>
      <c r="F1655" s="0" t="inlineStr">
        <is>
          <t>'800109381020</t>
        </is>
      </c>
      <c r="G1655" s="0" t="inlineStr">
        <is>
          <t>TODDLER</t>
        </is>
      </c>
      <c r="H1655" s="0" t="inlineStr">
        <is>
          <t>3T</t>
        </is>
      </c>
      <c r="I1655" s="0">
        <v>23.99</v>
      </c>
      <c r="J1655" s="0">
        <v>37</v>
      </c>
    </row>
    <row r="1656" spans="1:10" customHeight="0">
      <c r="A1656" s="0">
        <f>HYPERLINK("https://dl.dropboxusercontent.com/scl/fi/8i07lr13nq66re274ku5m/109381-f.jpg?rlkey=5h1b6kfhfod5187csg3yy5gy7&amp;dl=0","Click to download Image")</f>
      </c>
      <c r="B1656" s="0">
        <f>HYPERLINK("https://dl.dropboxusercontent.com/scl/fi/kg5jfh50w06bjn5w2h1vd/graphic-update22022-toddler.jpg?rlkey=uznpf7h1ntcb3whv3bcfgubru&amp;dl=0","Click to download SizeChart")</f>
      </c>
      <c r="C1656" s="0" t="inlineStr">
        <is>
          <t>Lenox Toddler Denim Overalls</t>
        </is>
      </c>
      <c r="D1656" s="0" t="inlineStr">
        <is>
          <t>'109381</t>
        </is>
      </c>
      <c r="E1656" s="0" t="inlineStr">
        <is>
          <t>LENOX SHARK TDLR:109381C - 4T</t>
        </is>
      </c>
      <c r="F1656" s="0" t="inlineStr">
        <is>
          <t>'800109381037</t>
        </is>
      </c>
      <c r="G1656" s="0" t="inlineStr">
        <is>
          <t>TODDLER</t>
        </is>
      </c>
      <c r="H1656" s="0" t="inlineStr">
        <is>
          <t>4T</t>
        </is>
      </c>
      <c r="I1656" s="0">
        <v>23.99</v>
      </c>
      <c r="J1656" s="0">
        <v>35</v>
      </c>
    </row>
    <row r="1657" spans="1:10" customHeight="0">
      <c r="A1657" s="0">
        <f>HYPERLINK("https://dl.dropboxusercontent.com/scl/fi/8i07lr13nq66re274ku5m/109381-f.jpg?rlkey=5h1b6kfhfod5187csg3yy5gy7&amp;dl=0","Click to download Image")</f>
      </c>
      <c r="B1657" s="0">
        <f>HYPERLINK("https://dl.dropboxusercontent.com/scl/fi/kg5jfh50w06bjn5w2h1vd/graphic-update22022-toddler.jpg?rlkey=uznpf7h1ntcb3whv3bcfgubru&amp;dl=0","Click to download SizeChart")</f>
      </c>
      <c r="C1657" s="0" t="inlineStr">
        <is>
          <t>Lenox Toddler Denim Overalls</t>
        </is>
      </c>
      <c r="D1657" s="0" t="inlineStr">
        <is>
          <t>'109381</t>
        </is>
      </c>
      <c r="E1657" s="0" t="inlineStr">
        <is>
          <t>LENOX SHARK TDLR:109381D - 5T</t>
        </is>
      </c>
      <c r="F1657" s="0" t="inlineStr">
        <is>
          <t>'800109381044</t>
        </is>
      </c>
      <c r="G1657" s="0" t="inlineStr">
        <is>
          <t>TODDLER</t>
        </is>
      </c>
      <c r="H1657" s="0" t="inlineStr">
        <is>
          <t>5T</t>
        </is>
      </c>
      <c r="I1657" s="0">
        <v>23.99</v>
      </c>
      <c r="J1657" s="0">
        <v>36</v>
      </c>
    </row>
    <row r="1658" spans="1:10" customHeight="0">
      <c r="A1658" s="0">
        <f>HYPERLINK("https://dl.dropboxusercontent.com/scl/fi/x0axpwqjwis1144owmbea/109382-f.jpg?rlkey=2ndjlcqmuj07t4cu661su6jtw&amp;dl=0","Click to download Image")</f>
      </c>
      <c r="B1658" s="0">
        <f>HYPERLINK("https://dl.dropboxusercontent.com/scl/fi/kg5jfh50w06bjn5w2h1vd/graphic-update22022-toddler.jpg?rlkey=uznpf7h1ntcb3whv3bcfgubru&amp;dl=0","Click to download SizeChart")</f>
      </c>
      <c r="C1658" s="0" t="inlineStr">
        <is>
          <t>Lenox Toddler Denim Overalls</t>
        </is>
      </c>
      <c r="D1658" s="0" t="inlineStr">
        <is>
          <t>'109382</t>
        </is>
      </c>
      <c r="E1658" s="0" t="inlineStr">
        <is>
          <t>LENOX UNICORN TDLR:109382A - 2T</t>
        </is>
      </c>
      <c r="F1658" s="0" t="inlineStr">
        <is>
          <t>'800109382010</t>
        </is>
      </c>
      <c r="G1658" s="0" t="inlineStr">
        <is>
          <t>TODDLER</t>
        </is>
      </c>
      <c r="H1658" s="0" t="inlineStr">
        <is>
          <t>2T</t>
        </is>
      </c>
      <c r="I1658" s="0">
        <v>23.99</v>
      </c>
      <c r="J1658" s="0">
        <v>38</v>
      </c>
    </row>
    <row r="1659" spans="1:10" customHeight="0">
      <c r="A1659" s="0">
        <f>HYPERLINK("https://dl.dropboxusercontent.com/scl/fi/x0axpwqjwis1144owmbea/109382-f.jpg?rlkey=2ndjlcqmuj07t4cu661su6jtw&amp;dl=0","Click to download Image")</f>
      </c>
      <c r="B1659" s="0">
        <f>HYPERLINK("https://dl.dropboxusercontent.com/scl/fi/kg5jfh50w06bjn5w2h1vd/graphic-update22022-toddler.jpg?rlkey=uznpf7h1ntcb3whv3bcfgubru&amp;dl=0","Click to download SizeChart")</f>
      </c>
      <c r="C1659" s="0" t="inlineStr">
        <is>
          <t>Lenox Toddler Denim Overalls</t>
        </is>
      </c>
      <c r="D1659" s="0" t="inlineStr">
        <is>
          <t>'109382</t>
        </is>
      </c>
      <c r="E1659" s="0" t="inlineStr">
        <is>
          <t>LENOX UNICORN TDLR:109382B - 3T</t>
        </is>
      </c>
      <c r="F1659" s="0" t="inlineStr">
        <is>
          <t>'800109382027</t>
        </is>
      </c>
      <c r="G1659" s="0" t="inlineStr">
        <is>
          <t>TODDLER</t>
        </is>
      </c>
      <c r="H1659" s="0" t="inlineStr">
        <is>
          <t>3T</t>
        </is>
      </c>
      <c r="I1659" s="0">
        <v>23.99</v>
      </c>
      <c r="J1659" s="0">
        <v>38</v>
      </c>
    </row>
    <row r="1660" spans="1:10" customHeight="0">
      <c r="A1660" s="0">
        <f>HYPERLINK("https://dl.dropboxusercontent.com/scl/fi/x0axpwqjwis1144owmbea/109382-f.jpg?rlkey=2ndjlcqmuj07t4cu661su6jtw&amp;dl=0","Click to download Image")</f>
      </c>
      <c r="B1660" s="0">
        <f>HYPERLINK("https://dl.dropboxusercontent.com/scl/fi/kg5jfh50w06bjn5w2h1vd/graphic-update22022-toddler.jpg?rlkey=uznpf7h1ntcb3whv3bcfgubru&amp;dl=0","Click to download SizeChart")</f>
      </c>
      <c r="C1660" s="0" t="inlineStr">
        <is>
          <t>Lenox Toddler Denim Overalls</t>
        </is>
      </c>
      <c r="D1660" s="0" t="inlineStr">
        <is>
          <t>'109382</t>
        </is>
      </c>
      <c r="E1660" s="0" t="inlineStr">
        <is>
          <t>LENOX UNICORN TDLR:109382C - 4T</t>
        </is>
      </c>
      <c r="F1660" s="0" t="inlineStr">
        <is>
          <t>'800109382034</t>
        </is>
      </c>
      <c r="G1660" s="0" t="inlineStr">
        <is>
          <t>TODDLER</t>
        </is>
      </c>
      <c r="H1660" s="0" t="inlineStr">
        <is>
          <t>4T</t>
        </is>
      </c>
      <c r="I1660" s="0">
        <v>23.99</v>
      </c>
      <c r="J1660" s="0">
        <v>37</v>
      </c>
    </row>
    <row r="1661" spans="1:10" customHeight="0">
      <c r="A1661" s="0">
        <f>HYPERLINK("https://dl.dropboxusercontent.com/scl/fi/x0axpwqjwis1144owmbea/109382-f.jpg?rlkey=2ndjlcqmuj07t4cu661su6jtw&amp;dl=0","Click to download Image")</f>
      </c>
      <c r="B1661" s="0">
        <f>HYPERLINK("https://dl.dropboxusercontent.com/scl/fi/kg5jfh50w06bjn5w2h1vd/graphic-update22022-toddler.jpg?rlkey=uznpf7h1ntcb3whv3bcfgubru&amp;dl=0","Click to download SizeChart")</f>
      </c>
      <c r="C1661" s="0" t="inlineStr">
        <is>
          <t>Lenox Toddler Denim Overalls</t>
        </is>
      </c>
      <c r="D1661" s="0" t="inlineStr">
        <is>
          <t>'109382</t>
        </is>
      </c>
      <c r="E1661" s="0" t="inlineStr">
        <is>
          <t>LENOX UNICORN TDLR:109382D - 5T</t>
        </is>
      </c>
      <c r="F1661" s="0" t="inlineStr">
        <is>
          <t>'800109382041</t>
        </is>
      </c>
      <c r="G1661" s="0" t="inlineStr">
        <is>
          <t>TODDLER</t>
        </is>
      </c>
      <c r="H1661" s="0" t="inlineStr">
        <is>
          <t>5T</t>
        </is>
      </c>
      <c r="I1661" s="0">
        <v>23.99</v>
      </c>
      <c r="J1661" s="0">
        <v>36</v>
      </c>
    </row>
    <row r="1662" spans="1:10" customHeight="0">
      <c r="A1662" s="0">
        <f>HYPERLINK("https://dl.dropboxusercontent.com/scl/fi/7psi29uc15rv7b7z49me0/128505-f.jpg?rlkey=vhnnd2w5438dxc5synxdcrvp1&amp;dl=0","Click to download Image")</f>
      </c>
      <c r="B1662" s="0">
        <f>HYPERLINK("https://dl.dropboxusercontent.com/scl/fi/1ahrmmqh7m8im8p4h7b7m/2january-20201mens.jpg?rlkey=dm1nem34mwiw21giho045aj8k&amp;dl=0","Click to download SizeChart")</f>
      </c>
      <c r="C1662" s="0" t="inlineStr">
        <is>
          <t>Ridgeway Men's Midweight Hoodie</t>
        </is>
      </c>
      <c r="D1662" s="0" t="inlineStr">
        <is>
          <t>'128505</t>
        </is>
      </c>
      <c r="E1662" s="0" t="inlineStr">
        <is>
          <t>ISU RIDGEW M CL:128505A-S</t>
        </is>
      </c>
      <c r="F1662" s="0" t="inlineStr">
        <is>
          <t>'801128505046</t>
        </is>
      </c>
      <c r="G1662" s="0" t="inlineStr">
        <is>
          <t>MENS</t>
        </is>
      </c>
      <c r="H1662" s="0" t="inlineStr">
        <is>
          <t>S</t>
        </is>
      </c>
      <c r="I1662" s="0">
        <v>39.99</v>
      </c>
      <c r="J1662" s="0">
        <v>1</v>
      </c>
    </row>
    <row r="1663" spans="1:10" customHeight="0">
      <c r="A1663" s="0">
        <f>HYPERLINK("https://dl.dropboxusercontent.com/scl/fi/7psi29uc15rv7b7z49me0/128505-f.jpg?rlkey=vhnnd2w5438dxc5synxdcrvp1&amp;dl=0","Click to download Image")</f>
      </c>
      <c r="B1663" s="0">
        <f>HYPERLINK("https://dl.dropboxusercontent.com/scl/fi/1ahrmmqh7m8im8p4h7b7m/2january-20201mens.jpg?rlkey=dm1nem34mwiw21giho045aj8k&amp;dl=0","Click to download SizeChart")</f>
      </c>
      <c r="C1663" s="0" t="inlineStr">
        <is>
          <t>Ridgeway Men's Midweight Hoodie</t>
        </is>
      </c>
      <c r="D1663" s="0" t="inlineStr">
        <is>
          <t>'128505</t>
        </is>
      </c>
      <c r="E1663" s="0" t="inlineStr">
        <is>
          <t>ISU RIDGEW M CL:128505B-M</t>
        </is>
      </c>
      <c r="F1663" s="0" t="inlineStr">
        <is>
          <t>'801128505053</t>
        </is>
      </c>
      <c r="G1663" s="0" t="inlineStr">
        <is>
          <t>MENS</t>
        </is>
      </c>
      <c r="H1663" s="0" t="inlineStr">
        <is>
          <t>M</t>
        </is>
      </c>
      <c r="I1663" s="0">
        <v>39.99</v>
      </c>
      <c r="J1663" s="0">
        <v>7</v>
      </c>
    </row>
    <row r="1664" spans="1:10" customHeight="0">
      <c r="A1664" s="0">
        <f>HYPERLINK("https://dl.dropboxusercontent.com/scl/fi/7psi29uc15rv7b7z49me0/128505-f.jpg?rlkey=vhnnd2w5438dxc5synxdcrvp1&amp;dl=0","Click to download Image")</f>
      </c>
      <c r="B1664" s="0">
        <f>HYPERLINK("https://dl.dropboxusercontent.com/scl/fi/1ahrmmqh7m8im8p4h7b7m/2january-20201mens.jpg?rlkey=dm1nem34mwiw21giho045aj8k&amp;dl=0","Click to download SizeChart")</f>
      </c>
      <c r="C1664" s="0" t="inlineStr">
        <is>
          <t>Ridgeway Men's Midweight Hoodie</t>
        </is>
      </c>
      <c r="D1664" s="0" t="inlineStr">
        <is>
          <t>'128505</t>
        </is>
      </c>
      <c r="E1664" s="0" t="inlineStr">
        <is>
          <t>ISU RIDGEW M CL:128505C-L</t>
        </is>
      </c>
      <c r="F1664" s="0" t="inlineStr">
        <is>
          <t>'801128505060</t>
        </is>
      </c>
      <c r="G1664" s="0" t="inlineStr">
        <is>
          <t>MENS</t>
        </is>
      </c>
      <c r="H1664" s="0" t="inlineStr">
        <is>
          <t>L</t>
        </is>
      </c>
      <c r="I1664" s="0">
        <v>39.99</v>
      </c>
      <c r="J1664" s="0">
        <v>7</v>
      </c>
    </row>
    <row r="1665" spans="1:10" customHeight="0">
      <c r="A1665" s="0">
        <f>HYPERLINK("https://dl.dropboxusercontent.com/scl/fi/7psi29uc15rv7b7z49me0/128505-f.jpg?rlkey=vhnnd2w5438dxc5synxdcrvp1&amp;dl=0","Click to download Image")</f>
      </c>
      <c r="B1665" s="0">
        <f>HYPERLINK("https://dl.dropboxusercontent.com/scl/fi/1ahrmmqh7m8im8p4h7b7m/2january-20201mens.jpg?rlkey=dm1nem34mwiw21giho045aj8k&amp;dl=0","Click to download SizeChart")</f>
      </c>
      <c r="C1665" s="0" t="inlineStr">
        <is>
          <t>Ridgeway Men's Midweight Hoodie</t>
        </is>
      </c>
      <c r="D1665" s="0" t="inlineStr">
        <is>
          <t>'128505</t>
        </is>
      </c>
      <c r="E1665" s="0" t="inlineStr">
        <is>
          <t>ISU RIDGEW M CL:128505D-XL</t>
        </is>
      </c>
      <c r="F1665" s="0" t="inlineStr">
        <is>
          <t>'801128505077</t>
        </is>
      </c>
      <c r="G1665" s="0" t="inlineStr">
        <is>
          <t>MENS</t>
        </is>
      </c>
      <c r="H1665" s="0" t="inlineStr">
        <is>
          <t>XL</t>
        </is>
      </c>
      <c r="I1665" s="0">
        <v>39.99</v>
      </c>
      <c r="J1665" s="0">
        <v>3</v>
      </c>
    </row>
    <row r="1666" spans="1:10" customHeight="0">
      <c r="A1666" s="0">
        <f>HYPERLINK("https://dl.dropboxusercontent.com/scl/fi/7psi29uc15rv7b7z49me0/128505-f.jpg?rlkey=vhnnd2w5438dxc5synxdcrvp1&amp;dl=0","Click to download Image")</f>
      </c>
      <c r="B1666" s="0">
        <f>HYPERLINK("https://dl.dropboxusercontent.com/scl/fi/1ahrmmqh7m8im8p4h7b7m/2january-20201mens.jpg?rlkey=dm1nem34mwiw21giho045aj8k&amp;dl=0","Click to download SizeChart")</f>
      </c>
      <c r="C1666" s="0" t="inlineStr">
        <is>
          <t>Ridgeway Men's Midweight Hoodie</t>
        </is>
      </c>
      <c r="D1666" s="0" t="inlineStr">
        <is>
          <t>'128505</t>
        </is>
      </c>
      <c r="E1666" s="0" t="inlineStr">
        <is>
          <t>ISU RIDGEW M CL:128505E-2XL</t>
        </is>
      </c>
      <c r="F1666" s="0" t="inlineStr">
        <is>
          <t>'801128505084</t>
        </is>
      </c>
      <c r="G1666" s="0" t="inlineStr">
        <is>
          <t>MENS</t>
        </is>
      </c>
      <c r="H1666" s="0" t="inlineStr">
        <is>
          <t>2XL</t>
        </is>
      </c>
      <c r="I1666" s="0">
        <v>41.99</v>
      </c>
      <c r="J1666" s="0">
        <v>6</v>
      </c>
    </row>
    <row r="1667" spans="1:10" customHeight="0">
      <c r="A1667" s="0">
        <f>HYPERLINK("https://dl.dropboxusercontent.com/scl/fi/7psi29uc15rv7b7z49me0/128505-f.jpg?rlkey=vhnnd2w5438dxc5synxdcrvp1&amp;dl=0","Click to download Image")</f>
      </c>
      <c r="B1667" s="0">
        <f>HYPERLINK("https://dl.dropboxusercontent.com/scl/fi/1ahrmmqh7m8im8p4h7b7m/2january-20201mens.jpg?rlkey=dm1nem34mwiw21giho045aj8k&amp;dl=0","Click to download SizeChart")</f>
      </c>
      <c r="C1667" s="0" t="inlineStr">
        <is>
          <t>Ridgeway Men's Midweight Hoodie</t>
        </is>
      </c>
      <c r="D1667" s="0" t="inlineStr">
        <is>
          <t>'128505</t>
        </is>
      </c>
      <c r="E1667" s="0" t="inlineStr">
        <is>
          <t>ISU RIDGEW M CL:128505F-3XL</t>
        </is>
      </c>
      <c r="F1667" s="0" t="inlineStr">
        <is>
          <t>'801128505091</t>
        </is>
      </c>
      <c r="G1667" s="0" t="inlineStr">
        <is>
          <t>MENS</t>
        </is>
      </c>
      <c r="H1667" s="0" t="inlineStr">
        <is>
          <t>3XL</t>
        </is>
      </c>
      <c r="I1667" s="0">
        <v>41.99</v>
      </c>
      <c r="J1667" s="0">
        <v>1</v>
      </c>
    </row>
    <row r="1668" spans="1:10" customHeight="0">
      <c r="A1668" s="0">
        <f>HYPERLINK("https://dl.dropboxusercontent.com/scl/fi/y6xnoxdfk353bd2fxp03a/128506t.jpg?rlkey=ytxon9w1ucxxunepbj5ia7a1u&amp;dl=0","Click to download Image")</f>
      </c>
      <c r="B1668" s="0">
        <f>HYPERLINK("https://dl.dropboxusercontent.com/scl/fi/1ahrmmqh7m8im8p4h7b7m/2january-20201mens.jpg?rlkey=dm1nem34mwiw21giho045aj8k&amp;dl=0","Click to download SizeChart")</f>
      </c>
      <c r="C1668" s="0" t="inlineStr">
        <is>
          <t>Ridgeway Men's Midweight Hoodie</t>
        </is>
      </c>
      <c r="D1668" s="0" t="inlineStr">
        <is>
          <t>'128506</t>
        </is>
      </c>
      <c r="E1668" s="0" t="inlineStr">
        <is>
          <t>ISU RIDGEW M GD:128506B-M</t>
        </is>
      </c>
      <c r="F1668" s="0" t="inlineStr">
        <is>
          <t>'801128506050</t>
        </is>
      </c>
      <c r="G1668" s="0" t="inlineStr">
        <is>
          <t>MENS</t>
        </is>
      </c>
      <c r="H1668" s="0" t="inlineStr">
        <is>
          <t>M</t>
        </is>
      </c>
      <c r="I1668" s="0">
        <v>39.99</v>
      </c>
      <c r="J1668" s="0">
        <v>0</v>
      </c>
    </row>
    <row r="1669" spans="1:10" customHeight="0">
      <c r="A1669" s="0">
        <f>HYPERLINK("https://dl.dropboxusercontent.com/scl/fi/y6xnoxdfk353bd2fxp03a/128506t.jpg?rlkey=ytxon9w1ucxxunepbj5ia7a1u&amp;dl=0","Click to download Image")</f>
      </c>
      <c r="B1669" s="0">
        <f>HYPERLINK("https://dl.dropboxusercontent.com/scl/fi/1ahrmmqh7m8im8p4h7b7m/2january-20201mens.jpg?rlkey=dm1nem34mwiw21giho045aj8k&amp;dl=0","Click to download SizeChart")</f>
      </c>
      <c r="C1669" s="0" t="inlineStr">
        <is>
          <t>Ridgeway Men's Midweight Hoodie</t>
        </is>
      </c>
      <c r="D1669" s="0" t="inlineStr">
        <is>
          <t>'128506</t>
        </is>
      </c>
      <c r="E1669" s="0" t="inlineStr">
        <is>
          <t>ISU RIDGEW M GD:128506C-L</t>
        </is>
      </c>
      <c r="F1669" s="0" t="inlineStr">
        <is>
          <t>'801128506067</t>
        </is>
      </c>
      <c r="G1669" s="0" t="inlineStr">
        <is>
          <t>MENS</t>
        </is>
      </c>
      <c r="H1669" s="0" t="inlineStr">
        <is>
          <t>L</t>
        </is>
      </c>
      <c r="I1669" s="0">
        <v>39.99</v>
      </c>
      <c r="J1669" s="0">
        <v>2</v>
      </c>
    </row>
    <row r="1670" spans="1:10" customHeight="0">
      <c r="A1670" s="0">
        <f>HYPERLINK("https://dl.dropboxusercontent.com/scl/fi/y6xnoxdfk353bd2fxp03a/128506t.jpg?rlkey=ytxon9w1ucxxunepbj5ia7a1u&amp;dl=0","Click to download Image")</f>
      </c>
      <c r="B1670" s="0">
        <f>HYPERLINK("https://dl.dropboxusercontent.com/scl/fi/1ahrmmqh7m8im8p4h7b7m/2january-20201mens.jpg?rlkey=dm1nem34mwiw21giho045aj8k&amp;dl=0","Click to download SizeChart")</f>
      </c>
      <c r="C1670" s="0" t="inlineStr">
        <is>
          <t>Ridgeway Men's Midweight Hoodie</t>
        </is>
      </c>
      <c r="D1670" s="0" t="inlineStr">
        <is>
          <t>'128506</t>
        </is>
      </c>
      <c r="E1670" s="0" t="inlineStr">
        <is>
          <t>ISU RIDGEW M GD:128506D-XL</t>
        </is>
      </c>
      <c r="F1670" s="0" t="inlineStr">
        <is>
          <t>'801128506074</t>
        </is>
      </c>
      <c r="G1670" s="0" t="inlineStr">
        <is>
          <t>MENS</t>
        </is>
      </c>
      <c r="H1670" s="0" t="inlineStr">
        <is>
          <t>XL</t>
        </is>
      </c>
      <c r="I1670" s="0">
        <v>39.99</v>
      </c>
      <c r="J1670" s="0">
        <v>0</v>
      </c>
    </row>
    <row r="1671" spans="1:10" customHeight="0">
      <c r="A1671" s="0">
        <f>HYPERLINK("https://dl.dropboxusercontent.com/scl/fi/y6xnoxdfk353bd2fxp03a/128506t.jpg?rlkey=ytxon9w1ucxxunepbj5ia7a1u&amp;dl=0","Click to download Image")</f>
      </c>
      <c r="B1671" s="0">
        <f>HYPERLINK("https://dl.dropboxusercontent.com/scl/fi/1ahrmmqh7m8im8p4h7b7m/2january-20201mens.jpg?rlkey=dm1nem34mwiw21giho045aj8k&amp;dl=0","Click to download SizeChart")</f>
      </c>
      <c r="C1671" s="0" t="inlineStr">
        <is>
          <t>Ridgeway Men's Midweight Hoodie</t>
        </is>
      </c>
      <c r="D1671" s="0" t="inlineStr">
        <is>
          <t>'128506</t>
        </is>
      </c>
      <c r="E1671" s="0" t="inlineStr">
        <is>
          <t>ISU RIDGEW M GD:128506E-2XL</t>
        </is>
      </c>
      <c r="F1671" s="0" t="inlineStr">
        <is>
          <t>'801128506081</t>
        </is>
      </c>
      <c r="G1671" s="0" t="inlineStr">
        <is>
          <t>MENS</t>
        </is>
      </c>
      <c r="H1671" s="0" t="inlineStr">
        <is>
          <t>2XL</t>
        </is>
      </c>
      <c r="I1671" s="0">
        <v>41.99</v>
      </c>
      <c r="J1671" s="0">
        <v>0</v>
      </c>
    </row>
    <row r="1672" spans="1:10" customHeight="0">
      <c r="A1672" s="0">
        <f>HYPERLINK("https://dl.dropboxusercontent.com/scl/fi/y6xnoxdfk353bd2fxp03a/128506t.jpg?rlkey=ytxon9w1ucxxunepbj5ia7a1u&amp;dl=0","Click to download Image")</f>
      </c>
      <c r="B1672" s="0">
        <f>HYPERLINK("https://dl.dropboxusercontent.com/scl/fi/1ahrmmqh7m8im8p4h7b7m/2january-20201mens.jpg?rlkey=dm1nem34mwiw21giho045aj8k&amp;dl=0","Click to download SizeChart")</f>
      </c>
      <c r="C1672" s="0" t="inlineStr">
        <is>
          <t>Ridgeway Men's Midweight Hoodie</t>
        </is>
      </c>
      <c r="D1672" s="0" t="inlineStr">
        <is>
          <t>'128506</t>
        </is>
      </c>
      <c r="E1672" s="0" t="inlineStr">
        <is>
          <t>ISU RIDGEW M GD:128506F-3XL</t>
        </is>
      </c>
      <c r="F1672" s="0" t="inlineStr">
        <is>
          <t>'801128506098</t>
        </is>
      </c>
      <c r="G1672" s="0" t="inlineStr">
        <is>
          <t>MENS</t>
        </is>
      </c>
      <c r="H1672" s="0" t="inlineStr">
        <is>
          <t>3XL</t>
        </is>
      </c>
      <c r="I1672" s="0">
        <v>41.99</v>
      </c>
      <c r="J1672" s="0">
        <v>0</v>
      </c>
    </row>
    <row r="1673" spans="1:10" customHeight="0">
      <c r="A1673" s="0">
        <f>HYPERLINK("https://dl.dropboxusercontent.com/scl/fi/70m7hq0vxrglqpx8rkd2b/128507t.jpg?rlkey=sbdz4qae6ux4ufcoqnzv03gr8&amp;dl=0","Click to download Image")</f>
      </c>
      <c r="B1673" s="0">
        <f>HYPERLINK("https://dl.dropboxusercontent.com/scl/fi/1ahrmmqh7m8im8p4h7b7m/2january-20201mens.jpg?rlkey=dm1nem34mwiw21giho045aj8k&amp;dl=0","Click to download SizeChart")</f>
      </c>
      <c r="C1673" s="0" t="inlineStr">
        <is>
          <t>Ridgeway Men's Midweight Hoodie</t>
        </is>
      </c>
      <c r="D1673" s="0" t="inlineStr">
        <is>
          <t>'128507</t>
        </is>
      </c>
      <c r="E1673" s="0" t="inlineStr">
        <is>
          <t>ISU RIDGEW M GY:128507B-M</t>
        </is>
      </c>
      <c r="F1673" s="0" t="inlineStr">
        <is>
          <t>'801128507057</t>
        </is>
      </c>
      <c r="G1673" s="0" t="inlineStr">
        <is>
          <t>MENS</t>
        </is>
      </c>
      <c r="H1673" s="0" t="inlineStr">
        <is>
          <t>M</t>
        </is>
      </c>
      <c r="I1673" s="0">
        <v>39.99</v>
      </c>
      <c r="J1673" s="0">
        <v>1</v>
      </c>
    </row>
    <row r="1674" spans="1:10" customHeight="0">
      <c r="A1674" s="0">
        <f>HYPERLINK("https://dl.dropboxusercontent.com/scl/fi/70m7hq0vxrglqpx8rkd2b/128507t.jpg?rlkey=sbdz4qae6ux4ufcoqnzv03gr8&amp;dl=0","Click to download Image")</f>
      </c>
      <c r="B1674" s="0">
        <f>HYPERLINK("https://dl.dropboxusercontent.com/scl/fi/1ahrmmqh7m8im8p4h7b7m/2january-20201mens.jpg?rlkey=dm1nem34mwiw21giho045aj8k&amp;dl=0","Click to download SizeChart")</f>
      </c>
      <c r="C1674" s="0" t="inlineStr">
        <is>
          <t>Ridgeway Men's Midweight Hoodie</t>
        </is>
      </c>
      <c r="D1674" s="0" t="inlineStr">
        <is>
          <t>'128507</t>
        </is>
      </c>
      <c r="E1674" s="0" t="inlineStr">
        <is>
          <t>ISU RIDGEW M GY:128507C-L</t>
        </is>
      </c>
      <c r="F1674" s="0" t="inlineStr">
        <is>
          <t>'801128507064</t>
        </is>
      </c>
      <c r="G1674" s="0" t="inlineStr">
        <is>
          <t>MENS</t>
        </is>
      </c>
      <c r="H1674" s="0" t="inlineStr">
        <is>
          <t>L</t>
        </is>
      </c>
      <c r="I1674" s="0">
        <v>39.99</v>
      </c>
      <c r="J1674" s="0">
        <v>7</v>
      </c>
    </row>
    <row r="1675" spans="1:10" customHeight="0">
      <c r="A1675" s="0">
        <f>HYPERLINK("https://dl.dropboxusercontent.com/scl/fi/70m7hq0vxrglqpx8rkd2b/128507t.jpg?rlkey=sbdz4qae6ux4ufcoqnzv03gr8&amp;dl=0","Click to download Image")</f>
      </c>
      <c r="B1675" s="0">
        <f>HYPERLINK("https://dl.dropboxusercontent.com/scl/fi/1ahrmmqh7m8im8p4h7b7m/2january-20201mens.jpg?rlkey=dm1nem34mwiw21giho045aj8k&amp;dl=0","Click to download SizeChart")</f>
      </c>
      <c r="C1675" s="0" t="inlineStr">
        <is>
          <t>Ridgeway Men's Midweight Hoodie</t>
        </is>
      </c>
      <c r="D1675" s="0" t="inlineStr">
        <is>
          <t>'128507</t>
        </is>
      </c>
      <c r="E1675" s="0" t="inlineStr">
        <is>
          <t>ISU RIDGEW M GY:128507D-XL</t>
        </is>
      </c>
      <c r="F1675" s="0" t="inlineStr">
        <is>
          <t>'801128507071</t>
        </is>
      </c>
      <c r="G1675" s="0" t="inlineStr">
        <is>
          <t>MENS</t>
        </is>
      </c>
      <c r="H1675" s="0" t="inlineStr">
        <is>
          <t>XL</t>
        </is>
      </c>
      <c r="I1675" s="0">
        <v>39.99</v>
      </c>
      <c r="J1675" s="0">
        <v>12</v>
      </c>
    </row>
    <row r="1676" spans="1:10" customHeight="0">
      <c r="A1676" s="0">
        <f>HYPERLINK("https://dl.dropboxusercontent.com/scl/fi/70m7hq0vxrglqpx8rkd2b/128507t.jpg?rlkey=sbdz4qae6ux4ufcoqnzv03gr8&amp;dl=0","Click to download Image")</f>
      </c>
      <c r="B1676" s="0">
        <f>HYPERLINK("https://dl.dropboxusercontent.com/scl/fi/1ahrmmqh7m8im8p4h7b7m/2january-20201mens.jpg?rlkey=dm1nem34mwiw21giho045aj8k&amp;dl=0","Click to download SizeChart")</f>
      </c>
      <c r="C1676" s="0" t="inlineStr">
        <is>
          <t>Ridgeway Men's Midweight Hoodie</t>
        </is>
      </c>
      <c r="D1676" s="0" t="inlineStr">
        <is>
          <t>'128507</t>
        </is>
      </c>
      <c r="E1676" s="0" t="inlineStr">
        <is>
          <t>ISU RIDGEW M GY:128507E-2XL</t>
        </is>
      </c>
      <c r="F1676" s="0" t="inlineStr">
        <is>
          <t>'801128507088</t>
        </is>
      </c>
      <c r="G1676" s="0" t="inlineStr">
        <is>
          <t>MENS</t>
        </is>
      </c>
      <c r="H1676" s="0" t="inlineStr">
        <is>
          <t>2XL</t>
        </is>
      </c>
      <c r="I1676" s="0">
        <v>41.99</v>
      </c>
      <c r="J1676" s="0">
        <v>12</v>
      </c>
    </row>
    <row r="1677" spans="1:10" customHeight="0">
      <c r="A1677" s="0">
        <f>HYPERLINK("https://dl.dropboxusercontent.com/scl/fi/70m7hq0vxrglqpx8rkd2b/128507t.jpg?rlkey=sbdz4qae6ux4ufcoqnzv03gr8&amp;dl=0","Click to download Image")</f>
      </c>
      <c r="B1677" s="0">
        <f>HYPERLINK("https://dl.dropboxusercontent.com/scl/fi/1ahrmmqh7m8im8p4h7b7m/2january-20201mens.jpg?rlkey=dm1nem34mwiw21giho045aj8k&amp;dl=0","Click to download SizeChart")</f>
      </c>
      <c r="C1677" s="0" t="inlineStr">
        <is>
          <t>Ridgeway Men's Midweight Hoodie</t>
        </is>
      </c>
      <c r="D1677" s="0" t="inlineStr">
        <is>
          <t>'128507</t>
        </is>
      </c>
      <c r="E1677" s="0" t="inlineStr">
        <is>
          <t>ISU RIDGEW M GY:128507F-3XL</t>
        </is>
      </c>
      <c r="F1677" s="0" t="inlineStr">
        <is>
          <t>'801128507095</t>
        </is>
      </c>
      <c r="G1677" s="0" t="inlineStr">
        <is>
          <t>MENS</t>
        </is>
      </c>
      <c r="H1677" s="0" t="inlineStr">
        <is>
          <t>3XL</t>
        </is>
      </c>
      <c r="I1677" s="0">
        <v>41.99</v>
      </c>
      <c r="J1677" s="0">
        <v>8</v>
      </c>
    </row>
    <row r="1678" spans="1:10" customHeight="0">
      <c r="A1678" s="0">
        <f>HYPERLINK("https://dl.dropboxusercontent.com/scl/fi/a7hrl4a347e4o0sd24nvp/132507t.jpg?rlkey=aq682npb9c72veqsvwk72awdf&amp;dl=0","Click to download Image")</f>
      </c>
      <c r="B1678" s="0">
        <f>HYPERLINK("https://dl.dropboxusercontent.com/scl/fi/1ahrmmqh7m8im8p4h7b7m/2january-20201mens.jpg?rlkey=dm1nem34mwiw21giho045aj8k&amp;dl=0","Click to download SizeChart")</f>
      </c>
      <c r="C1678" s="0" t="inlineStr">
        <is>
          <t>Ridgeway Men's Midweight Hoodie</t>
        </is>
      </c>
      <c r="D1678" s="0" t="inlineStr">
        <is>
          <t>'132507</t>
        </is>
      </c>
      <c r="E1678" s="0" t="inlineStr">
        <is>
          <t>MU RIDGEW M BK:132507A-S</t>
        </is>
      </c>
      <c r="F1678" s="0" t="inlineStr">
        <is>
          <t>'803132507047</t>
        </is>
      </c>
      <c r="G1678" s="0" t="inlineStr">
        <is>
          <t>MENS</t>
        </is>
      </c>
      <c r="H1678" s="0" t="inlineStr">
        <is>
          <t>S</t>
        </is>
      </c>
      <c r="I1678" s="0">
        <v>39.99</v>
      </c>
      <c r="J1678" s="0">
        <v>2</v>
      </c>
    </row>
    <row r="1679" spans="1:10" customHeight="0">
      <c r="A1679" s="0">
        <f>HYPERLINK("https://dl.dropboxusercontent.com/scl/fi/a7hrl4a347e4o0sd24nvp/132507t.jpg?rlkey=aq682npb9c72veqsvwk72awdf&amp;dl=0","Click to download Image")</f>
      </c>
      <c r="B1679" s="0">
        <f>HYPERLINK("https://dl.dropboxusercontent.com/scl/fi/1ahrmmqh7m8im8p4h7b7m/2january-20201mens.jpg?rlkey=dm1nem34mwiw21giho045aj8k&amp;dl=0","Click to download SizeChart")</f>
      </c>
      <c r="C1679" s="0" t="inlineStr">
        <is>
          <t>Ridgeway Men's Midweight Hoodie</t>
        </is>
      </c>
      <c r="D1679" s="0" t="inlineStr">
        <is>
          <t>'132507</t>
        </is>
      </c>
      <c r="E1679" s="0" t="inlineStr">
        <is>
          <t>MU RIDGEW M BK:132507B-M</t>
        </is>
      </c>
      <c r="F1679" s="0" t="inlineStr">
        <is>
          <t>'803132507054</t>
        </is>
      </c>
      <c r="G1679" s="0" t="inlineStr">
        <is>
          <t>MENS</t>
        </is>
      </c>
      <c r="H1679" s="0" t="inlineStr">
        <is>
          <t>M</t>
        </is>
      </c>
      <c r="I1679" s="0">
        <v>39.99</v>
      </c>
      <c r="J1679" s="0">
        <v>0</v>
      </c>
    </row>
    <row r="1680" spans="1:10" customHeight="0">
      <c r="A1680" s="0">
        <f>HYPERLINK("https://dl.dropboxusercontent.com/scl/fi/a7hrl4a347e4o0sd24nvp/132507t.jpg?rlkey=aq682npb9c72veqsvwk72awdf&amp;dl=0","Click to download Image")</f>
      </c>
      <c r="B1680" s="0">
        <f>HYPERLINK("https://dl.dropboxusercontent.com/scl/fi/1ahrmmqh7m8im8p4h7b7m/2january-20201mens.jpg?rlkey=dm1nem34mwiw21giho045aj8k&amp;dl=0","Click to download SizeChart")</f>
      </c>
      <c r="C1680" s="0" t="inlineStr">
        <is>
          <t>Ridgeway Men's Midweight Hoodie</t>
        </is>
      </c>
      <c r="D1680" s="0" t="inlineStr">
        <is>
          <t>'132507</t>
        </is>
      </c>
      <c r="E1680" s="0" t="inlineStr">
        <is>
          <t>MU RIDGEW M BK:132507C-L</t>
        </is>
      </c>
      <c r="F1680" s="0" t="inlineStr">
        <is>
          <t>'803132507061</t>
        </is>
      </c>
      <c r="G1680" s="0" t="inlineStr">
        <is>
          <t>MENS</t>
        </is>
      </c>
      <c r="H1680" s="0" t="inlineStr">
        <is>
          <t>L</t>
        </is>
      </c>
      <c r="I1680" s="0">
        <v>39.99</v>
      </c>
      <c r="J1680" s="0">
        <v>0</v>
      </c>
    </row>
    <row r="1681" spans="1:10" customHeight="0">
      <c r="A1681" s="0">
        <f>HYPERLINK("https://dl.dropboxusercontent.com/scl/fi/a7hrl4a347e4o0sd24nvp/132507t.jpg?rlkey=aq682npb9c72veqsvwk72awdf&amp;dl=0","Click to download Image")</f>
      </c>
      <c r="B1681" s="0">
        <f>HYPERLINK("https://dl.dropboxusercontent.com/scl/fi/1ahrmmqh7m8im8p4h7b7m/2january-20201mens.jpg?rlkey=dm1nem34mwiw21giho045aj8k&amp;dl=0","Click to download SizeChart")</f>
      </c>
      <c r="C1681" s="0" t="inlineStr">
        <is>
          <t>Ridgeway Men's Midweight Hoodie</t>
        </is>
      </c>
      <c r="D1681" s="0" t="inlineStr">
        <is>
          <t>'132507</t>
        </is>
      </c>
      <c r="E1681" s="0" t="inlineStr">
        <is>
          <t>MU RIDGEW M BK:132507D-XL</t>
        </is>
      </c>
      <c r="F1681" s="0" t="inlineStr">
        <is>
          <t>'803132507078</t>
        </is>
      </c>
      <c r="G1681" s="0" t="inlineStr">
        <is>
          <t>MENS</t>
        </is>
      </c>
      <c r="H1681" s="0" t="inlineStr">
        <is>
          <t>XL</t>
        </is>
      </c>
      <c r="I1681" s="0">
        <v>39.99</v>
      </c>
      <c r="J1681" s="0">
        <v>1</v>
      </c>
    </row>
    <row r="1682" spans="1:10" customHeight="0">
      <c r="A1682" s="0">
        <f>HYPERLINK("https://dl.dropboxusercontent.com/scl/fi/a7hrl4a347e4o0sd24nvp/132507t.jpg?rlkey=aq682npb9c72veqsvwk72awdf&amp;dl=0","Click to download Image")</f>
      </c>
      <c r="B1682" s="0">
        <f>HYPERLINK("https://dl.dropboxusercontent.com/scl/fi/1ahrmmqh7m8im8p4h7b7m/2january-20201mens.jpg?rlkey=dm1nem34mwiw21giho045aj8k&amp;dl=0","Click to download SizeChart")</f>
      </c>
      <c r="C1682" s="0" t="inlineStr">
        <is>
          <t>Ridgeway Men's Midweight Hoodie</t>
        </is>
      </c>
      <c r="D1682" s="0" t="inlineStr">
        <is>
          <t>'132507</t>
        </is>
      </c>
      <c r="E1682" s="0" t="inlineStr">
        <is>
          <t>MU RIDGEW M BK:132507E-2XL</t>
        </is>
      </c>
      <c r="F1682" s="0" t="inlineStr">
        <is>
          <t>'803132507085</t>
        </is>
      </c>
      <c r="G1682" s="0" t="inlineStr">
        <is>
          <t>MENS</t>
        </is>
      </c>
      <c r="H1682" s="0" t="inlineStr">
        <is>
          <t>2XL</t>
        </is>
      </c>
      <c r="I1682" s="0">
        <v>41.99</v>
      </c>
      <c r="J1682" s="0">
        <v>0</v>
      </c>
    </row>
    <row r="1683" spans="1:10" customHeight="0">
      <c r="A1683" s="0">
        <f>HYPERLINK("https://dl.dropboxusercontent.com/scl/fi/a7hrl4a347e4o0sd24nvp/132507t.jpg?rlkey=aq682npb9c72veqsvwk72awdf&amp;dl=0","Click to download Image")</f>
      </c>
      <c r="B1683" s="0">
        <f>HYPERLINK("https://dl.dropboxusercontent.com/scl/fi/1ahrmmqh7m8im8p4h7b7m/2january-20201mens.jpg?rlkey=dm1nem34mwiw21giho045aj8k&amp;dl=0","Click to download SizeChart")</f>
      </c>
      <c r="C1683" s="0" t="inlineStr">
        <is>
          <t>Ridgeway Men's Midweight Hoodie</t>
        </is>
      </c>
      <c r="D1683" s="0" t="inlineStr">
        <is>
          <t>'132507</t>
        </is>
      </c>
      <c r="E1683" s="0" t="inlineStr">
        <is>
          <t>MU RIDGEW M BK:132507F-3XL</t>
        </is>
      </c>
      <c r="F1683" s="0" t="inlineStr">
        <is>
          <t>'803132507092</t>
        </is>
      </c>
      <c r="G1683" s="0" t="inlineStr">
        <is>
          <t>MENS</t>
        </is>
      </c>
      <c r="H1683" s="0" t="inlineStr">
        <is>
          <t>3XL</t>
        </is>
      </c>
      <c r="I1683" s="0">
        <v>41.99</v>
      </c>
      <c r="J1683" s="0">
        <v>0</v>
      </c>
    </row>
    <row r="1684" spans="1:10" customHeight="0">
      <c r="A1684" s="0">
        <f>HYPERLINK("https://dl.dropboxusercontent.com/scl/fi/klfabgewytb9i6cibu2d1/114388af39587-1.jpg?rlkey=073xcf2dyi2qso7k49noow5gh&amp;dl=0","Click to download Image")</f>
      </c>
      <c r="B1684" s="0">
        <f>HYPERLINK("https://dl.dropboxusercontent.com/scl/fi/149smu6jbdi49ql0hmx5v/2january-20201mens.jpg?rlkey=ykl01ra29y351theyt4o24gvy&amp;dl=0","Click to download SizeChart")</f>
      </c>
      <c r="C1684" s="0" t="inlineStr">
        <is>
          <t>Dante Men's Long Sleeve Performance Shirt</t>
        </is>
      </c>
      <c r="D1684" s="0" t="inlineStr">
        <is>
          <t>'114388</t>
        </is>
      </c>
      <c r="E1684" s="0" t="inlineStr">
        <is>
          <t>KSU DANTE M GREY:114388A-S</t>
        </is>
      </c>
      <c r="F1684" s="0" t="inlineStr">
        <is>
          <t>'805114388040</t>
        </is>
      </c>
      <c r="G1684" s="0" t="inlineStr">
        <is>
          <t>MENS</t>
        </is>
      </c>
      <c r="H1684" s="0" t="inlineStr">
        <is>
          <t>S</t>
        </is>
      </c>
      <c r="I1684" s="0">
        <v>34.99</v>
      </c>
      <c r="J1684" s="0">
        <v>3</v>
      </c>
    </row>
    <row r="1685" spans="1:10" customHeight="0">
      <c r="A1685" s="0">
        <f>HYPERLINK("https://dl.dropboxusercontent.com/scl/fi/klfabgewytb9i6cibu2d1/114388af39587-1.jpg?rlkey=073xcf2dyi2qso7k49noow5gh&amp;dl=0","Click to download Image")</f>
      </c>
      <c r="B1685" s="0">
        <f>HYPERLINK("https://dl.dropboxusercontent.com/scl/fi/149smu6jbdi49ql0hmx5v/2january-20201mens.jpg?rlkey=ykl01ra29y351theyt4o24gvy&amp;dl=0","Click to download SizeChart")</f>
      </c>
      <c r="C1685" s="0" t="inlineStr">
        <is>
          <t>Dante Men's Long Sleeve Performance Shirt</t>
        </is>
      </c>
      <c r="D1685" s="0" t="inlineStr">
        <is>
          <t>'114388</t>
        </is>
      </c>
      <c r="E1685" s="0" t="inlineStr">
        <is>
          <t>KSU DANTE M GREY:114388B-M</t>
        </is>
      </c>
      <c r="F1685" s="0" t="inlineStr">
        <is>
          <t>'805114388057</t>
        </is>
      </c>
      <c r="G1685" s="0" t="inlineStr">
        <is>
          <t>MENS</t>
        </is>
      </c>
      <c r="H1685" s="0" t="inlineStr">
        <is>
          <t>M</t>
        </is>
      </c>
      <c r="I1685" s="0">
        <v>34.99</v>
      </c>
      <c r="J1685" s="0">
        <v>8</v>
      </c>
    </row>
    <row r="1686" spans="1:10" customHeight="0">
      <c r="A1686" s="0">
        <f>HYPERLINK("https://dl.dropboxusercontent.com/scl/fi/klfabgewytb9i6cibu2d1/114388af39587-1.jpg?rlkey=073xcf2dyi2qso7k49noow5gh&amp;dl=0","Click to download Image")</f>
      </c>
      <c r="B1686" s="0">
        <f>HYPERLINK("https://dl.dropboxusercontent.com/scl/fi/149smu6jbdi49ql0hmx5v/2january-20201mens.jpg?rlkey=ykl01ra29y351theyt4o24gvy&amp;dl=0","Click to download SizeChart")</f>
      </c>
      <c r="C1686" s="0" t="inlineStr">
        <is>
          <t>Dante Men's Long Sleeve Performance Shirt</t>
        </is>
      </c>
      <c r="D1686" s="0" t="inlineStr">
        <is>
          <t>'114388</t>
        </is>
      </c>
      <c r="E1686" s="0" t="inlineStr">
        <is>
          <t>KSU DANTE M GREY:114388C-L</t>
        </is>
      </c>
      <c r="F1686" s="0" t="inlineStr">
        <is>
          <t>'805114388064</t>
        </is>
      </c>
      <c r="G1686" s="0" t="inlineStr">
        <is>
          <t>MENS</t>
        </is>
      </c>
      <c r="H1686" s="0" t="inlineStr">
        <is>
          <t>L</t>
        </is>
      </c>
      <c r="I1686" s="0">
        <v>34.99</v>
      </c>
      <c r="J1686" s="0">
        <v>10</v>
      </c>
    </row>
    <row r="1687" spans="1:10" customHeight="0">
      <c r="A1687" s="0">
        <f>HYPERLINK("https://dl.dropboxusercontent.com/scl/fi/klfabgewytb9i6cibu2d1/114388af39587-1.jpg?rlkey=073xcf2dyi2qso7k49noow5gh&amp;dl=0","Click to download Image")</f>
      </c>
      <c r="B1687" s="0">
        <f>HYPERLINK("https://dl.dropboxusercontent.com/scl/fi/149smu6jbdi49ql0hmx5v/2january-20201mens.jpg?rlkey=ykl01ra29y351theyt4o24gvy&amp;dl=0","Click to download SizeChart")</f>
      </c>
      <c r="C1687" s="0" t="inlineStr">
        <is>
          <t>Dante Men's Long Sleeve Performance Shirt</t>
        </is>
      </c>
      <c r="D1687" s="0" t="inlineStr">
        <is>
          <t>'114388</t>
        </is>
      </c>
      <c r="E1687" s="0" t="inlineStr">
        <is>
          <t>KSU DANTE M GREY:114388D-XL</t>
        </is>
      </c>
      <c r="F1687" s="0" t="inlineStr">
        <is>
          <t>'805114388071</t>
        </is>
      </c>
      <c r="G1687" s="0" t="inlineStr">
        <is>
          <t>MENS</t>
        </is>
      </c>
      <c r="H1687" s="0" t="inlineStr">
        <is>
          <t>XL</t>
        </is>
      </c>
      <c r="I1687" s="0">
        <v>34.99</v>
      </c>
      <c r="J1687" s="0">
        <v>9</v>
      </c>
    </row>
    <row r="1688" spans="1:10" customHeight="0">
      <c r="A1688" s="0">
        <f>HYPERLINK("https://dl.dropboxusercontent.com/scl/fi/klfabgewytb9i6cibu2d1/114388af39587-1.jpg?rlkey=073xcf2dyi2qso7k49noow5gh&amp;dl=0","Click to download Image")</f>
      </c>
      <c r="B1688" s="0">
        <f>HYPERLINK("https://dl.dropboxusercontent.com/scl/fi/149smu6jbdi49ql0hmx5v/2january-20201mens.jpg?rlkey=ykl01ra29y351theyt4o24gvy&amp;dl=0","Click to download SizeChart")</f>
      </c>
      <c r="C1688" s="0" t="inlineStr">
        <is>
          <t>Dante Men's Long Sleeve Performance Shirt</t>
        </is>
      </c>
      <c r="D1688" s="0" t="inlineStr">
        <is>
          <t>'114388</t>
        </is>
      </c>
      <c r="E1688" s="0" t="inlineStr">
        <is>
          <t>KSU DANTE M GREY:114388E-2XL</t>
        </is>
      </c>
      <c r="F1688" s="0" t="inlineStr">
        <is>
          <t>'805114388088</t>
        </is>
      </c>
      <c r="G1688" s="0" t="inlineStr">
        <is>
          <t>MENS</t>
        </is>
      </c>
      <c r="H1688" s="0" t="inlineStr">
        <is>
          <t>2XL</t>
        </is>
      </c>
      <c r="I1688" s="0">
        <v>36.99</v>
      </c>
      <c r="J1688" s="0">
        <v>4</v>
      </c>
    </row>
    <row r="1689" spans="1:10" customHeight="0">
      <c r="A1689" s="0">
        <f>HYPERLINK("https://dl.dropboxusercontent.com/scl/fi/klfabgewytb9i6cibu2d1/114388af39587-1.jpg?rlkey=073xcf2dyi2qso7k49noow5gh&amp;dl=0","Click to download Image")</f>
      </c>
      <c r="B1689" s="0">
        <f>HYPERLINK("https://dl.dropboxusercontent.com/scl/fi/149smu6jbdi49ql0hmx5v/2january-20201mens.jpg?rlkey=ykl01ra29y351theyt4o24gvy&amp;dl=0","Click to download SizeChart")</f>
      </c>
      <c r="C1689" s="0" t="inlineStr">
        <is>
          <t>Dante Men's Long Sleeve Performance Shirt</t>
        </is>
      </c>
      <c r="D1689" s="0" t="inlineStr">
        <is>
          <t>'114388</t>
        </is>
      </c>
      <c r="E1689" s="0" t="inlineStr">
        <is>
          <t>KSU DANTE M GREY:114388F-3XL</t>
        </is>
      </c>
      <c r="F1689" s="0" t="inlineStr">
        <is>
          <t>'805114388095</t>
        </is>
      </c>
      <c r="G1689" s="0" t="inlineStr">
        <is>
          <t>MENS</t>
        </is>
      </c>
      <c r="H1689" s="0" t="inlineStr">
        <is>
          <t>3XL</t>
        </is>
      </c>
      <c r="I1689" s="0">
        <v>36.99</v>
      </c>
      <c r="J1689" s="0">
        <v>4</v>
      </c>
    </row>
    <row r="1690" spans="1:10" customHeight="0">
      <c r="A1690" s="0">
        <f>HYPERLINK("https://dl.dropboxusercontent.com/scl/fi/xvziais0yf1x5j8llou2w/114384-af.jpg?rlkey=pt822dfjj4u2k4fxxs666tdhg&amp;dl=0","Click to download Image")</f>
      </c>
      <c r="B1690" s="0">
        <f>HYPERLINK("https://dl.dropboxusercontent.com/scl/fi/149smu6jbdi49ql0hmx5v/2january-20201mens.jpg?rlkey=ykl01ra29y351theyt4o24gvy&amp;dl=0","Click to download SizeChart")</f>
      </c>
      <c r="C1690" s="0" t="inlineStr">
        <is>
          <t>Dante Men's Long Sleeve Performance Shirt</t>
        </is>
      </c>
      <c r="D1690" s="0" t="inlineStr">
        <is>
          <t>'114384</t>
        </is>
      </c>
      <c r="E1690" s="0" t="inlineStr">
        <is>
          <t>UNI DANTE M GREY:114384A-S</t>
        </is>
      </c>
      <c r="F1690" s="0" t="inlineStr">
        <is>
          <t>'802114384041</t>
        </is>
      </c>
      <c r="G1690" s="0" t="inlineStr">
        <is>
          <t>MENS</t>
        </is>
      </c>
      <c r="H1690" s="0" t="inlineStr">
        <is>
          <t>S</t>
        </is>
      </c>
      <c r="I1690" s="0">
        <v>34.99</v>
      </c>
      <c r="J1690" s="0">
        <v>1</v>
      </c>
    </row>
    <row r="1691" spans="1:10" customHeight="0">
      <c r="A1691" s="0">
        <f>HYPERLINK("https://dl.dropboxusercontent.com/scl/fi/xvziais0yf1x5j8llou2w/114384-af.jpg?rlkey=pt822dfjj4u2k4fxxs666tdhg&amp;dl=0","Click to download Image")</f>
      </c>
      <c r="B1691" s="0">
        <f>HYPERLINK("https://dl.dropboxusercontent.com/scl/fi/149smu6jbdi49ql0hmx5v/2january-20201mens.jpg?rlkey=ykl01ra29y351theyt4o24gvy&amp;dl=0","Click to download SizeChart")</f>
      </c>
      <c r="C1691" s="0" t="inlineStr">
        <is>
          <t>Dante Men's Long Sleeve Performance Shirt</t>
        </is>
      </c>
      <c r="D1691" s="0" t="inlineStr">
        <is>
          <t>'114384</t>
        </is>
      </c>
      <c r="E1691" s="0" t="inlineStr">
        <is>
          <t>UNI DANTE M GREY:114384B-M</t>
        </is>
      </c>
      <c r="F1691" s="0" t="inlineStr">
        <is>
          <t>'802114384058</t>
        </is>
      </c>
      <c r="G1691" s="0" t="inlineStr">
        <is>
          <t>MENS</t>
        </is>
      </c>
      <c r="H1691" s="0" t="inlineStr">
        <is>
          <t>M</t>
        </is>
      </c>
      <c r="I1691" s="0">
        <v>34.99</v>
      </c>
      <c r="J1691" s="0">
        <v>4</v>
      </c>
    </row>
    <row r="1692" spans="1:10" customHeight="0">
      <c r="A1692" s="0">
        <f>HYPERLINK("https://dl.dropboxusercontent.com/scl/fi/xvziais0yf1x5j8llou2w/114384-af.jpg?rlkey=pt822dfjj4u2k4fxxs666tdhg&amp;dl=0","Click to download Image")</f>
      </c>
      <c r="B1692" s="0">
        <f>HYPERLINK("https://dl.dropboxusercontent.com/scl/fi/149smu6jbdi49ql0hmx5v/2january-20201mens.jpg?rlkey=ykl01ra29y351theyt4o24gvy&amp;dl=0","Click to download SizeChart")</f>
      </c>
      <c r="C1692" s="0" t="inlineStr">
        <is>
          <t>Dante Men's Long Sleeve Performance Shirt</t>
        </is>
      </c>
      <c r="D1692" s="0" t="inlineStr">
        <is>
          <t>'114384</t>
        </is>
      </c>
      <c r="E1692" s="0" t="inlineStr">
        <is>
          <t>UNI DANTE M GREY:114384C-L</t>
        </is>
      </c>
      <c r="F1692" s="0" t="inlineStr">
        <is>
          <t>'802114384065</t>
        </is>
      </c>
      <c r="G1692" s="0" t="inlineStr">
        <is>
          <t>MENS</t>
        </is>
      </c>
      <c r="H1692" s="0" t="inlineStr">
        <is>
          <t>L</t>
        </is>
      </c>
      <c r="I1692" s="0">
        <v>34.99</v>
      </c>
      <c r="J1692" s="0">
        <v>1</v>
      </c>
    </row>
    <row r="1693" spans="1:10" customHeight="0">
      <c r="A1693" s="0">
        <f>HYPERLINK("https://dl.dropboxusercontent.com/scl/fi/xvziais0yf1x5j8llou2w/114384-af.jpg?rlkey=pt822dfjj4u2k4fxxs666tdhg&amp;dl=0","Click to download Image")</f>
      </c>
      <c r="B1693" s="0">
        <f>HYPERLINK("https://dl.dropboxusercontent.com/scl/fi/149smu6jbdi49ql0hmx5v/2january-20201mens.jpg?rlkey=ykl01ra29y351theyt4o24gvy&amp;dl=0","Click to download SizeChart")</f>
      </c>
      <c r="C1693" s="0" t="inlineStr">
        <is>
          <t>Dante Men's Long Sleeve Performance Shirt</t>
        </is>
      </c>
      <c r="D1693" s="0" t="inlineStr">
        <is>
          <t>'114384</t>
        </is>
      </c>
      <c r="E1693" s="0" t="inlineStr">
        <is>
          <t>UNI DANTE M GREY:114384D-XL</t>
        </is>
      </c>
      <c r="F1693" s="0" t="inlineStr">
        <is>
          <t>'802114384072</t>
        </is>
      </c>
      <c r="G1693" s="0" t="inlineStr">
        <is>
          <t>MENS</t>
        </is>
      </c>
      <c r="H1693" s="0" t="inlineStr">
        <is>
          <t>XL</t>
        </is>
      </c>
      <c r="I1693" s="0">
        <v>34.99</v>
      </c>
      <c r="J1693" s="0">
        <v>6</v>
      </c>
    </row>
    <row r="1694" spans="1:10" customHeight="0">
      <c r="A1694" s="0">
        <f>HYPERLINK("https://dl.dropboxusercontent.com/scl/fi/xvziais0yf1x5j8llou2w/114384-af.jpg?rlkey=pt822dfjj4u2k4fxxs666tdhg&amp;dl=0","Click to download Image")</f>
      </c>
      <c r="B1694" s="0">
        <f>HYPERLINK("https://dl.dropboxusercontent.com/scl/fi/149smu6jbdi49ql0hmx5v/2january-20201mens.jpg?rlkey=ykl01ra29y351theyt4o24gvy&amp;dl=0","Click to download SizeChart")</f>
      </c>
      <c r="C1694" s="0" t="inlineStr">
        <is>
          <t>Dante Men's Long Sleeve Performance Shirt</t>
        </is>
      </c>
      <c r="D1694" s="0" t="inlineStr">
        <is>
          <t>'114384</t>
        </is>
      </c>
      <c r="E1694" s="0" t="inlineStr">
        <is>
          <t>UNI DANTE M GREY:114384E-2XL</t>
        </is>
      </c>
      <c r="F1694" s="0" t="inlineStr">
        <is>
          <t>'802114384089</t>
        </is>
      </c>
      <c r="G1694" s="0" t="inlineStr">
        <is>
          <t>MENS</t>
        </is>
      </c>
      <c r="H1694" s="0" t="inlineStr">
        <is>
          <t>2XL</t>
        </is>
      </c>
      <c r="I1694" s="0">
        <v>36.99</v>
      </c>
      <c r="J1694" s="0">
        <v>4</v>
      </c>
    </row>
    <row r="1695" spans="1:10" customHeight="0">
      <c r="A1695" s="0">
        <f>HYPERLINK("https://dl.dropboxusercontent.com/scl/fi/xvziais0yf1x5j8llou2w/114384-af.jpg?rlkey=pt822dfjj4u2k4fxxs666tdhg&amp;dl=0","Click to download Image")</f>
      </c>
      <c r="B1695" s="0">
        <f>HYPERLINK("https://dl.dropboxusercontent.com/scl/fi/149smu6jbdi49ql0hmx5v/2january-20201mens.jpg?rlkey=ykl01ra29y351theyt4o24gvy&amp;dl=0","Click to download SizeChart")</f>
      </c>
      <c r="C1695" s="0" t="inlineStr">
        <is>
          <t>Dante Men's Long Sleeve Performance Shirt</t>
        </is>
      </c>
      <c r="D1695" s="0" t="inlineStr">
        <is>
          <t>'114384</t>
        </is>
      </c>
      <c r="E1695" s="0" t="inlineStr">
        <is>
          <t>UNI DANTE M GREY:114384F-3XL</t>
        </is>
      </c>
      <c r="F1695" s="0" t="inlineStr">
        <is>
          <t>'802114384096</t>
        </is>
      </c>
      <c r="G1695" s="0" t="inlineStr">
        <is>
          <t>MENS</t>
        </is>
      </c>
      <c r="H1695" s="0" t="inlineStr">
        <is>
          <t>3XL</t>
        </is>
      </c>
      <c r="I1695" s="0">
        <v>36.99</v>
      </c>
      <c r="J1695" s="0">
        <v>4</v>
      </c>
    </row>
    <row r="1696" spans="1:10" customHeight="0">
      <c r="A1696" s="0">
        <f>HYPERLINK("https://dl.dropboxusercontent.com/scl/fi/xvziais0yf1x5j8llou2w/114384-af.jpg?rlkey=pt822dfjj4u2k4fxxs666tdhg&amp;dl=0","Click to download Image")</f>
      </c>
      <c r="B1696" s="0">
        <f>HYPERLINK("https://dl.dropboxusercontent.com/scl/fi/149smu6jbdi49ql0hmx5v/2january-20201mens.jpg?rlkey=ykl01ra29y351theyt4o24gvy&amp;dl=0","Click to download SizeChart")</f>
      </c>
      <c r="C1696" s="0" t="inlineStr">
        <is>
          <t>Dante Men's Long Sleeve Performance Shirt</t>
        </is>
      </c>
      <c r="D1696" s="0" t="inlineStr">
        <is>
          <t>'114384</t>
        </is>
      </c>
      <c r="E1696" s="0" t="inlineStr">
        <is>
          <t>UNI DANTE M GREY 12 PACK:114384Z-12PK</t>
        </is>
      </c>
      <c r="F1696" s="0" t="inlineStr">
        <is>
          <t>'802114384997</t>
        </is>
      </c>
      <c r="G1696" s="0" t="inlineStr">
        <is>
          <t>MENS</t>
        </is>
      </c>
      <c r="H1696" s="0" t="inlineStr">
        <is>
          <t>12 PACK</t>
        </is>
      </c>
      <c r="I1696" s="0">
        <v>394.68</v>
      </c>
      <c r="J1696" s="0">
        <v>0</v>
      </c>
    </row>
    <row r="1697" spans="1:10" customHeight="0">
      <c r="A1697" s="0">
        <f>HYPERLINK("https://dl.dropboxusercontent.com/scl/fi/2pttap7fsqemrlf8k8c9e/97200af.jpg?rlkey=5xf2ia7dukohtrt2ktbvljne9&amp;dl=0","Click to download Image")</f>
      </c>
      <c r="B1697" s="0">
        <f>HYPERLINK("https://dl.dropboxusercontent.com/scl/fi/vjv1lrwgp0ytsuevipmq6/mens-d.jpg?rlkey=xq8txuoic3bgbwter1ryh2zlw&amp;dl=0","Click to download SizeChart")</f>
      </c>
      <c r="C1697" s="0" t="inlineStr">
        <is>
          <t>Logan Men's Windbreaker</t>
        </is>
      </c>
      <c r="D1697" s="0" t="inlineStr">
        <is>
          <t>'97200</t>
        </is>
      </c>
      <c r="E1697" s="0" t="inlineStr">
        <is>
          <t>LOGAN:97200A-S</t>
        </is>
      </c>
      <c r="F1697" s="0" t="inlineStr">
        <is>
          <t>'000000000000</t>
        </is>
      </c>
      <c r="G1697" s="0" t="inlineStr">
        <is>
          <t>MENS</t>
        </is>
      </c>
      <c r="H1697" s="0" t="inlineStr">
        <is>
          <t>S</t>
        </is>
      </c>
      <c r="I1697" s="0">
        <v>54.99</v>
      </c>
      <c r="J1697" s="0">
        <v>14</v>
      </c>
    </row>
    <row r="1698" spans="1:10" customHeight="0">
      <c r="A1698" s="0">
        <f>HYPERLINK("https://dl.dropboxusercontent.com/scl/fi/2pttap7fsqemrlf8k8c9e/97200af.jpg?rlkey=5xf2ia7dukohtrt2ktbvljne9&amp;dl=0","Click to download Image")</f>
      </c>
      <c r="B1698" s="0">
        <f>HYPERLINK("https://dl.dropboxusercontent.com/scl/fi/vjv1lrwgp0ytsuevipmq6/mens-d.jpg?rlkey=xq8txuoic3bgbwter1ryh2zlw&amp;dl=0","Click to download SizeChart")</f>
      </c>
      <c r="C1698" s="0" t="inlineStr">
        <is>
          <t>Logan Men's Windbreaker</t>
        </is>
      </c>
      <c r="D1698" s="0" t="inlineStr">
        <is>
          <t>'97200</t>
        </is>
      </c>
      <c r="E1698" s="0" t="inlineStr">
        <is>
          <t>LOGAN:97200B-M</t>
        </is>
      </c>
      <c r="F1698" s="0" t="inlineStr">
        <is>
          <t>'000000000000</t>
        </is>
      </c>
      <c r="G1698" s="0" t="inlineStr">
        <is>
          <t>MENS</t>
        </is>
      </c>
      <c r="H1698" s="0" t="inlineStr">
        <is>
          <t>M</t>
        </is>
      </c>
      <c r="I1698" s="0">
        <v>54.99</v>
      </c>
      <c r="J1698" s="0">
        <v>12</v>
      </c>
    </row>
    <row r="1699" spans="1:10" customHeight="0">
      <c r="A1699" s="0">
        <f>HYPERLINK("https://dl.dropboxusercontent.com/scl/fi/2pttap7fsqemrlf8k8c9e/97200af.jpg?rlkey=5xf2ia7dukohtrt2ktbvljne9&amp;dl=0","Click to download Image")</f>
      </c>
      <c r="B1699" s="0">
        <f>HYPERLINK("https://dl.dropboxusercontent.com/scl/fi/vjv1lrwgp0ytsuevipmq6/mens-d.jpg?rlkey=xq8txuoic3bgbwter1ryh2zlw&amp;dl=0","Click to download SizeChart")</f>
      </c>
      <c r="C1699" s="0" t="inlineStr">
        <is>
          <t>Logan Men's Windbreaker</t>
        </is>
      </c>
      <c r="D1699" s="0" t="inlineStr">
        <is>
          <t>'97200</t>
        </is>
      </c>
      <c r="E1699" s="0" t="inlineStr">
        <is>
          <t>LOGAN:97200E-2XL</t>
        </is>
      </c>
      <c r="F1699" s="0" t="inlineStr">
        <is>
          <t>'000000000000</t>
        </is>
      </c>
      <c r="G1699" s="0" t="inlineStr">
        <is>
          <t>MENS</t>
        </is>
      </c>
      <c r="H1699" s="0" t="inlineStr">
        <is>
          <t>2XL</t>
        </is>
      </c>
      <c r="I1699" s="0">
        <v>56.99</v>
      </c>
      <c r="J1699" s="0">
        <v>16</v>
      </c>
    </row>
    <row r="1700" spans="1:10" customHeight="0">
      <c r="A1700" s="0">
        <f>HYPERLINK("https://dl.dropboxusercontent.com/scl/fi/2pttap7fsqemrlf8k8c9e/97200af.jpg?rlkey=5xf2ia7dukohtrt2ktbvljne9&amp;dl=0","Click to download Image")</f>
      </c>
      <c r="B1700" s="0">
        <f>HYPERLINK("https://dl.dropboxusercontent.com/scl/fi/vjv1lrwgp0ytsuevipmq6/mens-d.jpg?rlkey=xq8txuoic3bgbwter1ryh2zlw&amp;dl=0","Click to download SizeChart")</f>
      </c>
      <c r="C1700" s="0" t="inlineStr">
        <is>
          <t>Logan Men's Windbreaker</t>
        </is>
      </c>
      <c r="D1700" s="0" t="inlineStr">
        <is>
          <t>'97200</t>
        </is>
      </c>
      <c r="E1700" s="0" t="inlineStr">
        <is>
          <t>LOGAN:97200F-3XL</t>
        </is>
      </c>
      <c r="F1700" s="0" t="inlineStr">
        <is>
          <t>'000000000000</t>
        </is>
      </c>
      <c r="G1700" s="0" t="inlineStr">
        <is>
          <t>MENS</t>
        </is>
      </c>
      <c r="H1700" s="0" t="inlineStr">
        <is>
          <t>3XL</t>
        </is>
      </c>
      <c r="I1700" s="0">
        <v>56.99</v>
      </c>
      <c r="J1700" s="0">
        <v>15</v>
      </c>
    </row>
    <row r="1701" spans="1:10" customHeight="0">
      <c r="A1701" s="0">
        <f>HYPERLINK("https://dl.dropboxusercontent.com/scl/fi/1m0m7n6mqxzvzqgqs69q0/123486-flat-f.jpg?rlkey=dxy9lwkfkc05q5kloi0tg7nht&amp;dl=0","Click to download Image")</f>
      </c>
      <c r="C1701" s="0" t="inlineStr">
        <is>
          <t>Cersei Cuffed Beanie</t>
        </is>
      </c>
      <c r="D1701" s="0" t="inlineStr">
        <is>
          <t>'123486</t>
        </is>
      </c>
      <c r="E1701" s="0" t="inlineStr">
        <is>
          <t>NDSU CERSEI BK:123486</t>
        </is>
      </c>
      <c r="F1701" s="0" t="inlineStr">
        <is>
          <t>'713123486018</t>
        </is>
      </c>
      <c r="G1701" s="0" t="inlineStr">
        <is>
          <t>MENS</t>
        </is>
      </c>
      <c r="H1701" s="0" t="inlineStr">
        <is>
          <t>OSFM</t>
        </is>
      </c>
      <c r="I1701" s="0">
        <v>24.99</v>
      </c>
      <c r="J1701" s="0">
        <v>72</v>
      </c>
    </row>
    <row r="1702" spans="1:10" customHeight="0">
      <c r="A1702" s="0">
        <f>HYPERLINK("https://dl.dropboxusercontent.com/scl/fi/pxmi7agrg29t80zo459iq/123888ff51237.jpg?rlkey=2u8r6l970vojwe56o2ibs8y2i&amp;dl=0","Click to download Image")</f>
      </c>
      <c r="C1702" s="0" t="inlineStr">
        <is>
          <t>Cersei Cuffed Beanie</t>
        </is>
      </c>
      <c r="D1702" s="0" t="inlineStr">
        <is>
          <t>'123888</t>
        </is>
      </c>
      <c r="E1702" s="0" t="inlineStr">
        <is>
          <t>UNO CERSEI BK:123888</t>
        </is>
      </c>
      <c r="F1702" s="0" t="inlineStr">
        <is>
          <t>'709123888013</t>
        </is>
      </c>
      <c r="G1702" s="0" t="inlineStr">
        <is>
          <t>MENS</t>
        </is>
      </c>
      <c r="H1702" s="0" t="inlineStr">
        <is>
          <t>OSFM</t>
        </is>
      </c>
      <c r="I1702" s="0">
        <v>24.99</v>
      </c>
      <c r="J1702" s="0">
        <v>3</v>
      </c>
    </row>
    <row r="1703" spans="1:10" customHeight="0">
      <c r="A1703" s="0">
        <f>HYPERLINK("https://dl.dropboxusercontent.com/scl/fi/i84htp9eup22gjbyynhup/123975-flat-f.jpg?rlkey=fkwdwpiwynbd1mwnuyp80azjc&amp;dl=0","Click to download Image")</f>
      </c>
      <c r="C1703" s="0" t="inlineStr">
        <is>
          <t>Cersei Cuffed Beanie</t>
        </is>
      </c>
      <c r="D1703" s="0" t="inlineStr">
        <is>
          <t>'123975</t>
        </is>
      </c>
      <c r="E1703" s="0" t="inlineStr">
        <is>
          <t>CU CERSEI BK:123975</t>
        </is>
      </c>
      <c r="F1703" s="0" t="inlineStr">
        <is>
          <t>'710123975016</t>
        </is>
      </c>
      <c r="G1703" s="0" t="inlineStr">
        <is>
          <t>MENS</t>
        </is>
      </c>
      <c r="H1703" s="0" t="inlineStr">
        <is>
          <t>OSFM</t>
        </is>
      </c>
      <c r="I1703" s="0">
        <v>24.99</v>
      </c>
      <c r="J1703" s="0">
        <v>11</v>
      </c>
    </row>
    <row r="1704" spans="1:10" customHeight="0">
      <c r="A1704" s="0">
        <f>HYPERLINK("https://dl.dropboxusercontent.com/scl/fi/2se8jktapv1t77mseq94n/124070-flat-f.jpg?rlkey=aneblubmwfyb663m03uwuc5uu&amp;dl=0","Click to download Image")</f>
      </c>
      <c r="C1704" s="0" t="inlineStr">
        <is>
          <t>Cersei Cuffed Beanie</t>
        </is>
      </c>
      <c r="D1704" s="0" t="inlineStr">
        <is>
          <t>'124070</t>
        </is>
      </c>
      <c r="E1704" s="0" t="inlineStr">
        <is>
          <t>USD CERSEI:124070</t>
        </is>
      </c>
      <c r="F1704" s="0" t="inlineStr">
        <is>
          <t>'711124070014</t>
        </is>
      </c>
      <c r="G1704" s="0" t="inlineStr">
        <is>
          <t>MENS</t>
        </is>
      </c>
      <c r="H1704" s="0" t="inlineStr">
        <is>
          <t>OSFM</t>
        </is>
      </c>
      <c r="I1704" s="0">
        <v>24.99</v>
      </c>
      <c r="J1704" s="0">
        <v>54</v>
      </c>
    </row>
    <row r="1705" spans="1:10" customHeight="0">
      <c r="A1705" s="0">
        <f>HYPERLINK("https://dl.dropboxusercontent.com/scl/fi/ucjmfjje0sq7ujtct8xf0/126056-ff.jpg?rlkey=4orkn5sjyc3xxiefbx9po6eg7&amp;dl=0","Click to download Image")</f>
      </c>
      <c r="C1705" s="0" t="inlineStr">
        <is>
          <t>Cersei Cuffed Beanie</t>
        </is>
      </c>
      <c r="D1705" s="0" t="inlineStr">
        <is>
          <t>'126056</t>
        </is>
      </c>
      <c r="E1705" s="0" t="inlineStr">
        <is>
          <t>MU CERSEI BK:126056</t>
        </is>
      </c>
      <c r="F1705" s="0" t="inlineStr">
        <is>
          <t>'000000000000</t>
        </is>
      </c>
      <c r="G1705" s="0" t="inlineStr">
        <is>
          <t>MENS</t>
        </is>
      </c>
      <c r="H1705" s="0" t="inlineStr">
        <is>
          <t>STANDARD MENS</t>
        </is>
      </c>
      <c r="I1705" s="0">
        <v>24.99</v>
      </c>
      <c r="J1705" s="0">
        <v>114</v>
      </c>
    </row>
    <row r="1706" spans="1:10" customHeight="0">
      <c r="A1706" s="0">
        <f>HYPERLINK("https://dl.dropboxusercontent.com/scl/fi/y0ucn1lqw6a8bwfhxftyn/116889-af.jpg?rlkey=11675zzgjfrbvwu0kugje8gir&amp;dl=0","Click to download Image")</f>
      </c>
      <c r="C1706" s="0" t="inlineStr">
        <is>
          <t>Magnus Men's Cap</t>
        </is>
      </c>
      <c r="D1706" s="0" t="inlineStr">
        <is>
          <t>'116889</t>
        </is>
      </c>
      <c r="E1706" s="0" t="inlineStr">
        <is>
          <t>ISU MAGNUS A KHAKI:116889</t>
        </is>
      </c>
      <c r="F1706" s="0" t="inlineStr">
        <is>
          <t>'701116889007</t>
        </is>
      </c>
      <c r="G1706" s="0" t="inlineStr">
        <is>
          <t>MENS</t>
        </is>
      </c>
      <c r="H1706" s="0" t="inlineStr">
        <is>
          <t>STANDARD MENS</t>
        </is>
      </c>
      <c r="I1706" s="0">
        <v>19.99</v>
      </c>
      <c r="J1706" s="0">
        <v>4</v>
      </c>
    </row>
    <row r="1707" spans="1:10" customHeight="0">
      <c r="A1707" s="0">
        <f>HYPERLINK("https://dl.dropboxusercontent.com/scl/fi/vg4hic9mxy3792nl3szui/121367-af.jpg?rlkey=vsfto8b90512utvofsgpfjtlu&amp;dl=0","Click to download Image")</f>
      </c>
      <c r="C1707" s="0" t="inlineStr">
        <is>
          <t>Magnus Men's Cap</t>
        </is>
      </c>
      <c r="D1707" s="0" t="inlineStr">
        <is>
          <t>'121367</t>
        </is>
      </c>
      <c r="E1707" s="0" t="inlineStr">
        <is>
          <t>UNI MAGNUS:121367</t>
        </is>
      </c>
      <c r="F1707" s="0" t="inlineStr">
        <is>
          <t>'702121367009</t>
        </is>
      </c>
      <c r="G1707" s="0" t="inlineStr">
        <is>
          <t>MENS</t>
        </is>
      </c>
      <c r="H1707" s="0" t="inlineStr">
        <is>
          <t>STANDARD MENS</t>
        </is>
      </c>
      <c r="I1707" s="0">
        <v>19.99</v>
      </c>
      <c r="J1707" s="0">
        <v>70</v>
      </c>
    </row>
    <row r="1708" spans="1:10" customHeight="0">
      <c r="A1708" s="0">
        <f>HYPERLINK("https://dl.dropboxusercontent.com/scl/fi/akzq7eml1g49w3k6xu0jv/117186-af.jpg?rlkey=jssfovth5eictgw07e7564ne6&amp;dl=0","Click to download Image")</f>
      </c>
      <c r="C1708" s="0" t="inlineStr">
        <is>
          <t>Nyomi Women's Cap</t>
        </is>
      </c>
      <c r="D1708" s="0" t="inlineStr">
        <is>
          <t>'117186</t>
        </is>
      </c>
      <c r="E1708" s="0" t="inlineStr">
        <is>
          <t>ISU NYOMI A GREY:117186</t>
        </is>
      </c>
      <c r="F1708" s="0" t="inlineStr">
        <is>
          <t>'701117186013</t>
        </is>
      </c>
      <c r="G1708" s="0" t="inlineStr">
        <is>
          <t>WOMENS</t>
        </is>
      </c>
      <c r="H1708" s="0" t="inlineStr">
        <is>
          <t>WOMENS</t>
        </is>
      </c>
      <c r="I1708" s="0">
        <v>19.99</v>
      </c>
      <c r="J1708" s="0">
        <v>14</v>
      </c>
    </row>
    <row r="1709" spans="1:10" customHeight="0">
      <c r="A1709" s="0">
        <f>HYPERLINK("https://dl.dropboxusercontent.com/scl/fi/vf6hiyr140kgagji46b76/117185-af.jpg?rlkey=hac5sa4bqhuz5rgi5j18v2esb&amp;dl=0","Click to download Image")</f>
      </c>
      <c r="C1709" s="0" t="inlineStr">
        <is>
          <t>Nyomi Women's Cap</t>
        </is>
      </c>
      <c r="D1709" s="0" t="inlineStr">
        <is>
          <t>'117185</t>
        </is>
      </c>
      <c r="E1709" s="0" t="inlineStr">
        <is>
          <t>IOWA NYOMI A GREY:117185</t>
        </is>
      </c>
      <c r="F1709" s="0" t="inlineStr">
        <is>
          <t>'700117185019</t>
        </is>
      </c>
      <c r="G1709" s="0" t="inlineStr">
        <is>
          <t>WOMENS</t>
        </is>
      </c>
      <c r="H1709" s="0" t="inlineStr">
        <is>
          <t>WOMENS</t>
        </is>
      </c>
      <c r="I1709" s="0">
        <v>19.99</v>
      </c>
      <c r="J1709" s="0">
        <v>18</v>
      </c>
    </row>
    <row r="1710" spans="1:10" customHeight="0">
      <c r="A1710" s="0">
        <f>HYPERLINK("https://dl.dropboxusercontent.com/scl/fi/61x1ywmn75t2znx1te8kf/ottouniset70756.jpg?rlkey=73brmtj6xcc1nh26cz7skrr9x&amp;dl=0","Click to download Image")</f>
      </c>
      <c r="C1710" s="0" t="inlineStr">
        <is>
          <t>Otto Infant Set</t>
        </is>
      </c>
      <c r="D1710" s="0" t="inlineStr">
        <is>
          <t>'123453</t>
        </is>
      </c>
      <c r="E1710" s="0" t="inlineStr">
        <is>
          <t>UNI OTTO I PE:123453A-0-3M</t>
        </is>
      </c>
      <c r="F1710" s="0" t="inlineStr">
        <is>
          <t>'802123453004</t>
        </is>
      </c>
      <c r="G1710" s="0" t="inlineStr">
        <is>
          <t>INFANT</t>
        </is>
      </c>
      <c r="H1710" s="0" t="inlineStr">
        <is>
          <t>0-3M</t>
        </is>
      </c>
      <c r="I1710" s="0">
        <v>29.99</v>
      </c>
      <c r="J1710" s="0">
        <v>9</v>
      </c>
    </row>
    <row r="1711" spans="1:10" customHeight="0">
      <c r="A1711" s="0">
        <f>HYPERLINK("https://dl.dropboxusercontent.com/scl/fi/61x1ywmn75t2znx1te8kf/ottouniset70756.jpg?rlkey=73brmtj6xcc1nh26cz7skrr9x&amp;dl=0","Click to download Image")</f>
      </c>
      <c r="C1711" s="0" t="inlineStr">
        <is>
          <t>Otto Infant Set</t>
        </is>
      </c>
      <c r="D1711" s="0" t="inlineStr">
        <is>
          <t>'123453</t>
        </is>
      </c>
      <c r="E1711" s="0" t="inlineStr">
        <is>
          <t>UNI OTTO I PE:123453B-3-6M</t>
        </is>
      </c>
      <c r="F1711" s="0" t="inlineStr">
        <is>
          <t>'802123453011</t>
        </is>
      </c>
      <c r="G1711" s="0" t="inlineStr">
        <is>
          <t>INFANT</t>
        </is>
      </c>
      <c r="H1711" s="0" t="inlineStr">
        <is>
          <t>3-6M</t>
        </is>
      </c>
      <c r="I1711" s="0">
        <v>29.99</v>
      </c>
      <c r="J1711" s="0">
        <v>8</v>
      </c>
    </row>
    <row r="1712" spans="1:10" customHeight="0">
      <c r="A1712" s="0">
        <f>HYPERLINK("https://dl.dropboxusercontent.com/scl/fi/61x1ywmn75t2znx1te8kf/ottouniset70756.jpg?rlkey=73brmtj6xcc1nh26cz7skrr9x&amp;dl=0","Click to download Image")</f>
      </c>
      <c r="C1712" s="0" t="inlineStr">
        <is>
          <t>Otto Infant Set</t>
        </is>
      </c>
      <c r="D1712" s="0" t="inlineStr">
        <is>
          <t>'123453</t>
        </is>
      </c>
      <c r="E1712" s="0" t="inlineStr">
        <is>
          <t>UNI OTTO I PE:123453C-6-9M</t>
        </is>
      </c>
      <c r="F1712" s="0" t="inlineStr">
        <is>
          <t>'802123453028</t>
        </is>
      </c>
      <c r="G1712" s="0" t="inlineStr">
        <is>
          <t>INFANT</t>
        </is>
      </c>
      <c r="H1712" s="0" t="inlineStr">
        <is>
          <t>6-9M</t>
        </is>
      </c>
      <c r="I1712" s="0">
        <v>29.99</v>
      </c>
      <c r="J1712" s="0">
        <v>9</v>
      </c>
    </row>
    <row r="1713" spans="1:10" customHeight="0">
      <c r="A1713" s="0">
        <f>HYPERLINK("https://dl.dropboxusercontent.com/scl/fi/61x1ywmn75t2znx1te8kf/ottouniset70756.jpg?rlkey=73brmtj6xcc1nh26cz7skrr9x&amp;dl=0","Click to download Image")</f>
      </c>
      <c r="C1713" s="0" t="inlineStr">
        <is>
          <t>Otto Infant Set</t>
        </is>
      </c>
      <c r="D1713" s="0" t="inlineStr">
        <is>
          <t>'123453</t>
        </is>
      </c>
      <c r="E1713" s="0" t="inlineStr">
        <is>
          <t>UNI OTTO I PE:123453F-12M</t>
        </is>
      </c>
      <c r="F1713" s="0" t="inlineStr">
        <is>
          <t>'802123453035</t>
        </is>
      </c>
      <c r="G1713" s="0" t="inlineStr">
        <is>
          <t>INFANT</t>
        </is>
      </c>
      <c r="H1713" s="0" t="inlineStr">
        <is>
          <t>12M</t>
        </is>
      </c>
      <c r="I1713" s="0">
        <v>29.99</v>
      </c>
      <c r="J1713" s="0">
        <v>9</v>
      </c>
    </row>
    <row r="1714" spans="1:10" customHeight="0">
      <c r="A1714" s="0">
        <f>HYPERLINK("https://dl.dropboxusercontent.com/scl/fi/61x1ywmn75t2znx1te8kf/ottouniset70756.jpg?rlkey=73brmtj6xcc1nh26cz7skrr9x&amp;dl=0","Click to download Image")</f>
      </c>
      <c r="C1714" s="0" t="inlineStr">
        <is>
          <t>Otto Infant Set</t>
        </is>
      </c>
      <c r="D1714" s="0" t="inlineStr">
        <is>
          <t>'123453</t>
        </is>
      </c>
      <c r="E1714" s="0" t="inlineStr">
        <is>
          <t>UNI OTTO I PE 12PK:123453Z-12PK</t>
        </is>
      </c>
      <c r="F1714" s="0" t="inlineStr">
        <is>
          <t>'802123453998</t>
        </is>
      </c>
      <c r="G1714" s="0" t="inlineStr">
        <is>
          <t>INFANT</t>
        </is>
      </c>
      <c r="H1714" s="0" t="inlineStr">
        <is>
          <t>12 PACK</t>
        </is>
      </c>
      <c r="I1714" s="0">
        <v>288</v>
      </c>
      <c r="J1714" s="0">
        <v>3</v>
      </c>
    </row>
    <row r="1715" spans="1:10" customHeight="0">
      <c r="A1715" s="0">
        <f>HYPERLINK("https://dl.dropboxusercontent.com/scl/fi/6nkogq7hu4j7zfjw6njk0/ottocuset90838.jpg?rlkey=cj305fgkt44jnskl2cvvncm6k&amp;dl=0","Click to download Image")</f>
      </c>
      <c r="C1715" s="0" t="inlineStr">
        <is>
          <t>Otto Infant Set</t>
        </is>
      </c>
      <c r="D1715" s="0" t="inlineStr">
        <is>
          <t>'123736</t>
        </is>
      </c>
      <c r="E1715" s="0" t="inlineStr">
        <is>
          <t>CU OTTO I RL:123736A-0-3M</t>
        </is>
      </c>
      <c r="F1715" s="0" t="inlineStr">
        <is>
          <t>'810123736003</t>
        </is>
      </c>
      <c r="G1715" s="0" t="inlineStr">
        <is>
          <t>INFANT</t>
        </is>
      </c>
      <c r="H1715" s="0" t="inlineStr">
        <is>
          <t>0-3M</t>
        </is>
      </c>
      <c r="I1715" s="0">
        <v>29.99</v>
      </c>
      <c r="J1715" s="0">
        <v>8</v>
      </c>
    </row>
    <row r="1716" spans="1:10" customHeight="0">
      <c r="A1716" s="0">
        <f>HYPERLINK("https://dl.dropboxusercontent.com/scl/fi/6nkogq7hu4j7zfjw6njk0/ottocuset90838.jpg?rlkey=cj305fgkt44jnskl2cvvncm6k&amp;dl=0","Click to download Image")</f>
      </c>
      <c r="C1716" s="0" t="inlineStr">
        <is>
          <t>Otto Infant Set</t>
        </is>
      </c>
      <c r="D1716" s="0" t="inlineStr">
        <is>
          <t>'123736</t>
        </is>
      </c>
      <c r="E1716" s="0" t="inlineStr">
        <is>
          <t>CU OTTO I RL:123736B-3-6M</t>
        </is>
      </c>
      <c r="F1716" s="0" t="inlineStr">
        <is>
          <t>'810123736010</t>
        </is>
      </c>
      <c r="G1716" s="0" t="inlineStr">
        <is>
          <t>INFANT</t>
        </is>
      </c>
      <c r="H1716" s="0" t="inlineStr">
        <is>
          <t>3-6M</t>
        </is>
      </c>
      <c r="I1716" s="0">
        <v>29.99</v>
      </c>
      <c r="J1716" s="0">
        <v>5</v>
      </c>
    </row>
    <row r="1717" spans="1:10" customHeight="0">
      <c r="A1717" s="0">
        <f>HYPERLINK("https://dl.dropboxusercontent.com/scl/fi/6nkogq7hu4j7zfjw6njk0/ottocuset90838.jpg?rlkey=cj305fgkt44jnskl2cvvncm6k&amp;dl=0","Click to download Image")</f>
      </c>
      <c r="C1717" s="0" t="inlineStr">
        <is>
          <t>Otto Infant Set</t>
        </is>
      </c>
      <c r="D1717" s="0" t="inlineStr">
        <is>
          <t>'123736</t>
        </is>
      </c>
      <c r="E1717" s="0" t="inlineStr">
        <is>
          <t>CU OTTO I RL:123736C-6-9M</t>
        </is>
      </c>
      <c r="F1717" s="0" t="inlineStr">
        <is>
          <t>'810123736027</t>
        </is>
      </c>
      <c r="G1717" s="0" t="inlineStr">
        <is>
          <t>INFANT</t>
        </is>
      </c>
      <c r="H1717" s="0" t="inlineStr">
        <is>
          <t>6-9M</t>
        </is>
      </c>
      <c r="I1717" s="0">
        <v>29.99</v>
      </c>
      <c r="J1717" s="0">
        <v>4</v>
      </c>
    </row>
    <row r="1718" spans="1:10" customHeight="0">
      <c r="A1718" s="0">
        <f>HYPERLINK("https://dl.dropboxusercontent.com/scl/fi/6nkogq7hu4j7zfjw6njk0/ottocuset90838.jpg?rlkey=cj305fgkt44jnskl2cvvncm6k&amp;dl=0","Click to download Image")</f>
      </c>
      <c r="C1718" s="0" t="inlineStr">
        <is>
          <t>Otto Infant Set</t>
        </is>
      </c>
      <c r="D1718" s="0" t="inlineStr">
        <is>
          <t>'123736</t>
        </is>
      </c>
      <c r="E1718" s="0" t="inlineStr">
        <is>
          <t>CU OTTO I RL:123736F-12M</t>
        </is>
      </c>
      <c r="F1718" s="0" t="inlineStr">
        <is>
          <t>'810123736034</t>
        </is>
      </c>
      <c r="G1718" s="0" t="inlineStr">
        <is>
          <t>INFANT</t>
        </is>
      </c>
      <c r="H1718" s="0" t="inlineStr">
        <is>
          <t>12M</t>
        </is>
      </c>
      <c r="I1718" s="0">
        <v>29.99</v>
      </c>
      <c r="J1718" s="0">
        <v>5</v>
      </c>
    </row>
    <row r="1719" spans="1:10" customHeight="0">
      <c r="A1719" s="0">
        <f>HYPERLINK("https://dl.dropboxusercontent.com/scl/fi/6nkogq7hu4j7zfjw6njk0/ottocuset90838.jpg?rlkey=cj305fgkt44jnskl2cvvncm6k&amp;dl=0","Click to download Image")</f>
      </c>
      <c r="C1719" s="0" t="inlineStr">
        <is>
          <t>Otto Infant Set</t>
        </is>
      </c>
      <c r="D1719" s="0" t="inlineStr">
        <is>
          <t>'123736</t>
        </is>
      </c>
      <c r="E1719" s="0" t="inlineStr">
        <is>
          <t>CU OTTO I RL 12PK:123736Z-12PK</t>
        </is>
      </c>
      <c r="F1719" s="0" t="inlineStr">
        <is>
          <t>'810123736997</t>
        </is>
      </c>
      <c r="G1719" s="0" t="inlineStr">
        <is>
          <t>INFANT</t>
        </is>
      </c>
      <c r="H1719" s="0" t="inlineStr">
        <is>
          <t>12 PACK</t>
        </is>
      </c>
      <c r="I1719" s="0">
        <v>288</v>
      </c>
      <c r="J1719" s="0">
        <v>1</v>
      </c>
    </row>
    <row r="1720" spans="1:10" customHeight="0">
      <c r="A1720" s="0">
        <f>HYPERLINK("https://dl.dropboxusercontent.com/scl/fi/lrr98aoiz73yzfwy6w0dr/ottondsuset68656.jpg?rlkey=l8buj481pz11jgyz4nr0ylbpq&amp;dl=0","Click to download Image")</f>
      </c>
      <c r="C1720" s="0" t="inlineStr">
        <is>
          <t>Otto Infant Set</t>
        </is>
      </c>
      <c r="D1720" s="0" t="inlineStr">
        <is>
          <t>'123737</t>
        </is>
      </c>
      <c r="E1720" s="0" t="inlineStr">
        <is>
          <t>NDSU OTTO I GN:123737A-0-3M</t>
        </is>
      </c>
      <c r="F1720" s="0" t="inlineStr">
        <is>
          <t>'813123737001</t>
        </is>
      </c>
      <c r="G1720" s="0" t="inlineStr">
        <is>
          <t>INFANT</t>
        </is>
      </c>
      <c r="H1720" s="0" t="inlineStr">
        <is>
          <t>0-3M</t>
        </is>
      </c>
      <c r="I1720" s="0">
        <v>29.99</v>
      </c>
      <c r="J1720" s="0">
        <v>8</v>
      </c>
    </row>
    <row r="1721" spans="1:10" customHeight="0">
      <c r="A1721" s="0">
        <f>HYPERLINK("https://dl.dropboxusercontent.com/scl/fi/lrr98aoiz73yzfwy6w0dr/ottondsuset68656.jpg?rlkey=l8buj481pz11jgyz4nr0ylbpq&amp;dl=0","Click to download Image")</f>
      </c>
      <c r="C1721" s="0" t="inlineStr">
        <is>
          <t>Otto Infant Set</t>
        </is>
      </c>
      <c r="D1721" s="0" t="inlineStr">
        <is>
          <t>'123737</t>
        </is>
      </c>
      <c r="E1721" s="0" t="inlineStr">
        <is>
          <t>NDSU OTTO I GN:123737B-3-6M</t>
        </is>
      </c>
      <c r="F1721" s="0" t="inlineStr">
        <is>
          <t>'813123737018</t>
        </is>
      </c>
      <c r="G1721" s="0" t="inlineStr">
        <is>
          <t>INFANT</t>
        </is>
      </c>
      <c r="H1721" s="0" t="inlineStr">
        <is>
          <t>3-6M</t>
        </is>
      </c>
      <c r="I1721" s="0">
        <v>29.99</v>
      </c>
      <c r="J1721" s="0">
        <v>7</v>
      </c>
    </row>
    <row r="1722" spans="1:10" customHeight="0">
      <c r="A1722" s="0">
        <f>HYPERLINK("https://dl.dropboxusercontent.com/scl/fi/lrr98aoiz73yzfwy6w0dr/ottondsuset68656.jpg?rlkey=l8buj481pz11jgyz4nr0ylbpq&amp;dl=0","Click to download Image")</f>
      </c>
      <c r="C1722" s="0" t="inlineStr">
        <is>
          <t>Otto Infant Set</t>
        </is>
      </c>
      <c r="D1722" s="0" t="inlineStr">
        <is>
          <t>'123737</t>
        </is>
      </c>
      <c r="E1722" s="0" t="inlineStr">
        <is>
          <t>NDSU OTTO I GN:123737C-6-9M</t>
        </is>
      </c>
      <c r="F1722" s="0" t="inlineStr">
        <is>
          <t>'813123737025</t>
        </is>
      </c>
      <c r="G1722" s="0" t="inlineStr">
        <is>
          <t>INFANT</t>
        </is>
      </c>
      <c r="H1722" s="0" t="inlineStr">
        <is>
          <t>6-9M</t>
        </is>
      </c>
      <c r="I1722" s="0">
        <v>29.99</v>
      </c>
      <c r="J1722" s="0">
        <v>5</v>
      </c>
    </row>
    <row r="1723" spans="1:10" customHeight="0">
      <c r="A1723" s="0">
        <f>HYPERLINK("https://dl.dropboxusercontent.com/scl/fi/lrr98aoiz73yzfwy6w0dr/ottondsuset68656.jpg?rlkey=l8buj481pz11jgyz4nr0ylbpq&amp;dl=0","Click to download Image")</f>
      </c>
      <c r="C1723" s="0" t="inlineStr">
        <is>
          <t>Otto Infant Set</t>
        </is>
      </c>
      <c r="D1723" s="0" t="inlineStr">
        <is>
          <t>'123737</t>
        </is>
      </c>
      <c r="E1723" s="0" t="inlineStr">
        <is>
          <t>NDSU OTTO I GN:123737F-12M</t>
        </is>
      </c>
      <c r="F1723" s="0" t="inlineStr">
        <is>
          <t>'813123737032</t>
        </is>
      </c>
      <c r="G1723" s="0" t="inlineStr">
        <is>
          <t>INFANT</t>
        </is>
      </c>
      <c r="H1723" s="0" t="inlineStr">
        <is>
          <t>12M</t>
        </is>
      </c>
      <c r="I1723" s="0">
        <v>29.99</v>
      </c>
      <c r="J1723" s="0">
        <v>5</v>
      </c>
    </row>
    <row r="1724" spans="1:10" customHeight="0">
      <c r="A1724" s="0">
        <f>HYPERLINK("https://dl.dropboxusercontent.com/scl/fi/lrr98aoiz73yzfwy6w0dr/ottondsuset68656.jpg?rlkey=l8buj481pz11jgyz4nr0ylbpq&amp;dl=0","Click to download Image")</f>
      </c>
      <c r="C1724" s="0" t="inlineStr">
        <is>
          <t>Otto Infant Set</t>
        </is>
      </c>
      <c r="D1724" s="0" t="inlineStr">
        <is>
          <t>'123737</t>
        </is>
      </c>
      <c r="E1724" s="0" t="inlineStr">
        <is>
          <t>NDSU OTTO I GN 12PK:123737Z-12PK</t>
        </is>
      </c>
      <c r="F1724" s="0" t="inlineStr">
        <is>
          <t>'813123737995</t>
        </is>
      </c>
      <c r="G1724" s="0" t="inlineStr">
        <is>
          <t>INFANT</t>
        </is>
      </c>
      <c r="H1724" s="0" t="inlineStr">
        <is>
          <t>12 PACK</t>
        </is>
      </c>
      <c r="I1724" s="0">
        <v>288</v>
      </c>
      <c r="J1724" s="0">
        <v>1</v>
      </c>
    </row>
    <row r="1725" spans="1:10" customHeight="0">
      <c r="A1725" s="0">
        <f>HYPERLINK("https://dl.dropboxusercontent.com/scl/fi/k93v0ybz7i8llv3u6ql2z/ottosdsuset04495.jpg?rlkey=zy6pv2dvbmhouddfl8u1wtltd&amp;dl=0","Click to download Image")</f>
      </c>
      <c r="C1725" s="0" t="inlineStr">
        <is>
          <t>Otto Infant Set</t>
        </is>
      </c>
      <c r="D1725" s="0" t="inlineStr">
        <is>
          <t>'123841</t>
        </is>
      </c>
      <c r="E1725" s="0" t="inlineStr">
        <is>
          <t>SDSU OTTO I RL:123841A-0-3M</t>
        </is>
      </c>
      <c r="F1725" s="0" t="inlineStr">
        <is>
          <t>'816123841006</t>
        </is>
      </c>
      <c r="G1725" s="0" t="inlineStr">
        <is>
          <t>INFANT</t>
        </is>
      </c>
      <c r="H1725" s="0" t="inlineStr">
        <is>
          <t>0-3M</t>
        </is>
      </c>
      <c r="I1725" s="0">
        <v>29.99</v>
      </c>
      <c r="J1725" s="0">
        <v>8</v>
      </c>
    </row>
    <row r="1726" spans="1:10" customHeight="0">
      <c r="A1726" s="0">
        <f>HYPERLINK("https://dl.dropboxusercontent.com/scl/fi/k93v0ybz7i8llv3u6ql2z/ottosdsuset04495.jpg?rlkey=zy6pv2dvbmhouddfl8u1wtltd&amp;dl=0","Click to download Image")</f>
      </c>
      <c r="C1726" s="0" t="inlineStr">
        <is>
          <t>Otto Infant Set</t>
        </is>
      </c>
      <c r="D1726" s="0" t="inlineStr">
        <is>
          <t>'123841</t>
        </is>
      </c>
      <c r="E1726" s="0" t="inlineStr">
        <is>
          <t>SDSU OTTO I RL:123841B-3-6M</t>
        </is>
      </c>
      <c r="F1726" s="0" t="inlineStr">
        <is>
          <t>'816123841013</t>
        </is>
      </c>
      <c r="G1726" s="0" t="inlineStr">
        <is>
          <t>INFANT</t>
        </is>
      </c>
      <c r="H1726" s="0" t="inlineStr">
        <is>
          <t>3-6M</t>
        </is>
      </c>
      <c r="I1726" s="0">
        <v>29.99</v>
      </c>
      <c r="J1726" s="0">
        <v>7</v>
      </c>
    </row>
    <row r="1727" spans="1:10" customHeight="0">
      <c r="A1727" s="0">
        <f>HYPERLINK("https://dl.dropboxusercontent.com/scl/fi/k93v0ybz7i8llv3u6ql2z/ottosdsuset04495.jpg?rlkey=zy6pv2dvbmhouddfl8u1wtltd&amp;dl=0","Click to download Image")</f>
      </c>
      <c r="C1727" s="0" t="inlineStr">
        <is>
          <t>Otto Infant Set</t>
        </is>
      </c>
      <c r="D1727" s="0" t="inlineStr">
        <is>
          <t>'123841</t>
        </is>
      </c>
      <c r="E1727" s="0" t="inlineStr">
        <is>
          <t>SDSU OTTO I RL:123841C-6-9M</t>
        </is>
      </c>
      <c r="F1727" s="0" t="inlineStr">
        <is>
          <t>'816123841020</t>
        </is>
      </c>
      <c r="G1727" s="0" t="inlineStr">
        <is>
          <t>INFANT</t>
        </is>
      </c>
      <c r="H1727" s="0" t="inlineStr">
        <is>
          <t>6-9M</t>
        </is>
      </c>
      <c r="I1727" s="0">
        <v>29.99</v>
      </c>
      <c r="J1727" s="0">
        <v>5</v>
      </c>
    </row>
    <row r="1728" spans="1:10" customHeight="0">
      <c r="A1728" s="0">
        <f>HYPERLINK("https://dl.dropboxusercontent.com/scl/fi/k93v0ybz7i8llv3u6ql2z/ottosdsuset04495.jpg?rlkey=zy6pv2dvbmhouddfl8u1wtltd&amp;dl=0","Click to download Image")</f>
      </c>
      <c r="C1728" s="0" t="inlineStr">
        <is>
          <t>Otto Infant Set</t>
        </is>
      </c>
      <c r="D1728" s="0" t="inlineStr">
        <is>
          <t>'123841</t>
        </is>
      </c>
      <c r="E1728" s="0" t="inlineStr">
        <is>
          <t>SDSU OTTO I RL:123841F-12M</t>
        </is>
      </c>
      <c r="F1728" s="0" t="inlineStr">
        <is>
          <t>'816123841037</t>
        </is>
      </c>
      <c r="G1728" s="0" t="inlineStr">
        <is>
          <t>INFANT</t>
        </is>
      </c>
      <c r="H1728" s="0" t="inlineStr">
        <is>
          <t>12M</t>
        </is>
      </c>
      <c r="I1728" s="0">
        <v>29.99</v>
      </c>
      <c r="J1728" s="0">
        <v>5</v>
      </c>
    </row>
    <row r="1729" spans="1:10" customHeight="0">
      <c r="A1729" s="0">
        <f>HYPERLINK("https://dl.dropboxusercontent.com/scl/fi/k93v0ybz7i8llv3u6ql2z/ottosdsuset04495.jpg?rlkey=zy6pv2dvbmhouddfl8u1wtltd&amp;dl=0","Click to download Image")</f>
      </c>
      <c r="C1729" s="0" t="inlineStr">
        <is>
          <t>Otto Infant Set</t>
        </is>
      </c>
      <c r="D1729" s="0" t="inlineStr">
        <is>
          <t>'123841</t>
        </is>
      </c>
      <c r="E1729" s="0" t="inlineStr">
        <is>
          <t>SDSU OTTO I RL 12PK:123841Z-12PK</t>
        </is>
      </c>
      <c r="F1729" s="0" t="inlineStr">
        <is>
          <t>'816123841990</t>
        </is>
      </c>
      <c r="G1729" s="0" t="inlineStr">
        <is>
          <t>INFANT</t>
        </is>
      </c>
      <c r="H1729" s="0" t="inlineStr">
        <is>
          <t>12 PACK</t>
        </is>
      </c>
      <c r="I1729" s="0">
        <v>288</v>
      </c>
      <c r="J1729" s="0">
        <v>1</v>
      </c>
    </row>
    <row r="1730" spans="1:10" customHeight="0">
      <c r="A1730" s="0">
        <f>HYPERLINK("https://dl.dropboxusercontent.com/scl/fi/kgmzqnwy3hshmw6vk6rxm/usdotttoset23756.jpg?rlkey=lxs4nsv4knbtwwd37umuf48cr&amp;dl=0","Click to download Image")</f>
      </c>
      <c r="C1730" s="0" t="inlineStr">
        <is>
          <t>Otto Infant Set</t>
        </is>
      </c>
      <c r="D1730" s="0" t="inlineStr">
        <is>
          <t>'123916</t>
        </is>
      </c>
      <c r="E1730" s="0" t="inlineStr">
        <is>
          <t>USD OTTO I BK:123916A-0-3M</t>
        </is>
      </c>
      <c r="F1730" s="0" t="inlineStr">
        <is>
          <t>'811123916006</t>
        </is>
      </c>
      <c r="G1730" s="0" t="inlineStr">
        <is>
          <t>INFANT</t>
        </is>
      </c>
      <c r="H1730" s="0" t="inlineStr">
        <is>
          <t>0-3M</t>
        </is>
      </c>
      <c r="I1730" s="0">
        <v>29.99</v>
      </c>
      <c r="J1730" s="0">
        <v>19</v>
      </c>
    </row>
    <row r="1731" spans="1:10" customHeight="0">
      <c r="A1731" s="0">
        <f>HYPERLINK("https://dl.dropboxusercontent.com/scl/fi/kgmzqnwy3hshmw6vk6rxm/usdotttoset23756.jpg?rlkey=lxs4nsv4knbtwwd37umuf48cr&amp;dl=0","Click to download Image")</f>
      </c>
      <c r="C1731" s="0" t="inlineStr">
        <is>
          <t>Otto Infant Set</t>
        </is>
      </c>
      <c r="D1731" s="0" t="inlineStr">
        <is>
          <t>'123916</t>
        </is>
      </c>
      <c r="E1731" s="0" t="inlineStr">
        <is>
          <t>USD OTTO I BK:123916B-3-6M</t>
        </is>
      </c>
      <c r="F1731" s="0" t="inlineStr">
        <is>
          <t>'811123916013</t>
        </is>
      </c>
      <c r="G1731" s="0" t="inlineStr">
        <is>
          <t>INFANT</t>
        </is>
      </c>
      <c r="H1731" s="0" t="inlineStr">
        <is>
          <t>3-6M</t>
        </is>
      </c>
      <c r="I1731" s="0">
        <v>29.99</v>
      </c>
      <c r="J1731" s="0">
        <v>21</v>
      </c>
    </row>
    <row r="1732" spans="1:10" customHeight="0">
      <c r="A1732" s="0">
        <f>HYPERLINK("https://dl.dropboxusercontent.com/scl/fi/kgmzqnwy3hshmw6vk6rxm/usdotttoset23756.jpg?rlkey=lxs4nsv4knbtwwd37umuf48cr&amp;dl=0","Click to download Image")</f>
      </c>
      <c r="C1732" s="0" t="inlineStr">
        <is>
          <t>Otto Infant Set</t>
        </is>
      </c>
      <c r="D1732" s="0" t="inlineStr">
        <is>
          <t>'123916</t>
        </is>
      </c>
      <c r="E1732" s="0" t="inlineStr">
        <is>
          <t>USD OTTO I BK:123916C-6-9M</t>
        </is>
      </c>
      <c r="F1732" s="0" t="inlineStr">
        <is>
          <t>'811123916020</t>
        </is>
      </c>
      <c r="G1732" s="0" t="inlineStr">
        <is>
          <t>INFANT</t>
        </is>
      </c>
      <c r="H1732" s="0" t="inlineStr">
        <is>
          <t>6-9M</t>
        </is>
      </c>
      <c r="I1732" s="0">
        <v>29.99</v>
      </c>
      <c r="J1732" s="0">
        <v>21</v>
      </c>
    </row>
    <row r="1733" spans="1:10" customHeight="0">
      <c r="A1733" s="0">
        <f>HYPERLINK("https://dl.dropboxusercontent.com/scl/fi/kgmzqnwy3hshmw6vk6rxm/usdotttoset23756.jpg?rlkey=lxs4nsv4knbtwwd37umuf48cr&amp;dl=0","Click to download Image")</f>
      </c>
      <c r="C1733" s="0" t="inlineStr">
        <is>
          <t>Otto Infant Set</t>
        </is>
      </c>
      <c r="D1733" s="0" t="inlineStr">
        <is>
          <t>'123916</t>
        </is>
      </c>
      <c r="E1733" s="0" t="inlineStr">
        <is>
          <t>USD OTTO I BK:123916F-12M</t>
        </is>
      </c>
      <c r="F1733" s="0" t="inlineStr">
        <is>
          <t>'811123916037</t>
        </is>
      </c>
      <c r="G1733" s="0" t="inlineStr">
        <is>
          <t>INFANT</t>
        </is>
      </c>
      <c r="H1733" s="0" t="inlineStr">
        <is>
          <t>12M</t>
        </is>
      </c>
      <c r="I1733" s="0">
        <v>29.99</v>
      </c>
      <c r="J1733" s="0">
        <v>21</v>
      </c>
    </row>
    <row r="1734" spans="1:10" customHeight="0">
      <c r="A1734" s="0">
        <f>HYPERLINK("https://dl.dropboxusercontent.com/scl/fi/kgmzqnwy3hshmw6vk6rxm/usdotttoset23756.jpg?rlkey=lxs4nsv4knbtwwd37umuf48cr&amp;dl=0","Click to download Image")</f>
      </c>
      <c r="C1734" s="0" t="inlineStr">
        <is>
          <t>Otto Infant Set</t>
        </is>
      </c>
      <c r="D1734" s="0" t="inlineStr">
        <is>
          <t>'123916</t>
        </is>
      </c>
      <c r="E1734" s="0" t="inlineStr">
        <is>
          <t>USD OTTO I BK 12PK:123916Z-12PK</t>
        </is>
      </c>
      <c r="F1734" s="0" t="inlineStr">
        <is>
          <t>'811123916990</t>
        </is>
      </c>
      <c r="G1734" s="0" t="inlineStr">
        <is>
          <t>INFANT</t>
        </is>
      </c>
      <c r="H1734" s="0" t="inlineStr">
        <is>
          <t>12 PACK</t>
        </is>
      </c>
      <c r="I1734" s="0">
        <v>288</v>
      </c>
      <c r="J1734" s="0">
        <v>6</v>
      </c>
    </row>
    <row r="1735" spans="1:10" customHeight="0">
      <c r="A1735" s="0">
        <f>HYPERLINK("https://dl.dropboxusercontent.com/scl/fi/osnwi69cd08zxlda2p943/121133-f.jpg?rlkey=ty25m2snxe2zxbw00udgi38id&amp;dl=0","Click to download Image")</f>
      </c>
      <c r="B1735" s="0">
        <f>HYPERLINK("https://dl.dropboxusercontent.com/scl/fi/3ude9a4e8qln55u0n9054/mens-t-shirt-size-chartsriley.jpg?rlkey=tlxinzfe2hhrn7lkl3mcu8jav&amp;dl=0","Click to download SizeChart")</f>
      </c>
      <c r="C1735" s="0" t="inlineStr">
        <is>
          <t>Riley Mens Long Sleeve Shirt</t>
        </is>
      </c>
      <c r="D1735" s="0" t="inlineStr">
        <is>
          <t>'121133</t>
        </is>
      </c>
      <c r="E1735" s="0" t="inlineStr">
        <is>
          <t>UNI RILEY M PURPLE:121133A-S</t>
        </is>
      </c>
      <c r="F1735" s="0" t="inlineStr">
        <is>
          <t>'802121133045</t>
        </is>
      </c>
      <c r="G1735" s="0" t="inlineStr">
        <is>
          <t>MENS</t>
        </is>
      </c>
      <c r="H1735" s="0" t="inlineStr">
        <is>
          <t>S</t>
        </is>
      </c>
      <c r="I1735" s="0">
        <v>29.99</v>
      </c>
      <c r="J1735" s="0">
        <v>1</v>
      </c>
    </row>
    <row r="1736" spans="1:10" customHeight="0">
      <c r="A1736" s="0">
        <f>HYPERLINK("https://dl.dropboxusercontent.com/scl/fi/osnwi69cd08zxlda2p943/121133-f.jpg?rlkey=ty25m2snxe2zxbw00udgi38id&amp;dl=0","Click to download Image")</f>
      </c>
      <c r="B1736" s="0">
        <f>HYPERLINK("https://dl.dropboxusercontent.com/scl/fi/3ude9a4e8qln55u0n9054/mens-t-shirt-size-chartsriley.jpg?rlkey=tlxinzfe2hhrn7lkl3mcu8jav&amp;dl=0","Click to download SizeChart")</f>
      </c>
      <c r="C1736" s="0" t="inlineStr">
        <is>
          <t>Riley Mens Long Sleeve Shirt</t>
        </is>
      </c>
      <c r="D1736" s="0" t="inlineStr">
        <is>
          <t>'121133</t>
        </is>
      </c>
      <c r="E1736" s="0" t="inlineStr">
        <is>
          <t>UNI RILEY M PURPLE:121133B-M</t>
        </is>
      </c>
      <c r="F1736" s="0" t="inlineStr">
        <is>
          <t>'802121133052</t>
        </is>
      </c>
      <c r="G1736" s="0" t="inlineStr">
        <is>
          <t>MENS</t>
        </is>
      </c>
      <c r="H1736" s="0" t="inlineStr">
        <is>
          <t>M</t>
        </is>
      </c>
      <c r="I1736" s="0">
        <v>29.99</v>
      </c>
      <c r="J1736" s="0">
        <v>2</v>
      </c>
    </row>
    <row r="1737" spans="1:10" customHeight="0">
      <c r="A1737" s="0">
        <f>HYPERLINK("https://dl.dropboxusercontent.com/scl/fi/osnwi69cd08zxlda2p943/121133-f.jpg?rlkey=ty25m2snxe2zxbw00udgi38id&amp;dl=0","Click to download Image")</f>
      </c>
      <c r="B1737" s="0">
        <f>HYPERLINK("https://dl.dropboxusercontent.com/scl/fi/3ude9a4e8qln55u0n9054/mens-t-shirt-size-chartsriley.jpg?rlkey=tlxinzfe2hhrn7lkl3mcu8jav&amp;dl=0","Click to download SizeChart")</f>
      </c>
      <c r="C1737" s="0" t="inlineStr">
        <is>
          <t>Riley Mens Long Sleeve Shirt</t>
        </is>
      </c>
      <c r="D1737" s="0" t="inlineStr">
        <is>
          <t>'121133</t>
        </is>
      </c>
      <c r="E1737" s="0" t="inlineStr">
        <is>
          <t>UNI RILEY M PURPLE:121133C-L</t>
        </is>
      </c>
      <c r="F1737" s="0" t="inlineStr">
        <is>
          <t>'802121133069</t>
        </is>
      </c>
      <c r="G1737" s="0" t="inlineStr">
        <is>
          <t>MENS</t>
        </is>
      </c>
      <c r="H1737" s="0" t="inlineStr">
        <is>
          <t>L</t>
        </is>
      </c>
      <c r="I1737" s="0">
        <v>29.99</v>
      </c>
      <c r="J1737" s="0">
        <v>3</v>
      </c>
    </row>
    <row r="1738" spans="1:10" customHeight="0">
      <c r="A1738" s="0">
        <f>HYPERLINK("https://dl.dropboxusercontent.com/scl/fi/osnwi69cd08zxlda2p943/121133-f.jpg?rlkey=ty25m2snxe2zxbw00udgi38id&amp;dl=0","Click to download Image")</f>
      </c>
      <c r="B1738" s="0">
        <f>HYPERLINK("https://dl.dropboxusercontent.com/scl/fi/3ude9a4e8qln55u0n9054/mens-t-shirt-size-chartsriley.jpg?rlkey=tlxinzfe2hhrn7lkl3mcu8jav&amp;dl=0","Click to download SizeChart")</f>
      </c>
      <c r="C1738" s="0" t="inlineStr">
        <is>
          <t>Riley Mens Long Sleeve Shirt</t>
        </is>
      </c>
      <c r="D1738" s="0" t="inlineStr">
        <is>
          <t>'121133</t>
        </is>
      </c>
      <c r="E1738" s="0" t="inlineStr">
        <is>
          <t>UNI RILEY M PURPLE:121133D-XL</t>
        </is>
      </c>
      <c r="F1738" s="0" t="inlineStr">
        <is>
          <t>'802121133076</t>
        </is>
      </c>
      <c r="G1738" s="0" t="inlineStr">
        <is>
          <t>MENS</t>
        </is>
      </c>
      <c r="H1738" s="0" t="inlineStr">
        <is>
          <t>XL</t>
        </is>
      </c>
      <c r="I1738" s="0">
        <v>29.99</v>
      </c>
      <c r="J1738" s="0">
        <v>5</v>
      </c>
    </row>
    <row r="1739" spans="1:10" customHeight="0">
      <c r="A1739" s="0">
        <f>HYPERLINK("https://dl.dropboxusercontent.com/scl/fi/osnwi69cd08zxlda2p943/121133-f.jpg?rlkey=ty25m2snxe2zxbw00udgi38id&amp;dl=0","Click to download Image")</f>
      </c>
      <c r="B1739" s="0">
        <f>HYPERLINK("https://dl.dropboxusercontent.com/scl/fi/3ude9a4e8qln55u0n9054/mens-t-shirt-size-chartsriley.jpg?rlkey=tlxinzfe2hhrn7lkl3mcu8jav&amp;dl=0","Click to download SizeChart")</f>
      </c>
      <c r="C1739" s="0" t="inlineStr">
        <is>
          <t>Riley Mens Long Sleeve Shirt</t>
        </is>
      </c>
      <c r="D1739" s="0" t="inlineStr">
        <is>
          <t>'121133</t>
        </is>
      </c>
      <c r="E1739" s="0" t="inlineStr">
        <is>
          <t>UNI RILEY M PURPLE:121133E-2XL</t>
        </is>
      </c>
      <c r="F1739" s="0" t="inlineStr">
        <is>
          <t>'802121133083</t>
        </is>
      </c>
      <c r="G1739" s="0" t="inlineStr">
        <is>
          <t>MENS</t>
        </is>
      </c>
      <c r="H1739" s="0" t="inlineStr">
        <is>
          <t>2XL</t>
        </is>
      </c>
      <c r="I1739" s="0">
        <v>31.99</v>
      </c>
      <c r="J1739" s="0">
        <v>4</v>
      </c>
    </row>
    <row r="1740" spans="1:10" customHeight="0">
      <c r="A1740" s="0">
        <f>HYPERLINK("https://dl.dropboxusercontent.com/scl/fi/osnwi69cd08zxlda2p943/121133-f.jpg?rlkey=ty25m2snxe2zxbw00udgi38id&amp;dl=0","Click to download Image")</f>
      </c>
      <c r="B1740" s="0">
        <f>HYPERLINK("https://dl.dropboxusercontent.com/scl/fi/3ude9a4e8qln55u0n9054/mens-t-shirt-size-chartsriley.jpg?rlkey=tlxinzfe2hhrn7lkl3mcu8jav&amp;dl=0","Click to download SizeChart")</f>
      </c>
      <c r="C1740" s="0" t="inlineStr">
        <is>
          <t>Riley Mens Long Sleeve Shirt</t>
        </is>
      </c>
      <c r="D1740" s="0" t="inlineStr">
        <is>
          <t>'121133</t>
        </is>
      </c>
      <c r="E1740" s="0" t="inlineStr">
        <is>
          <t>UNI RILEY M PURPLE:121133F-3XL</t>
        </is>
      </c>
      <c r="F1740" s="0" t="inlineStr">
        <is>
          <t>'802121133090</t>
        </is>
      </c>
      <c r="G1740" s="0" t="inlineStr">
        <is>
          <t>MENS</t>
        </is>
      </c>
      <c r="H1740" s="0" t="inlineStr">
        <is>
          <t>3XL</t>
        </is>
      </c>
      <c r="I1740" s="0">
        <v>31.99</v>
      </c>
      <c r="J1740" s="0">
        <v>1</v>
      </c>
    </row>
    <row r="1741" spans="1:10" customHeight="0">
      <c r="A1741" s="0">
        <f>HYPERLINK("https://dl.dropboxusercontent.com/scl/fi/osnwi69cd08zxlda2p943/121133-f.jpg?rlkey=ty25m2snxe2zxbw00udgi38id&amp;dl=0","Click to download Image")</f>
      </c>
      <c r="B1741" s="0">
        <f>HYPERLINK("https://dl.dropboxusercontent.com/scl/fi/3ude9a4e8qln55u0n9054/mens-t-shirt-size-chartsriley.jpg?rlkey=tlxinzfe2hhrn7lkl3mcu8jav&amp;dl=0","Click to download SizeChart")</f>
      </c>
      <c r="C1741" s="0" t="inlineStr">
        <is>
          <t>Riley Mens Long Sleeve Shirt</t>
        </is>
      </c>
      <c r="D1741" s="0" t="inlineStr">
        <is>
          <t>'121133</t>
        </is>
      </c>
      <c r="E1741" s="0" t="inlineStr">
        <is>
          <t>UNI RILEY M PURPLE 12 PACK:121133Z-12PK</t>
        </is>
      </c>
      <c r="F1741" s="0" t="inlineStr">
        <is>
          <t>'802121133991</t>
        </is>
      </c>
      <c r="G1741" s="0" t="inlineStr">
        <is>
          <t>MENS</t>
        </is>
      </c>
      <c r="H1741" s="0" t="inlineStr">
        <is>
          <t>12 PACK</t>
        </is>
      </c>
      <c r="I1741" s="0">
        <v>294</v>
      </c>
      <c r="J1741" s="0">
        <v>1</v>
      </c>
    </row>
    <row r="1742" spans="1:10" customHeight="0">
      <c r="A1742" s="0">
        <f>HYPERLINK("https://dl.dropboxusercontent.com/scl/fi/ku12b6b1ugc689tkien1z/124073-f.jpg?rlkey=ons7fh6k0x84qf9eyiaamsu1r&amp;dl=0","Click to download Image")</f>
      </c>
      <c r="B1742" s="0">
        <f>HYPERLINK("https://dl.dropboxusercontent.com/scl/fi/3ude9a4e8qln55u0n9054/mens-t-shirt-size-chartsriley.jpg?rlkey=tlxinzfe2hhrn7lkl3mcu8jav&amp;dl=0","Click to download SizeChart")</f>
      </c>
      <c r="C1742" s="0" t="inlineStr">
        <is>
          <t>Riley Mens Long Sleeve Shirt</t>
        </is>
      </c>
      <c r="D1742" s="0" t="inlineStr">
        <is>
          <t>'124073</t>
        </is>
      </c>
      <c r="E1742" s="0" t="inlineStr">
        <is>
          <t>USD RILEY M BK:124073A-S</t>
        </is>
      </c>
      <c r="F1742" s="0" t="inlineStr">
        <is>
          <t>'811124073043</t>
        </is>
      </c>
      <c r="G1742" s="0" t="inlineStr">
        <is>
          <t>MENS</t>
        </is>
      </c>
      <c r="H1742" s="0" t="inlineStr">
        <is>
          <t>S</t>
        </is>
      </c>
      <c r="I1742" s="0">
        <v>29.99</v>
      </c>
      <c r="J1742" s="0">
        <v>4</v>
      </c>
    </row>
    <row r="1743" spans="1:10" customHeight="0">
      <c r="A1743" s="0">
        <f>HYPERLINK("https://dl.dropboxusercontent.com/scl/fi/ku12b6b1ugc689tkien1z/124073-f.jpg?rlkey=ons7fh6k0x84qf9eyiaamsu1r&amp;dl=0","Click to download Image")</f>
      </c>
      <c r="B1743" s="0">
        <f>HYPERLINK("https://dl.dropboxusercontent.com/scl/fi/3ude9a4e8qln55u0n9054/mens-t-shirt-size-chartsriley.jpg?rlkey=tlxinzfe2hhrn7lkl3mcu8jav&amp;dl=0","Click to download SizeChart")</f>
      </c>
      <c r="C1743" s="0" t="inlineStr">
        <is>
          <t>Riley Mens Long Sleeve Shirt</t>
        </is>
      </c>
      <c r="D1743" s="0" t="inlineStr">
        <is>
          <t>'124073</t>
        </is>
      </c>
      <c r="E1743" s="0" t="inlineStr">
        <is>
          <t>USD RILEY M BK:124073B-M</t>
        </is>
      </c>
      <c r="F1743" s="0" t="inlineStr">
        <is>
          <t>'811124073050</t>
        </is>
      </c>
      <c r="G1743" s="0" t="inlineStr">
        <is>
          <t>MENS</t>
        </is>
      </c>
      <c r="H1743" s="0" t="inlineStr">
        <is>
          <t>M</t>
        </is>
      </c>
      <c r="I1743" s="0">
        <v>29.99</v>
      </c>
      <c r="J1743" s="0">
        <v>8</v>
      </c>
    </row>
    <row r="1744" spans="1:10" customHeight="0">
      <c r="A1744" s="0">
        <f>HYPERLINK("https://dl.dropboxusercontent.com/scl/fi/ku12b6b1ugc689tkien1z/124073-f.jpg?rlkey=ons7fh6k0x84qf9eyiaamsu1r&amp;dl=0","Click to download Image")</f>
      </c>
      <c r="B1744" s="0">
        <f>HYPERLINK("https://dl.dropboxusercontent.com/scl/fi/3ude9a4e8qln55u0n9054/mens-t-shirt-size-chartsriley.jpg?rlkey=tlxinzfe2hhrn7lkl3mcu8jav&amp;dl=0","Click to download SizeChart")</f>
      </c>
      <c r="C1744" s="0" t="inlineStr">
        <is>
          <t>Riley Mens Long Sleeve Shirt</t>
        </is>
      </c>
      <c r="D1744" s="0" t="inlineStr">
        <is>
          <t>'124073</t>
        </is>
      </c>
      <c r="E1744" s="0" t="inlineStr">
        <is>
          <t>USD RILEY M BK:124073C-L</t>
        </is>
      </c>
      <c r="F1744" s="0" t="inlineStr">
        <is>
          <t>'811124073067</t>
        </is>
      </c>
      <c r="G1744" s="0" t="inlineStr">
        <is>
          <t>MENS</t>
        </is>
      </c>
      <c r="H1744" s="0" t="inlineStr">
        <is>
          <t>L</t>
        </is>
      </c>
      <c r="I1744" s="0">
        <v>29.99</v>
      </c>
      <c r="J1744" s="0">
        <v>13</v>
      </c>
    </row>
    <row r="1745" spans="1:10" customHeight="0">
      <c r="A1745" s="0">
        <f>HYPERLINK("https://dl.dropboxusercontent.com/scl/fi/ku12b6b1ugc689tkien1z/124073-f.jpg?rlkey=ons7fh6k0x84qf9eyiaamsu1r&amp;dl=0","Click to download Image")</f>
      </c>
      <c r="B1745" s="0">
        <f>HYPERLINK("https://dl.dropboxusercontent.com/scl/fi/3ude9a4e8qln55u0n9054/mens-t-shirt-size-chartsriley.jpg?rlkey=tlxinzfe2hhrn7lkl3mcu8jav&amp;dl=0","Click to download SizeChart")</f>
      </c>
      <c r="C1745" s="0" t="inlineStr">
        <is>
          <t>Riley Mens Long Sleeve Shirt</t>
        </is>
      </c>
      <c r="D1745" s="0" t="inlineStr">
        <is>
          <t>'124073</t>
        </is>
      </c>
      <c r="E1745" s="0" t="inlineStr">
        <is>
          <t>USD RILEY M BK:124073D-XL</t>
        </is>
      </c>
      <c r="F1745" s="0" t="inlineStr">
        <is>
          <t>'811124073074</t>
        </is>
      </c>
      <c r="G1745" s="0" t="inlineStr">
        <is>
          <t>MENS</t>
        </is>
      </c>
      <c r="H1745" s="0" t="inlineStr">
        <is>
          <t>XL</t>
        </is>
      </c>
      <c r="I1745" s="0">
        <v>29.99</v>
      </c>
      <c r="J1745" s="0">
        <v>11</v>
      </c>
    </row>
    <row r="1746" spans="1:10" customHeight="0">
      <c r="A1746" s="0">
        <f>HYPERLINK("https://dl.dropboxusercontent.com/scl/fi/ku12b6b1ugc689tkien1z/124073-f.jpg?rlkey=ons7fh6k0x84qf9eyiaamsu1r&amp;dl=0","Click to download Image")</f>
      </c>
      <c r="B1746" s="0">
        <f>HYPERLINK("https://dl.dropboxusercontent.com/scl/fi/3ude9a4e8qln55u0n9054/mens-t-shirt-size-chartsriley.jpg?rlkey=tlxinzfe2hhrn7lkl3mcu8jav&amp;dl=0","Click to download SizeChart")</f>
      </c>
      <c r="C1746" s="0" t="inlineStr">
        <is>
          <t>Riley Mens Long Sleeve Shirt</t>
        </is>
      </c>
      <c r="D1746" s="0" t="inlineStr">
        <is>
          <t>'124073</t>
        </is>
      </c>
      <c r="E1746" s="0" t="inlineStr">
        <is>
          <t>USD RILEY M BK:124073E-2XL</t>
        </is>
      </c>
      <c r="F1746" s="0" t="inlineStr">
        <is>
          <t>'811124073081</t>
        </is>
      </c>
      <c r="G1746" s="0" t="inlineStr">
        <is>
          <t>MENS</t>
        </is>
      </c>
      <c r="H1746" s="0" t="inlineStr">
        <is>
          <t>2XL</t>
        </is>
      </c>
      <c r="I1746" s="0">
        <v>31.99</v>
      </c>
      <c r="J1746" s="0">
        <v>8</v>
      </c>
    </row>
    <row r="1747" spans="1:10" customHeight="0">
      <c r="A1747" s="0">
        <f>HYPERLINK("https://dl.dropboxusercontent.com/scl/fi/ku12b6b1ugc689tkien1z/124073-f.jpg?rlkey=ons7fh6k0x84qf9eyiaamsu1r&amp;dl=0","Click to download Image")</f>
      </c>
      <c r="B1747" s="0">
        <f>HYPERLINK("https://dl.dropboxusercontent.com/scl/fi/3ude9a4e8qln55u0n9054/mens-t-shirt-size-chartsriley.jpg?rlkey=tlxinzfe2hhrn7lkl3mcu8jav&amp;dl=0","Click to download SizeChart")</f>
      </c>
      <c r="C1747" s="0" t="inlineStr">
        <is>
          <t>Riley Mens Long Sleeve Shirt</t>
        </is>
      </c>
      <c r="D1747" s="0" t="inlineStr">
        <is>
          <t>'124073</t>
        </is>
      </c>
      <c r="E1747" s="0" t="inlineStr">
        <is>
          <t>USD RILEY M BK:124073F-3XL</t>
        </is>
      </c>
      <c r="F1747" s="0" t="inlineStr">
        <is>
          <t>'811124073098</t>
        </is>
      </c>
      <c r="G1747" s="0" t="inlineStr">
        <is>
          <t>MENS</t>
        </is>
      </c>
      <c r="H1747" s="0" t="inlineStr">
        <is>
          <t>3XL</t>
        </is>
      </c>
      <c r="I1747" s="0">
        <v>31.99</v>
      </c>
      <c r="J1747" s="0">
        <v>3</v>
      </c>
    </row>
    <row r="1748" spans="1:10" customHeight="0">
      <c r="A1748" s="0">
        <f>HYPERLINK("https://dl.dropboxusercontent.com/scl/fi/ku12b6b1ugc689tkien1z/124073-f.jpg?rlkey=ons7fh6k0x84qf9eyiaamsu1r&amp;dl=0","Click to download Image")</f>
      </c>
      <c r="B1748" s="0">
        <f>HYPERLINK("https://dl.dropboxusercontent.com/scl/fi/3ude9a4e8qln55u0n9054/mens-t-shirt-size-chartsriley.jpg?rlkey=tlxinzfe2hhrn7lkl3mcu8jav&amp;dl=0","Click to download SizeChart")</f>
      </c>
      <c r="C1748" s="0" t="inlineStr">
        <is>
          <t>Riley Mens Long Sleeve Shirt</t>
        </is>
      </c>
      <c r="D1748" s="0" t="inlineStr">
        <is>
          <t>'124073</t>
        </is>
      </c>
      <c r="E1748" s="0" t="inlineStr">
        <is>
          <t>USD RILEY M BK 12PK:124073Z-12PK</t>
        </is>
      </c>
      <c r="F1748" s="0" t="inlineStr">
        <is>
          <t>'811124073999</t>
        </is>
      </c>
      <c r="G1748" s="0" t="inlineStr">
        <is>
          <t>MENS</t>
        </is>
      </c>
      <c r="H1748" s="0" t="inlineStr">
        <is>
          <t>12 PACK</t>
        </is>
      </c>
      <c r="I1748" s="0">
        <v>294</v>
      </c>
      <c r="J1748" s="0">
        <v>3</v>
      </c>
    </row>
    <row r="1749" spans="1:10" customHeight="0">
      <c r="A1749" s="0">
        <f>HYPERLINK("https://dl.dropboxusercontent.com/scl/fi/oqduj4qh2cj3t38m8vybo/124086-f.jpg?rlkey=e3xzb5e5982bm6sqa5v6y29rx&amp;dl=0","Click to download Image")</f>
      </c>
      <c r="C1749" s="0" t="inlineStr">
        <is>
          <t>Santana Infant Bodysuit</t>
        </is>
      </c>
      <c r="D1749" s="0" t="inlineStr">
        <is>
          <t>'124086</t>
        </is>
      </c>
      <c r="E1749" s="0" t="inlineStr">
        <is>
          <t>USD SANTANA I WE:124086A-0-3M</t>
        </is>
      </c>
      <c r="F1749" s="0" t="inlineStr">
        <is>
          <t>'811124086005</t>
        </is>
      </c>
      <c r="G1749" s="0" t="inlineStr">
        <is>
          <t>INFANT</t>
        </is>
      </c>
      <c r="H1749" s="0" t="inlineStr">
        <is>
          <t>0-3M</t>
        </is>
      </c>
      <c r="I1749" s="0">
        <v>24.99</v>
      </c>
      <c r="J1749" s="0">
        <v>82</v>
      </c>
    </row>
    <row r="1750" spans="1:10" customHeight="0">
      <c r="A1750" s="0">
        <f>HYPERLINK("https://dl.dropboxusercontent.com/scl/fi/oqduj4qh2cj3t38m8vybo/124086-f.jpg?rlkey=e3xzb5e5982bm6sqa5v6y29rx&amp;dl=0","Click to download Image")</f>
      </c>
      <c r="C1750" s="0" t="inlineStr">
        <is>
          <t>Santana Infant Bodysuit</t>
        </is>
      </c>
      <c r="D1750" s="0" t="inlineStr">
        <is>
          <t>'124086</t>
        </is>
      </c>
      <c r="E1750" s="0" t="inlineStr">
        <is>
          <t>USD SANTANA I WE:124086B-3-6M</t>
        </is>
      </c>
      <c r="F1750" s="0" t="inlineStr">
        <is>
          <t>'811124086012</t>
        </is>
      </c>
      <c r="G1750" s="0" t="inlineStr">
        <is>
          <t>INFANT</t>
        </is>
      </c>
      <c r="H1750" s="0" t="inlineStr">
        <is>
          <t>3-6M</t>
        </is>
      </c>
      <c r="I1750" s="0">
        <v>24.99</v>
      </c>
      <c r="J1750" s="0">
        <v>81</v>
      </c>
    </row>
    <row r="1751" spans="1:10" customHeight="0">
      <c r="A1751" s="0">
        <f>HYPERLINK("https://dl.dropboxusercontent.com/scl/fi/oqduj4qh2cj3t38m8vybo/124086-f.jpg?rlkey=e3xzb5e5982bm6sqa5v6y29rx&amp;dl=0","Click to download Image")</f>
      </c>
      <c r="C1751" s="0" t="inlineStr">
        <is>
          <t>Santana Infant Bodysuit</t>
        </is>
      </c>
      <c r="D1751" s="0" t="inlineStr">
        <is>
          <t>'124086</t>
        </is>
      </c>
      <c r="E1751" s="0" t="inlineStr">
        <is>
          <t>USD SANTANA I WE:124086C-6-9M</t>
        </is>
      </c>
      <c r="F1751" s="0" t="inlineStr">
        <is>
          <t>'811124086029</t>
        </is>
      </c>
      <c r="G1751" s="0" t="inlineStr">
        <is>
          <t>INFANT</t>
        </is>
      </c>
      <c r="H1751" s="0" t="inlineStr">
        <is>
          <t>6-9M</t>
        </is>
      </c>
      <c r="I1751" s="0">
        <v>24.99</v>
      </c>
      <c r="J1751" s="0">
        <v>81</v>
      </c>
    </row>
    <row r="1752" spans="1:10" customHeight="0">
      <c r="A1752" s="0">
        <f>HYPERLINK("https://dl.dropboxusercontent.com/scl/fi/oqduj4qh2cj3t38m8vybo/124086-f.jpg?rlkey=e3xzb5e5982bm6sqa5v6y29rx&amp;dl=0","Click to download Image")</f>
      </c>
      <c r="C1752" s="0" t="inlineStr">
        <is>
          <t>Santana Infant Bodysuit</t>
        </is>
      </c>
      <c r="D1752" s="0" t="inlineStr">
        <is>
          <t>'124086</t>
        </is>
      </c>
      <c r="E1752" s="0" t="inlineStr">
        <is>
          <t>USD SANTANA I WE:124086F-12M</t>
        </is>
      </c>
      <c r="F1752" s="0" t="inlineStr">
        <is>
          <t>'811124086036</t>
        </is>
      </c>
      <c r="G1752" s="0" t="inlineStr">
        <is>
          <t>INFANT</t>
        </is>
      </c>
      <c r="H1752" s="0" t="inlineStr">
        <is>
          <t>12M</t>
        </is>
      </c>
      <c r="I1752" s="0">
        <v>24.99</v>
      </c>
      <c r="J1752" s="0">
        <v>81</v>
      </c>
    </row>
    <row r="1753" spans="1:10" customHeight="0">
      <c r="A1753" s="0">
        <f>HYPERLINK("https://dl.dropboxusercontent.com/scl/fi/oqduj4qh2cj3t38m8vybo/124086-f.jpg?rlkey=e3xzb5e5982bm6sqa5v6y29rx&amp;dl=0","Click to download Image")</f>
      </c>
      <c r="C1753" s="0" t="inlineStr">
        <is>
          <t>Santana Infant Bodysuit</t>
        </is>
      </c>
      <c r="D1753" s="0" t="inlineStr">
        <is>
          <t>'124086</t>
        </is>
      </c>
      <c r="E1753" s="0" t="inlineStr">
        <is>
          <t>USD SANTANA I WE 12PK:124086Z-12PK</t>
        </is>
      </c>
      <c r="F1753" s="0" t="inlineStr">
        <is>
          <t>'811124086999</t>
        </is>
      </c>
      <c r="G1753" s="0" t="inlineStr">
        <is>
          <t>INFANT</t>
        </is>
      </c>
      <c r="H1753" s="0" t="inlineStr">
        <is>
          <t>12 PACK</t>
        </is>
      </c>
      <c r="I1753" s="0">
        <v>240</v>
      </c>
      <c r="J1753" s="0">
        <v>27</v>
      </c>
    </row>
    <row r="1754" spans="1:10" customHeight="0">
      <c r="A1754" s="0">
        <f>HYPERLINK("https://dl.dropboxusercontent.com/scl/fi/kwhnnk6pppb7ei40o14ia/123171-f.jpg?rlkey=oe3nroqinqirn54412jwf9n17&amp;dl=0","Click to download Image")</f>
      </c>
      <c r="B1754" s="0">
        <f>HYPERLINK("https://dl.dropboxusercontent.com/scl/fi/3pdypfl9w00w11mr0jgr2/2january-20201mens.jpg?rlkey=a324dstw9xg6bn99godh3m0n7&amp;dl=0","Click to download SizeChart")</f>
      </c>
      <c r="C1754" s="0" t="inlineStr">
        <is>
          <t>Wells Men's Midweight Hoodie</t>
        </is>
      </c>
      <c r="D1754" s="0" t="inlineStr">
        <is>
          <t>'123171</t>
        </is>
      </c>
      <c r="E1754" s="0" t="inlineStr">
        <is>
          <t>KSU WELLS M GY:123171A-S</t>
        </is>
      </c>
      <c r="F1754" s="0" t="inlineStr">
        <is>
          <t>'805123171046</t>
        </is>
      </c>
      <c r="G1754" s="0" t="inlineStr">
        <is>
          <t>MENS</t>
        </is>
      </c>
      <c r="H1754" s="0" t="inlineStr">
        <is>
          <t>S</t>
        </is>
      </c>
      <c r="I1754" s="0">
        <v>39.99</v>
      </c>
      <c r="J1754" s="0">
        <v>15</v>
      </c>
    </row>
    <row r="1755" spans="1:10" customHeight="0">
      <c r="A1755" s="0">
        <f>HYPERLINK("https://dl.dropboxusercontent.com/scl/fi/kwhnnk6pppb7ei40o14ia/123171-f.jpg?rlkey=oe3nroqinqirn54412jwf9n17&amp;dl=0","Click to download Image")</f>
      </c>
      <c r="B1755" s="0">
        <f>HYPERLINK("https://dl.dropboxusercontent.com/scl/fi/3pdypfl9w00w11mr0jgr2/2january-20201mens.jpg?rlkey=a324dstw9xg6bn99godh3m0n7&amp;dl=0","Click to download SizeChart")</f>
      </c>
      <c r="C1755" s="0" t="inlineStr">
        <is>
          <t>Wells Men's Midweight Hoodie</t>
        </is>
      </c>
      <c r="D1755" s="0" t="inlineStr">
        <is>
          <t>'123171</t>
        </is>
      </c>
      <c r="E1755" s="0" t="inlineStr">
        <is>
          <t>KSU WELLS M GY:123171B-M</t>
        </is>
      </c>
      <c r="F1755" s="0" t="inlineStr">
        <is>
          <t>'805123171053</t>
        </is>
      </c>
      <c r="G1755" s="0" t="inlineStr">
        <is>
          <t>MENS</t>
        </is>
      </c>
      <c r="H1755" s="0" t="inlineStr">
        <is>
          <t>M</t>
        </is>
      </c>
      <c r="I1755" s="0">
        <v>39.99</v>
      </c>
      <c r="J1755" s="0">
        <v>19</v>
      </c>
    </row>
    <row r="1756" spans="1:10" customHeight="0">
      <c r="A1756" s="0">
        <f>HYPERLINK("https://dl.dropboxusercontent.com/scl/fi/kwhnnk6pppb7ei40o14ia/123171-f.jpg?rlkey=oe3nroqinqirn54412jwf9n17&amp;dl=0","Click to download Image")</f>
      </c>
      <c r="B1756" s="0">
        <f>HYPERLINK("https://dl.dropboxusercontent.com/scl/fi/3pdypfl9w00w11mr0jgr2/2january-20201mens.jpg?rlkey=a324dstw9xg6bn99godh3m0n7&amp;dl=0","Click to download SizeChart")</f>
      </c>
      <c r="C1756" s="0" t="inlineStr">
        <is>
          <t>Wells Men's Midweight Hoodie</t>
        </is>
      </c>
      <c r="D1756" s="0" t="inlineStr">
        <is>
          <t>'123171</t>
        </is>
      </c>
      <c r="E1756" s="0" t="inlineStr">
        <is>
          <t>KSU WELLS M GY:123171C-L</t>
        </is>
      </c>
      <c r="F1756" s="0" t="inlineStr">
        <is>
          <t>'805123171060</t>
        </is>
      </c>
      <c r="G1756" s="0" t="inlineStr">
        <is>
          <t>MENS</t>
        </is>
      </c>
      <c r="H1756" s="0" t="inlineStr">
        <is>
          <t>L</t>
        </is>
      </c>
      <c r="I1756" s="0">
        <v>39.99</v>
      </c>
      <c r="J1756" s="0">
        <v>29</v>
      </c>
    </row>
    <row r="1757" spans="1:10" customHeight="0">
      <c r="A1757" s="0">
        <f>HYPERLINK("https://dl.dropboxusercontent.com/scl/fi/kwhnnk6pppb7ei40o14ia/123171-f.jpg?rlkey=oe3nroqinqirn54412jwf9n17&amp;dl=0","Click to download Image")</f>
      </c>
      <c r="B1757" s="0">
        <f>HYPERLINK("https://dl.dropboxusercontent.com/scl/fi/3pdypfl9w00w11mr0jgr2/2january-20201mens.jpg?rlkey=a324dstw9xg6bn99godh3m0n7&amp;dl=0","Click to download SizeChart")</f>
      </c>
      <c r="C1757" s="0" t="inlineStr">
        <is>
          <t>Wells Men's Midweight Hoodie</t>
        </is>
      </c>
      <c r="D1757" s="0" t="inlineStr">
        <is>
          <t>'123171</t>
        </is>
      </c>
      <c r="E1757" s="0" t="inlineStr">
        <is>
          <t>KSU WELLS M GY:123171D-XL</t>
        </is>
      </c>
      <c r="F1757" s="0" t="inlineStr">
        <is>
          <t>'805123171077</t>
        </is>
      </c>
      <c r="G1757" s="0" t="inlineStr">
        <is>
          <t>MENS</t>
        </is>
      </c>
      <c r="H1757" s="0" t="inlineStr">
        <is>
          <t>XL</t>
        </is>
      </c>
      <c r="I1757" s="0">
        <v>39.99</v>
      </c>
      <c r="J1757" s="0">
        <v>28</v>
      </c>
    </row>
    <row r="1758" spans="1:10" customHeight="0">
      <c r="A1758" s="0">
        <f>HYPERLINK("https://dl.dropboxusercontent.com/scl/fi/kwhnnk6pppb7ei40o14ia/123171-f.jpg?rlkey=oe3nroqinqirn54412jwf9n17&amp;dl=0","Click to download Image")</f>
      </c>
      <c r="B1758" s="0">
        <f>HYPERLINK("https://dl.dropboxusercontent.com/scl/fi/3pdypfl9w00w11mr0jgr2/2january-20201mens.jpg?rlkey=a324dstw9xg6bn99godh3m0n7&amp;dl=0","Click to download SizeChart")</f>
      </c>
      <c r="C1758" s="0" t="inlineStr">
        <is>
          <t>Wells Men's Midweight Hoodie</t>
        </is>
      </c>
      <c r="D1758" s="0" t="inlineStr">
        <is>
          <t>'123171</t>
        </is>
      </c>
      <c r="E1758" s="0" t="inlineStr">
        <is>
          <t>KSU WELLS M GY:123171E-2XL</t>
        </is>
      </c>
      <c r="F1758" s="0" t="inlineStr">
        <is>
          <t>'805123171084</t>
        </is>
      </c>
      <c r="G1758" s="0" t="inlineStr">
        <is>
          <t>MENS</t>
        </is>
      </c>
      <c r="H1758" s="0" t="inlineStr">
        <is>
          <t>2XL</t>
        </is>
      </c>
      <c r="I1758" s="0">
        <v>39.99</v>
      </c>
      <c r="J1758" s="0">
        <v>19</v>
      </c>
    </row>
    <row r="1759" spans="1:10" customHeight="0">
      <c r="A1759" s="0">
        <f>HYPERLINK("https://dl.dropboxusercontent.com/scl/fi/kwhnnk6pppb7ei40o14ia/123171-f.jpg?rlkey=oe3nroqinqirn54412jwf9n17&amp;dl=0","Click to download Image")</f>
      </c>
      <c r="B1759" s="0">
        <f>HYPERLINK("https://dl.dropboxusercontent.com/scl/fi/3pdypfl9w00w11mr0jgr2/2january-20201mens.jpg?rlkey=a324dstw9xg6bn99godh3m0n7&amp;dl=0","Click to download SizeChart")</f>
      </c>
      <c r="C1759" s="0" t="inlineStr">
        <is>
          <t>Wells Men's Midweight Hoodie</t>
        </is>
      </c>
      <c r="D1759" s="0" t="inlineStr">
        <is>
          <t>'123171</t>
        </is>
      </c>
      <c r="E1759" s="0" t="inlineStr">
        <is>
          <t>KSU WELLS M GY:123171F-3XL</t>
        </is>
      </c>
      <c r="F1759" s="0" t="inlineStr">
        <is>
          <t>'805123171091</t>
        </is>
      </c>
      <c r="G1759" s="0" t="inlineStr">
        <is>
          <t>MENS</t>
        </is>
      </c>
      <c r="H1759" s="0" t="inlineStr">
        <is>
          <t>3XL</t>
        </is>
      </c>
      <c r="I1759" s="0">
        <v>39.99</v>
      </c>
      <c r="J1759" s="0">
        <v>9</v>
      </c>
    </row>
    <row r="1760" spans="1:10" customHeight="0">
      <c r="A1760" s="0">
        <f>HYPERLINK("https://dl.dropboxusercontent.com/scl/fi/fo67fvj53azot3awaormk/126065-ff.jpg?rlkey=7td0p65lyp8au486wcypp11v1&amp;dl=0","Click to download Image")</f>
      </c>
      <c r="C1760" s="0" t="inlineStr">
        <is>
          <t>Cuffed Beanie</t>
        </is>
      </c>
      <c r="D1760" s="0" t="inlineStr">
        <is>
          <t>'126065</t>
        </is>
      </c>
      <c r="E1760" s="0" t="inlineStr">
        <is>
          <t>MU BLACK CUFFED:126065</t>
        </is>
      </c>
      <c r="F1760" s="0" t="inlineStr">
        <is>
          <t>'703126065013</t>
        </is>
      </c>
      <c r="G1760" s="0" t="inlineStr">
        <is>
          <t>MENS</t>
        </is>
      </c>
      <c r="H1760" s="0" t="inlineStr">
        <is>
          <t>ADULT</t>
        </is>
      </c>
      <c r="I1760" s="0">
        <v>19.99</v>
      </c>
      <c r="J1760" s="0">
        <v>91</v>
      </c>
    </row>
    <row r="1761" spans="1:10" customHeight="0">
      <c r="A1761" s="0">
        <f>HYPERLINK("https://dl.dropboxusercontent.com/scl/fi/o8j62a9ajxozo3cpqohc0/11082318823.jpg?rlkey=ofmfwlepz5uxa6nuwlrjcnx1p&amp;dl=0","Click to download Image")</f>
      </c>
      <c r="C1761" s="0" t="inlineStr">
        <is>
          <t>Cuffed Beanie</t>
        </is>
      </c>
      <c r="D1761" s="0" t="inlineStr">
        <is>
          <t>'110823</t>
        </is>
      </c>
      <c r="E1761" s="0" t="inlineStr">
        <is>
          <t>ISU CARDINAL CUFFED:110823</t>
        </is>
      </c>
      <c r="F1761" s="0" t="inlineStr">
        <is>
          <t>'700110823017</t>
        </is>
      </c>
      <c r="G1761" s="0" t="inlineStr">
        <is>
          <t>MENS</t>
        </is>
      </c>
      <c r="H1761" s="0" t="inlineStr">
        <is>
          <t>ADULT</t>
        </is>
      </c>
      <c r="I1761" s="0">
        <v>19.99</v>
      </c>
      <c r="J1761" s="0">
        <v>18</v>
      </c>
    </row>
    <row r="1762" spans="1:10" customHeight="0">
      <c r="A1762" s="0">
        <f>HYPERLINK("https://dl.dropboxusercontent.com/scl/fi/tc3xplx71bb2ez3ckg33k/dsc029337535.jpg?rlkey=lszpetkamj95pa6qgcvoipkcu&amp;dl=0","Click to download Image")</f>
      </c>
      <c r="B1762" s="0">
        <f>HYPERLINK("https://dl.dropboxusercontent.com/scl/fi/pfpjttaa2l4me9yswcfn1/8-19youth.jpg?rlkey=8ajj4nl693vlsohb1g47nfi75&amp;dl=0","Click to download SizeChart")</f>
      </c>
      <c r="C1762" s="0" t="inlineStr">
        <is>
          <t>Dekalb Youth Microfleece Pullover</t>
        </is>
      </c>
      <c r="D1762" s="0" t="inlineStr">
        <is>
          <t>'106754</t>
        </is>
      </c>
      <c r="E1762" s="0" t="inlineStr">
        <is>
          <t>IA DEKLAB:106754B-YS</t>
        </is>
      </c>
      <c r="F1762" s="0" t="inlineStr">
        <is>
          <t>'800106754018</t>
        </is>
      </c>
      <c r="G1762" s="0" t="inlineStr">
        <is>
          <t>YOUTH</t>
        </is>
      </c>
      <c r="H1762" s="0" t="inlineStr">
        <is>
          <t>YS</t>
        </is>
      </c>
      <c r="I1762" s="0">
        <v>42.99</v>
      </c>
      <c r="J1762" s="0">
        <v>38</v>
      </c>
    </row>
    <row r="1763" spans="1:10" customHeight="0">
      <c r="A1763" s="0">
        <f>HYPERLINK("https://dl.dropboxusercontent.com/scl/fi/tc3xplx71bb2ez3ckg33k/dsc029337535.jpg?rlkey=lszpetkamj95pa6qgcvoipkcu&amp;dl=0","Click to download Image")</f>
      </c>
      <c r="B1763" s="0">
        <f>HYPERLINK("https://dl.dropboxusercontent.com/scl/fi/pfpjttaa2l4me9yswcfn1/8-19youth.jpg?rlkey=8ajj4nl693vlsohb1g47nfi75&amp;dl=0","Click to download SizeChart")</f>
      </c>
      <c r="C1763" s="0" t="inlineStr">
        <is>
          <t>Dekalb Youth Microfleece Pullover</t>
        </is>
      </c>
      <c r="D1763" s="0" t="inlineStr">
        <is>
          <t>'106754</t>
        </is>
      </c>
      <c r="E1763" s="0" t="inlineStr">
        <is>
          <t>IA DEKLAB:106754C-YM</t>
        </is>
      </c>
      <c r="F1763" s="0" t="inlineStr">
        <is>
          <t>'800106754025</t>
        </is>
      </c>
      <c r="G1763" s="0" t="inlineStr">
        <is>
          <t>YOUTH</t>
        </is>
      </c>
      <c r="H1763" s="0" t="inlineStr">
        <is>
          <t>YM</t>
        </is>
      </c>
      <c r="I1763" s="0">
        <v>42.99</v>
      </c>
      <c r="J1763" s="0">
        <v>31</v>
      </c>
    </row>
    <row r="1764" spans="1:10" customHeight="0">
      <c r="A1764" s="0">
        <f>HYPERLINK("https://dl.dropboxusercontent.com/scl/fi/tc3xplx71bb2ez3ckg33k/dsc029337535.jpg?rlkey=lszpetkamj95pa6qgcvoipkcu&amp;dl=0","Click to download Image")</f>
      </c>
      <c r="B1764" s="0">
        <f>HYPERLINK("https://dl.dropboxusercontent.com/scl/fi/pfpjttaa2l4me9yswcfn1/8-19youth.jpg?rlkey=8ajj4nl693vlsohb1g47nfi75&amp;dl=0","Click to download SizeChart")</f>
      </c>
      <c r="C1764" s="0" t="inlineStr">
        <is>
          <t>Dekalb Youth Microfleece Pullover</t>
        </is>
      </c>
      <c r="D1764" s="0" t="inlineStr">
        <is>
          <t>'106754</t>
        </is>
      </c>
      <c r="E1764" s="0" t="inlineStr">
        <is>
          <t>IA DEKLAB:106754D-YL</t>
        </is>
      </c>
      <c r="F1764" s="0" t="inlineStr">
        <is>
          <t>'800106754032</t>
        </is>
      </c>
      <c r="G1764" s="0" t="inlineStr">
        <is>
          <t>YOUTH</t>
        </is>
      </c>
      <c r="H1764" s="0" t="inlineStr">
        <is>
          <t>YL</t>
        </is>
      </c>
      <c r="I1764" s="0">
        <v>42.99</v>
      </c>
      <c r="J1764" s="0">
        <v>32</v>
      </c>
    </row>
    <row r="1765" spans="1:10" customHeight="0">
      <c r="A1765" s="0">
        <f>HYPERLINK("https://dl.dropboxusercontent.com/scl/fi/tc3xplx71bb2ez3ckg33k/dsc029337535.jpg?rlkey=lszpetkamj95pa6qgcvoipkcu&amp;dl=0","Click to download Image")</f>
      </c>
      <c r="B1765" s="0">
        <f>HYPERLINK("https://dl.dropboxusercontent.com/scl/fi/pfpjttaa2l4me9yswcfn1/8-19youth.jpg?rlkey=8ajj4nl693vlsohb1g47nfi75&amp;dl=0","Click to download SizeChart")</f>
      </c>
      <c r="C1765" s="0" t="inlineStr">
        <is>
          <t>Dekalb Youth Microfleece Pullover</t>
        </is>
      </c>
      <c r="D1765" s="0" t="inlineStr">
        <is>
          <t>'106754</t>
        </is>
      </c>
      <c r="E1765" s="0" t="inlineStr">
        <is>
          <t>IA DEKLAB:106754E-YXL</t>
        </is>
      </c>
      <c r="F1765" s="0" t="inlineStr">
        <is>
          <t>'800106754049</t>
        </is>
      </c>
      <c r="G1765" s="0" t="inlineStr">
        <is>
          <t>YOUTH</t>
        </is>
      </c>
      <c r="H1765" s="0" t="inlineStr">
        <is>
          <t>YXL</t>
        </is>
      </c>
      <c r="I1765" s="0">
        <v>42.99</v>
      </c>
      <c r="J1765" s="0">
        <v>41</v>
      </c>
    </row>
    <row r="1766" spans="1:10" customHeight="0">
      <c r="A1766" s="0">
        <f>HYPERLINK("https://dl.dropboxusercontent.com/scl/fi/bvexn1i4l7sacwhffazmy/107123f2.jpg?rlkey=mb05piakdszeswbf7il2vyey5&amp;dl=0","Click to download Image")</f>
      </c>
      <c r="C1766" s="0" t="inlineStr">
        <is>
          <t>Temple Canvas Weekender Bag</t>
        </is>
      </c>
      <c r="D1766" s="0" t="inlineStr">
        <is>
          <t>'107123</t>
        </is>
      </c>
      <c r="E1766" s="0" t="inlineStr">
        <is>
          <t>IOWA TEMPLE:107123</t>
        </is>
      </c>
      <c r="F1766" s="0" t="inlineStr">
        <is>
          <t>'900107123018</t>
        </is>
      </c>
      <c r="H1766" s="0" t="inlineStr">
        <is>
          <t>OS</t>
        </is>
      </c>
      <c r="I1766" s="0">
        <v>54.99</v>
      </c>
      <c r="J1766" s="0">
        <v>118</v>
      </c>
    </row>
    <row r="1767" spans="1:10" customHeight="0">
      <c r="A1767" s="0">
        <f>HYPERLINK("https://dl.dropboxusercontent.com/scl/fi/h6bk77te8zk2ysooa6346/temple.jpg?rlkey=km17ibosh9bc1oeb2ij8bh31m&amp;dl=0","Click to download Image")</f>
      </c>
      <c r="C1767" s="0" t="inlineStr">
        <is>
          <t>Temple Canvas Weekender Bag</t>
        </is>
      </c>
      <c r="D1767" s="0" t="inlineStr">
        <is>
          <t>'107124</t>
        </is>
      </c>
      <c r="E1767" s="0" t="inlineStr">
        <is>
          <t>ISU TEMPLE BAG:107124</t>
        </is>
      </c>
      <c r="F1767" s="0" t="inlineStr">
        <is>
          <t>'900107124015</t>
        </is>
      </c>
      <c r="H1767" s="0" t="inlineStr">
        <is>
          <t>OS</t>
        </is>
      </c>
      <c r="I1767" s="0">
        <v>54.99</v>
      </c>
      <c r="J1767" s="0">
        <v>200</v>
      </c>
    </row>
    <row r="1768" spans="1:10" customHeight="0">
      <c r="A1768" s="0">
        <f>HYPERLINK("https://dl.dropboxusercontent.com/scl/fi/0z5li06njm54w4yg4yzlo/121125-af.jpg?rlkey=xkjh83jhibci38lq4dqe9leiu&amp;dl=0","Click to download Image")</f>
      </c>
      <c r="B1768" s="0">
        <f>HYPERLINK("https://dl.dropboxusercontent.com/scl/fi/5vq9zd4q6avu3uuud4m7k/graphic-update22022-toddler.jpg?rlkey=uqwb8l088kegapui7n4pbzx17&amp;dl=0","Click to download SizeChart")</f>
      </c>
      <c r="C1768" s="0" t="inlineStr">
        <is>
          <t>Meadow Toddler Pullover</t>
        </is>
      </c>
      <c r="D1768" s="0" t="inlineStr">
        <is>
          <t>'122432</t>
        </is>
      </c>
      <c r="E1768" s="0" t="inlineStr">
        <is>
          <t>IOWA MEADOW T FB:122432A-2T</t>
        </is>
      </c>
      <c r="F1768" s="0" t="inlineStr">
        <is>
          <t>'800122432082</t>
        </is>
      </c>
      <c r="G1768" s="0" t="inlineStr">
        <is>
          <t>TODDLER</t>
        </is>
      </c>
      <c r="H1768" s="0" t="inlineStr">
        <is>
          <t>2T</t>
        </is>
      </c>
      <c r="I1768" s="0">
        <v>49.99</v>
      </c>
      <c r="J1768" s="0">
        <v>16</v>
      </c>
    </row>
    <row r="1769" spans="1:10" customHeight="0">
      <c r="A1769" s="0">
        <f>HYPERLINK("https://dl.dropboxusercontent.com/scl/fi/0z5li06njm54w4yg4yzlo/121125-af.jpg?rlkey=xkjh83jhibci38lq4dqe9leiu&amp;dl=0","Click to download Image")</f>
      </c>
      <c r="B1769" s="0">
        <f>HYPERLINK("https://dl.dropboxusercontent.com/scl/fi/5vq9zd4q6avu3uuud4m7k/graphic-update22022-toddler.jpg?rlkey=uqwb8l088kegapui7n4pbzx17&amp;dl=0","Click to download SizeChart")</f>
      </c>
      <c r="C1769" s="0" t="inlineStr">
        <is>
          <t>Meadow Toddler Pullover</t>
        </is>
      </c>
      <c r="D1769" s="0" t="inlineStr">
        <is>
          <t>'122432</t>
        </is>
      </c>
      <c r="E1769" s="0" t="inlineStr">
        <is>
          <t>IOWA MEADOW T FB:122432B-3T</t>
        </is>
      </c>
      <c r="F1769" s="0" t="inlineStr">
        <is>
          <t>'800122432099</t>
        </is>
      </c>
      <c r="G1769" s="0" t="inlineStr">
        <is>
          <t>TODDLER</t>
        </is>
      </c>
      <c r="H1769" s="0" t="inlineStr">
        <is>
          <t>3T</t>
        </is>
      </c>
      <c r="I1769" s="0">
        <v>49.99</v>
      </c>
      <c r="J1769" s="0">
        <v>14</v>
      </c>
    </row>
    <row r="1770" spans="1:10" customHeight="0">
      <c r="A1770" s="0">
        <f>HYPERLINK("https://dl.dropboxusercontent.com/scl/fi/0z5li06njm54w4yg4yzlo/121125-af.jpg?rlkey=xkjh83jhibci38lq4dqe9leiu&amp;dl=0","Click to download Image")</f>
      </c>
      <c r="B1770" s="0">
        <f>HYPERLINK("https://dl.dropboxusercontent.com/scl/fi/5vq9zd4q6avu3uuud4m7k/graphic-update22022-toddler.jpg?rlkey=uqwb8l088kegapui7n4pbzx17&amp;dl=0","Click to download SizeChart")</f>
      </c>
      <c r="C1770" s="0" t="inlineStr">
        <is>
          <t>Meadow Toddler Pullover</t>
        </is>
      </c>
      <c r="D1770" s="0" t="inlineStr">
        <is>
          <t>'122432</t>
        </is>
      </c>
      <c r="E1770" s="0" t="inlineStr">
        <is>
          <t>IOWA MEADOW T FB:122432C-4T</t>
        </is>
      </c>
      <c r="F1770" s="0" t="inlineStr">
        <is>
          <t>'800122432105</t>
        </is>
      </c>
      <c r="G1770" s="0" t="inlineStr">
        <is>
          <t>TODDLER</t>
        </is>
      </c>
      <c r="H1770" s="0" t="inlineStr">
        <is>
          <t>4T</t>
        </is>
      </c>
      <c r="I1770" s="0">
        <v>49.99</v>
      </c>
      <c r="J1770" s="0">
        <v>13</v>
      </c>
    </row>
    <row r="1771" spans="1:10" customHeight="0">
      <c r="A1771" s="0">
        <f>HYPERLINK("https://dl.dropboxusercontent.com/scl/fi/0z5li06njm54w4yg4yzlo/121125-af.jpg?rlkey=xkjh83jhibci38lq4dqe9leiu&amp;dl=0","Click to download Image")</f>
      </c>
      <c r="B1771" s="0">
        <f>HYPERLINK("https://dl.dropboxusercontent.com/scl/fi/5vq9zd4q6avu3uuud4m7k/graphic-update22022-toddler.jpg?rlkey=uqwb8l088kegapui7n4pbzx17&amp;dl=0","Click to download SizeChart")</f>
      </c>
      <c r="C1771" s="0" t="inlineStr">
        <is>
          <t>Meadow Toddler Pullover</t>
        </is>
      </c>
      <c r="D1771" s="0" t="inlineStr">
        <is>
          <t>'122432</t>
        </is>
      </c>
      <c r="E1771" s="0" t="inlineStr">
        <is>
          <t>IOWA MEADOW T FB:122432D-5T</t>
        </is>
      </c>
      <c r="F1771" s="0" t="inlineStr">
        <is>
          <t>'800122432112</t>
        </is>
      </c>
      <c r="G1771" s="0" t="inlineStr">
        <is>
          <t>TODDLER</t>
        </is>
      </c>
      <c r="H1771" s="0" t="inlineStr">
        <is>
          <t>5T</t>
        </is>
      </c>
      <c r="I1771" s="0">
        <v>49.99</v>
      </c>
      <c r="J1771" s="0">
        <v>23</v>
      </c>
    </row>
    <row r="1772" spans="1:10" customHeight="0">
      <c r="A1772" s="0">
        <f>HYPERLINK("https://dl.dropboxusercontent.com/scl/fi/0z5li06njm54w4yg4yzlo/121125-af.jpg?rlkey=xkjh83jhibci38lq4dqe9leiu&amp;dl=0","Click to download Image")</f>
      </c>
      <c r="B1772" s="0">
        <f>HYPERLINK("https://dl.dropboxusercontent.com/scl/fi/5vq9zd4q6avu3uuud4m7k/graphic-update22022-toddler.jpg?rlkey=uqwb8l088kegapui7n4pbzx17&amp;dl=0","Click to download SizeChart")</f>
      </c>
      <c r="C1772" s="0" t="inlineStr">
        <is>
          <t>Meadow Toddler Pullover</t>
        </is>
      </c>
      <c r="D1772" s="0" t="inlineStr">
        <is>
          <t>'122432</t>
        </is>
      </c>
      <c r="E1772" s="0" t="inlineStr">
        <is>
          <t>IOWA MEADOW T FB 12PK:122432Z-12PK</t>
        </is>
      </c>
      <c r="F1772" s="0" t="inlineStr">
        <is>
          <t>'800122432990</t>
        </is>
      </c>
      <c r="G1772" s="0" t="inlineStr">
        <is>
          <t>TODDLER</t>
        </is>
      </c>
      <c r="H1772" s="0" t="inlineStr">
        <is>
          <t>12 PACK</t>
        </is>
      </c>
      <c r="I1772" s="0">
        <v>480</v>
      </c>
      <c r="J1772" s="0">
        <v>4</v>
      </c>
    </row>
    <row r="1773" spans="1:10" customHeight="0">
      <c r="A1773" s="0">
        <f>HYPERLINK("https://dl.dropboxusercontent.com/scl/fi/aervc7vg7nlr33q3b0gqs/121124-af.jpg?rlkey=lrql4klcqbx37wdsij0b6hmrn&amp;dl=0","Click to download Image")</f>
      </c>
      <c r="B1773" s="0">
        <f>HYPERLINK("https://dl.dropboxusercontent.com/scl/fi/5vq9zd4q6avu3uuud4m7k/graphic-update22022-toddler.jpg?rlkey=uqwb8l088kegapui7n4pbzx17&amp;dl=0","Click to download SizeChart")</f>
      </c>
      <c r="C1773" s="0" t="inlineStr">
        <is>
          <t>Meadow Toddler Pullover</t>
        </is>
      </c>
      <c r="D1773" s="0" t="inlineStr">
        <is>
          <t>'122431</t>
        </is>
      </c>
      <c r="E1773" s="0" t="inlineStr">
        <is>
          <t>ISU MEADOW T FB:122431A-2T</t>
        </is>
      </c>
      <c r="F1773" s="0" t="inlineStr">
        <is>
          <t>'801122431082</t>
        </is>
      </c>
      <c r="G1773" s="0" t="inlineStr">
        <is>
          <t>TODDLER</t>
        </is>
      </c>
      <c r="H1773" s="0" t="inlineStr">
        <is>
          <t>2T</t>
        </is>
      </c>
      <c r="I1773" s="0">
        <v>49.99</v>
      </c>
      <c r="J1773" s="0">
        <v>22</v>
      </c>
    </row>
    <row r="1774" spans="1:10" customHeight="0">
      <c r="A1774" s="0">
        <f>HYPERLINK("https://dl.dropboxusercontent.com/scl/fi/aervc7vg7nlr33q3b0gqs/121124-af.jpg?rlkey=lrql4klcqbx37wdsij0b6hmrn&amp;dl=0","Click to download Image")</f>
      </c>
      <c r="B1774" s="0">
        <f>HYPERLINK("https://dl.dropboxusercontent.com/scl/fi/5vq9zd4q6avu3uuud4m7k/graphic-update22022-toddler.jpg?rlkey=uqwb8l088kegapui7n4pbzx17&amp;dl=0","Click to download SizeChart")</f>
      </c>
      <c r="C1774" s="0" t="inlineStr">
        <is>
          <t>Meadow Toddler Pullover</t>
        </is>
      </c>
      <c r="D1774" s="0" t="inlineStr">
        <is>
          <t>'122431</t>
        </is>
      </c>
      <c r="E1774" s="0" t="inlineStr">
        <is>
          <t>ISU MEADOW T FB:122431B-3T</t>
        </is>
      </c>
      <c r="F1774" s="0" t="inlineStr">
        <is>
          <t>'801122431099</t>
        </is>
      </c>
      <c r="G1774" s="0" t="inlineStr">
        <is>
          <t>TODDLER</t>
        </is>
      </c>
      <c r="H1774" s="0" t="inlineStr">
        <is>
          <t>3T</t>
        </is>
      </c>
      <c r="I1774" s="0">
        <v>49.99</v>
      </c>
      <c r="J1774" s="0">
        <v>22</v>
      </c>
    </row>
    <row r="1775" spans="1:10" customHeight="0">
      <c r="A1775" s="0">
        <f>HYPERLINK("https://dl.dropboxusercontent.com/scl/fi/aervc7vg7nlr33q3b0gqs/121124-af.jpg?rlkey=lrql4klcqbx37wdsij0b6hmrn&amp;dl=0","Click to download Image")</f>
      </c>
      <c r="B1775" s="0">
        <f>HYPERLINK("https://dl.dropboxusercontent.com/scl/fi/5vq9zd4q6avu3uuud4m7k/graphic-update22022-toddler.jpg?rlkey=uqwb8l088kegapui7n4pbzx17&amp;dl=0","Click to download SizeChart")</f>
      </c>
      <c r="C1775" s="0" t="inlineStr">
        <is>
          <t>Meadow Toddler Pullover</t>
        </is>
      </c>
      <c r="D1775" s="0" t="inlineStr">
        <is>
          <t>'122431</t>
        </is>
      </c>
      <c r="E1775" s="0" t="inlineStr">
        <is>
          <t>ISU MEADOW T FB:122431C-4T</t>
        </is>
      </c>
      <c r="F1775" s="0" t="inlineStr">
        <is>
          <t>'801122431105</t>
        </is>
      </c>
      <c r="G1775" s="0" t="inlineStr">
        <is>
          <t>TODDLER</t>
        </is>
      </c>
      <c r="H1775" s="0" t="inlineStr">
        <is>
          <t>4T</t>
        </is>
      </c>
      <c r="I1775" s="0">
        <v>49.99</v>
      </c>
      <c r="J1775" s="0">
        <v>21</v>
      </c>
    </row>
    <row r="1776" spans="1:10" customHeight="0">
      <c r="A1776" s="0">
        <f>HYPERLINK("https://dl.dropboxusercontent.com/scl/fi/aervc7vg7nlr33q3b0gqs/121124-af.jpg?rlkey=lrql4klcqbx37wdsij0b6hmrn&amp;dl=0","Click to download Image")</f>
      </c>
      <c r="B1776" s="0">
        <f>HYPERLINK("https://dl.dropboxusercontent.com/scl/fi/5vq9zd4q6avu3uuud4m7k/graphic-update22022-toddler.jpg?rlkey=uqwb8l088kegapui7n4pbzx17&amp;dl=0","Click to download SizeChart")</f>
      </c>
      <c r="C1776" s="0" t="inlineStr">
        <is>
          <t>Meadow Toddler Pullover</t>
        </is>
      </c>
      <c r="D1776" s="0" t="inlineStr">
        <is>
          <t>'122431</t>
        </is>
      </c>
      <c r="E1776" s="0" t="inlineStr">
        <is>
          <t>ISU MEADOW T FB:122431D-5T</t>
        </is>
      </c>
      <c r="F1776" s="0" t="inlineStr">
        <is>
          <t>'801122431112</t>
        </is>
      </c>
      <c r="G1776" s="0" t="inlineStr">
        <is>
          <t>TODDLER</t>
        </is>
      </c>
      <c r="H1776" s="0" t="inlineStr">
        <is>
          <t>5T</t>
        </is>
      </c>
      <c r="I1776" s="0">
        <v>49.99</v>
      </c>
      <c r="J1776" s="0">
        <v>18</v>
      </c>
    </row>
    <row r="1777" spans="1:10" customHeight="0">
      <c r="A1777" s="0">
        <f>HYPERLINK("https://dl.dropboxusercontent.com/scl/fi/aervc7vg7nlr33q3b0gqs/121124-af.jpg?rlkey=lrql4klcqbx37wdsij0b6hmrn&amp;dl=0","Click to download Image")</f>
      </c>
      <c r="B1777" s="0">
        <f>HYPERLINK("https://dl.dropboxusercontent.com/scl/fi/5vq9zd4q6avu3uuud4m7k/graphic-update22022-toddler.jpg?rlkey=uqwb8l088kegapui7n4pbzx17&amp;dl=0","Click to download SizeChart")</f>
      </c>
      <c r="C1777" s="0" t="inlineStr">
        <is>
          <t>Meadow Toddler Pullover</t>
        </is>
      </c>
      <c r="D1777" s="0" t="inlineStr">
        <is>
          <t>'122431</t>
        </is>
      </c>
      <c r="E1777" s="0" t="inlineStr">
        <is>
          <t>ISU MEADOW T FB 12PK:122431Z-12PK</t>
        </is>
      </c>
      <c r="F1777" s="0" t="inlineStr">
        <is>
          <t>'801122431990</t>
        </is>
      </c>
      <c r="G1777" s="0" t="inlineStr">
        <is>
          <t>TODDLER</t>
        </is>
      </c>
      <c r="H1777" s="0" t="inlineStr">
        <is>
          <t>12 PACK</t>
        </is>
      </c>
      <c r="I1777" s="0">
        <v>480</v>
      </c>
      <c r="J1777" s="0">
        <v>6</v>
      </c>
    </row>
    <row r="1778" spans="1:10" customHeight="0">
      <c r="A1778" s="0">
        <f>HYPERLINK("https://dl.dropboxusercontent.com/scl/fi/cikav34vnd3rzpt9eihsw/123278-af.jpg?rlkey=xxfke9p13sj05xapkooca4cio&amp;dl=0","Click to download Image")</f>
      </c>
      <c r="B1778" s="0">
        <f>HYPERLINK("https://dl.dropboxusercontent.com/scl/fi/5vq9zd4q6avu3uuud4m7k/graphic-update22022-toddler.jpg?rlkey=uqwb8l088kegapui7n4pbzx17&amp;dl=0","Click to download SizeChart")</f>
      </c>
      <c r="C1778" s="0" t="inlineStr">
        <is>
          <t>Meadow Toddler Pullover</t>
        </is>
      </c>
      <c r="D1778" s="0" t="inlineStr">
        <is>
          <t>'123279</t>
        </is>
      </c>
      <c r="E1778" s="0" t="inlineStr">
        <is>
          <t>ISU MEADOW T BK:123279A-2T</t>
        </is>
      </c>
      <c r="F1778" s="0" t="inlineStr">
        <is>
          <t>'801123279089</t>
        </is>
      </c>
      <c r="G1778" s="0" t="inlineStr">
        <is>
          <t>TODDLER</t>
        </is>
      </c>
      <c r="H1778" s="0" t="inlineStr">
        <is>
          <t>2T</t>
        </is>
      </c>
      <c r="I1778" s="0">
        <v>49.99</v>
      </c>
      <c r="J1778" s="0">
        <v>5</v>
      </c>
    </row>
    <row r="1779" spans="1:10" customHeight="0">
      <c r="A1779" s="0">
        <f>HYPERLINK("https://dl.dropboxusercontent.com/scl/fi/cikav34vnd3rzpt9eihsw/123278-af.jpg?rlkey=xxfke9p13sj05xapkooca4cio&amp;dl=0","Click to download Image")</f>
      </c>
      <c r="B1779" s="0">
        <f>HYPERLINK("https://dl.dropboxusercontent.com/scl/fi/5vq9zd4q6avu3uuud4m7k/graphic-update22022-toddler.jpg?rlkey=uqwb8l088kegapui7n4pbzx17&amp;dl=0","Click to download SizeChart")</f>
      </c>
      <c r="C1779" s="0" t="inlineStr">
        <is>
          <t>Meadow Toddler Pullover</t>
        </is>
      </c>
      <c r="D1779" s="0" t="inlineStr">
        <is>
          <t>'123279</t>
        </is>
      </c>
      <c r="E1779" s="0" t="inlineStr">
        <is>
          <t>ISU MEADOW T BK:123279B-3T</t>
        </is>
      </c>
      <c r="F1779" s="0" t="inlineStr">
        <is>
          <t>'801123279096</t>
        </is>
      </c>
      <c r="G1779" s="0" t="inlineStr">
        <is>
          <t>TODDLER</t>
        </is>
      </c>
      <c r="H1779" s="0" t="inlineStr">
        <is>
          <t>3T</t>
        </is>
      </c>
      <c r="I1779" s="0">
        <v>49.99</v>
      </c>
      <c r="J1779" s="0">
        <v>5</v>
      </c>
    </row>
    <row r="1780" spans="1:10" customHeight="0">
      <c r="A1780" s="0">
        <f>HYPERLINK("https://dl.dropboxusercontent.com/scl/fi/cikav34vnd3rzpt9eihsw/123278-af.jpg?rlkey=xxfke9p13sj05xapkooca4cio&amp;dl=0","Click to download Image")</f>
      </c>
      <c r="B1780" s="0">
        <f>HYPERLINK("https://dl.dropboxusercontent.com/scl/fi/5vq9zd4q6avu3uuud4m7k/graphic-update22022-toddler.jpg?rlkey=uqwb8l088kegapui7n4pbzx17&amp;dl=0","Click to download SizeChart")</f>
      </c>
      <c r="C1780" s="0" t="inlineStr">
        <is>
          <t>Meadow Toddler Pullover</t>
        </is>
      </c>
      <c r="D1780" s="0" t="inlineStr">
        <is>
          <t>'123279</t>
        </is>
      </c>
      <c r="E1780" s="0" t="inlineStr">
        <is>
          <t>ISU MEADOW T BK:123279C-4T</t>
        </is>
      </c>
      <c r="F1780" s="0" t="inlineStr">
        <is>
          <t>'801123279102</t>
        </is>
      </c>
      <c r="G1780" s="0" t="inlineStr">
        <is>
          <t>TODDLER</t>
        </is>
      </c>
      <c r="H1780" s="0" t="inlineStr">
        <is>
          <t>4T</t>
        </is>
      </c>
      <c r="I1780" s="0">
        <v>49.99</v>
      </c>
      <c r="J1780" s="0">
        <v>5</v>
      </c>
    </row>
    <row r="1781" spans="1:10" customHeight="0">
      <c r="A1781" s="0">
        <f>HYPERLINK("https://dl.dropboxusercontent.com/scl/fi/cikav34vnd3rzpt9eihsw/123278-af.jpg?rlkey=xxfke9p13sj05xapkooca4cio&amp;dl=0","Click to download Image")</f>
      </c>
      <c r="B1781" s="0">
        <f>HYPERLINK("https://dl.dropboxusercontent.com/scl/fi/5vq9zd4q6avu3uuud4m7k/graphic-update22022-toddler.jpg?rlkey=uqwb8l088kegapui7n4pbzx17&amp;dl=0","Click to download SizeChart")</f>
      </c>
      <c r="C1781" s="0" t="inlineStr">
        <is>
          <t>Meadow Toddler Pullover</t>
        </is>
      </c>
      <c r="D1781" s="0" t="inlineStr">
        <is>
          <t>'123279</t>
        </is>
      </c>
      <c r="E1781" s="0" t="inlineStr">
        <is>
          <t>ISU MEADOW T BK:123279D-5T</t>
        </is>
      </c>
      <c r="F1781" s="0" t="inlineStr">
        <is>
          <t>'801123279119</t>
        </is>
      </c>
      <c r="G1781" s="0" t="inlineStr">
        <is>
          <t>TODDLER</t>
        </is>
      </c>
      <c r="H1781" s="0" t="inlineStr">
        <is>
          <t>5T</t>
        </is>
      </c>
      <c r="I1781" s="0">
        <v>49.99</v>
      </c>
      <c r="J1781" s="0">
        <v>9</v>
      </c>
    </row>
    <row r="1782" spans="1:10" customHeight="0">
      <c r="A1782" s="0">
        <f>HYPERLINK("https://dl.dropboxusercontent.com/scl/fi/cikav34vnd3rzpt9eihsw/123278-af.jpg?rlkey=xxfke9p13sj05xapkooca4cio&amp;dl=0","Click to download Image")</f>
      </c>
      <c r="B1782" s="0">
        <f>HYPERLINK("https://dl.dropboxusercontent.com/scl/fi/5vq9zd4q6avu3uuud4m7k/graphic-update22022-toddler.jpg?rlkey=uqwb8l088kegapui7n4pbzx17&amp;dl=0","Click to download SizeChart")</f>
      </c>
      <c r="C1782" s="0" t="inlineStr">
        <is>
          <t>Meadow Toddler Pullover</t>
        </is>
      </c>
      <c r="D1782" s="0" t="inlineStr">
        <is>
          <t>'123279</t>
        </is>
      </c>
      <c r="E1782" s="0" t="inlineStr">
        <is>
          <t>ISU MEADOW T BK 12PK:123279Z-12PK</t>
        </is>
      </c>
      <c r="F1782" s="0" t="inlineStr">
        <is>
          <t>'801123279997</t>
        </is>
      </c>
      <c r="G1782" s="0" t="inlineStr">
        <is>
          <t>TODDLER</t>
        </is>
      </c>
      <c r="H1782" s="0" t="inlineStr">
        <is>
          <t>12 PACK</t>
        </is>
      </c>
      <c r="I1782" s="0">
        <v>480</v>
      </c>
      <c r="J1782" s="0">
        <v>1</v>
      </c>
    </row>
    <row r="1783" spans="1:10" customHeight="0">
      <c r="A1783" s="0">
        <f>HYPERLINK("https://dl.dropboxusercontent.com/scl/fi/gde0w7ar4qh2ari4zupnn/123679-af.jpg?rlkey=kh0yz3ufpdh96ico8mnro90an&amp;dl=0","Click to download Image")</f>
      </c>
      <c r="B1783" s="0">
        <f>HYPERLINK("https://dl.dropboxusercontent.com/scl/fi/5vq9zd4q6avu3uuud4m7k/graphic-update22022-toddler.jpg?rlkey=uqwb8l088kegapui7n4pbzx17&amp;dl=0","Click to download SizeChart")</f>
      </c>
      <c r="C1783" s="0" t="inlineStr">
        <is>
          <t>Meadow Toddler Pullover</t>
        </is>
      </c>
      <c r="D1783" s="0" t="inlineStr">
        <is>
          <t>'123680</t>
        </is>
      </c>
      <c r="E1783" s="0" t="inlineStr">
        <is>
          <t>NDSU MEADOW T FB:123680A-2T</t>
        </is>
      </c>
      <c r="F1783" s="0" t="inlineStr">
        <is>
          <t>'813123680086</t>
        </is>
      </c>
      <c r="G1783" s="0" t="inlineStr">
        <is>
          <t>TODDLER</t>
        </is>
      </c>
      <c r="H1783" s="0" t="inlineStr">
        <is>
          <t>2T</t>
        </is>
      </c>
      <c r="I1783" s="0">
        <v>49.99</v>
      </c>
      <c r="J1783" s="0">
        <v>2</v>
      </c>
    </row>
    <row r="1784" spans="1:10" customHeight="0">
      <c r="A1784" s="0">
        <f>HYPERLINK("https://dl.dropboxusercontent.com/scl/fi/gde0w7ar4qh2ari4zupnn/123679-af.jpg?rlkey=kh0yz3ufpdh96ico8mnro90an&amp;dl=0","Click to download Image")</f>
      </c>
      <c r="B1784" s="0">
        <f>HYPERLINK("https://dl.dropboxusercontent.com/scl/fi/5vq9zd4q6avu3uuud4m7k/graphic-update22022-toddler.jpg?rlkey=uqwb8l088kegapui7n4pbzx17&amp;dl=0","Click to download SizeChart")</f>
      </c>
      <c r="C1784" s="0" t="inlineStr">
        <is>
          <t>Meadow Toddler Pullover</t>
        </is>
      </c>
      <c r="D1784" s="0" t="inlineStr">
        <is>
          <t>'123680</t>
        </is>
      </c>
      <c r="E1784" s="0" t="inlineStr">
        <is>
          <t>NDSU MEADOW T FB:123680B-3T</t>
        </is>
      </c>
      <c r="F1784" s="0" t="inlineStr">
        <is>
          <t>'813123680093</t>
        </is>
      </c>
      <c r="G1784" s="0" t="inlineStr">
        <is>
          <t>TODDLER</t>
        </is>
      </c>
      <c r="H1784" s="0" t="inlineStr">
        <is>
          <t>3T</t>
        </is>
      </c>
      <c r="I1784" s="0">
        <v>49.99</v>
      </c>
      <c r="J1784" s="0">
        <v>3</v>
      </c>
    </row>
    <row r="1785" spans="1:10" customHeight="0">
      <c r="A1785" s="0">
        <f>HYPERLINK("https://dl.dropboxusercontent.com/scl/fi/gde0w7ar4qh2ari4zupnn/123679-af.jpg?rlkey=kh0yz3ufpdh96ico8mnro90an&amp;dl=0","Click to download Image")</f>
      </c>
      <c r="B1785" s="0">
        <f>HYPERLINK("https://dl.dropboxusercontent.com/scl/fi/5vq9zd4q6avu3uuud4m7k/graphic-update22022-toddler.jpg?rlkey=uqwb8l088kegapui7n4pbzx17&amp;dl=0","Click to download SizeChart")</f>
      </c>
      <c r="C1785" s="0" t="inlineStr">
        <is>
          <t>Meadow Toddler Pullover</t>
        </is>
      </c>
      <c r="D1785" s="0" t="inlineStr">
        <is>
          <t>'123680</t>
        </is>
      </c>
      <c r="E1785" s="0" t="inlineStr">
        <is>
          <t>NDSU MEADOW T FB:123680C-4T</t>
        </is>
      </c>
      <c r="F1785" s="0" t="inlineStr">
        <is>
          <t>'813123680109</t>
        </is>
      </c>
      <c r="G1785" s="0" t="inlineStr">
        <is>
          <t>TODDLER</t>
        </is>
      </c>
      <c r="H1785" s="0" t="inlineStr">
        <is>
          <t>4T</t>
        </is>
      </c>
      <c r="I1785" s="0">
        <v>49.99</v>
      </c>
      <c r="J1785" s="0">
        <v>1</v>
      </c>
    </row>
    <row r="1786" spans="1:10" customHeight="0">
      <c r="A1786" s="0">
        <f>HYPERLINK("https://dl.dropboxusercontent.com/scl/fi/gde0w7ar4qh2ari4zupnn/123679-af.jpg?rlkey=kh0yz3ufpdh96ico8mnro90an&amp;dl=0","Click to download Image")</f>
      </c>
      <c r="B1786" s="0">
        <f>HYPERLINK("https://dl.dropboxusercontent.com/scl/fi/5vq9zd4q6avu3uuud4m7k/graphic-update22022-toddler.jpg?rlkey=uqwb8l088kegapui7n4pbzx17&amp;dl=0","Click to download SizeChart")</f>
      </c>
      <c r="C1786" s="0" t="inlineStr">
        <is>
          <t>Meadow Toddler Pullover</t>
        </is>
      </c>
      <c r="D1786" s="0" t="inlineStr">
        <is>
          <t>'123680</t>
        </is>
      </c>
      <c r="E1786" s="0" t="inlineStr">
        <is>
          <t>NDSU MEADOW T FB:123680D-5T</t>
        </is>
      </c>
      <c r="F1786" s="0" t="inlineStr">
        <is>
          <t>'813123680116</t>
        </is>
      </c>
      <c r="G1786" s="0" t="inlineStr">
        <is>
          <t>TODDLER</t>
        </is>
      </c>
      <c r="H1786" s="0" t="inlineStr">
        <is>
          <t>5T</t>
        </is>
      </c>
      <c r="I1786" s="0">
        <v>49.99</v>
      </c>
      <c r="J1786" s="0">
        <v>5</v>
      </c>
    </row>
    <row r="1787" spans="1:10" customHeight="0">
      <c r="A1787" s="0">
        <f>HYPERLINK("https://dl.dropboxusercontent.com/scl/fi/gde0w7ar4qh2ari4zupnn/123679-af.jpg?rlkey=kh0yz3ufpdh96ico8mnro90an&amp;dl=0","Click to download Image")</f>
      </c>
      <c r="B1787" s="0">
        <f>HYPERLINK("https://dl.dropboxusercontent.com/scl/fi/5vq9zd4q6avu3uuud4m7k/graphic-update22022-toddler.jpg?rlkey=uqwb8l088kegapui7n4pbzx17&amp;dl=0","Click to download SizeChart")</f>
      </c>
      <c r="C1787" s="0" t="inlineStr">
        <is>
          <t>Meadow Toddler Pullover</t>
        </is>
      </c>
      <c r="D1787" s="0" t="inlineStr">
        <is>
          <t>'123680</t>
        </is>
      </c>
      <c r="E1787" s="0" t="inlineStr">
        <is>
          <t>NDSU MEADOW T FB 12PK:123680Z-12PK</t>
        </is>
      </c>
      <c r="F1787" s="0" t="inlineStr">
        <is>
          <t>'813123680994</t>
        </is>
      </c>
      <c r="G1787" s="0" t="inlineStr">
        <is>
          <t>TODDLER</t>
        </is>
      </c>
      <c r="H1787" s="0" t="inlineStr">
        <is>
          <t>12 PACK</t>
        </is>
      </c>
      <c r="I1787" s="0">
        <v>480</v>
      </c>
      <c r="J1787" s="0">
        <v>0</v>
      </c>
    </row>
    <row r="1788" spans="1:10" customHeight="0">
      <c r="A1788" s="0">
        <f>HYPERLINK("https://dl.dropboxusercontent.com/scl/fi/ik2yta89m6b55t6of1uw6/121125-af.jpg?rlkey=7hdpv9ql0gxjzpl72vdnk01zo&amp;dl=0","Click to download Image")</f>
      </c>
      <c r="B1788" s="0">
        <f>HYPERLINK("https://dl.dropboxusercontent.com/scl/fi/280g282h39cto0j5ete0g/graphic-update22022-youth.jpg?rlkey=60l5ozhajgpgzv2udg6jujf8c&amp;dl=0","Click to download SizeChart")</f>
      </c>
      <c r="C1788" s="0" t="inlineStr">
        <is>
          <t>Meadow Youth Pullover</t>
        </is>
      </c>
      <c r="D1788" s="0" t="inlineStr">
        <is>
          <t>'121125</t>
        </is>
      </c>
      <c r="E1788" s="0" t="inlineStr">
        <is>
          <t>IOWA MEADOW Y FROSTED BLACK:121125B-YS</t>
        </is>
      </c>
      <c r="F1788" s="0" t="inlineStr">
        <is>
          <t>'800121125015</t>
        </is>
      </c>
      <c r="G1788" s="0" t="inlineStr">
        <is>
          <t>YOUTH</t>
        </is>
      </c>
      <c r="H1788" s="0" t="inlineStr">
        <is>
          <t>YS</t>
        </is>
      </c>
      <c r="I1788" s="0">
        <v>49.99</v>
      </c>
      <c r="J1788" s="0">
        <v>6</v>
      </c>
    </row>
    <row r="1789" spans="1:10" customHeight="0">
      <c r="A1789" s="0">
        <f>HYPERLINK("https://dl.dropboxusercontent.com/scl/fi/ik2yta89m6b55t6of1uw6/121125-af.jpg?rlkey=7hdpv9ql0gxjzpl72vdnk01zo&amp;dl=0","Click to download Image")</f>
      </c>
      <c r="B1789" s="0">
        <f>HYPERLINK("https://dl.dropboxusercontent.com/scl/fi/280g282h39cto0j5ete0g/graphic-update22022-youth.jpg?rlkey=60l5ozhajgpgzv2udg6jujf8c&amp;dl=0","Click to download SizeChart")</f>
      </c>
      <c r="C1789" s="0" t="inlineStr">
        <is>
          <t>Meadow Youth Pullover</t>
        </is>
      </c>
      <c r="D1789" s="0" t="inlineStr">
        <is>
          <t>'121125</t>
        </is>
      </c>
      <c r="E1789" s="0" t="inlineStr">
        <is>
          <t>IOWA MEADOW Y FROSTED BLACK:121125C-YM</t>
        </is>
      </c>
      <c r="F1789" s="0" t="inlineStr">
        <is>
          <t>'800121125022</t>
        </is>
      </c>
      <c r="G1789" s="0" t="inlineStr">
        <is>
          <t>YOUTH</t>
        </is>
      </c>
      <c r="H1789" s="0" t="inlineStr">
        <is>
          <t>YM</t>
        </is>
      </c>
      <c r="I1789" s="0">
        <v>49.99</v>
      </c>
      <c r="J1789" s="0">
        <v>5</v>
      </c>
    </row>
    <row r="1790" spans="1:10" customHeight="0">
      <c r="A1790" s="0">
        <f>HYPERLINK("https://dl.dropboxusercontent.com/scl/fi/ik2yta89m6b55t6of1uw6/121125-af.jpg?rlkey=7hdpv9ql0gxjzpl72vdnk01zo&amp;dl=0","Click to download Image")</f>
      </c>
      <c r="B1790" s="0">
        <f>HYPERLINK("https://dl.dropboxusercontent.com/scl/fi/280g282h39cto0j5ete0g/graphic-update22022-youth.jpg?rlkey=60l5ozhajgpgzv2udg6jujf8c&amp;dl=0","Click to download SizeChart")</f>
      </c>
      <c r="C1790" s="0" t="inlineStr">
        <is>
          <t>Meadow Youth Pullover</t>
        </is>
      </c>
      <c r="D1790" s="0" t="inlineStr">
        <is>
          <t>'121125</t>
        </is>
      </c>
      <c r="E1790" s="0" t="inlineStr">
        <is>
          <t>IOWA MEADOW Y FROSTED BLACK:121125D-YL</t>
        </is>
      </c>
      <c r="F1790" s="0" t="inlineStr">
        <is>
          <t>'800121125039</t>
        </is>
      </c>
      <c r="G1790" s="0" t="inlineStr">
        <is>
          <t>YOUTH</t>
        </is>
      </c>
      <c r="H1790" s="0" t="inlineStr">
        <is>
          <t>YL</t>
        </is>
      </c>
      <c r="I1790" s="0">
        <v>49.99</v>
      </c>
      <c r="J1790" s="0">
        <v>2</v>
      </c>
    </row>
    <row r="1791" spans="1:10" customHeight="0">
      <c r="A1791" s="0">
        <f>HYPERLINK("https://dl.dropboxusercontent.com/scl/fi/ik2yta89m6b55t6of1uw6/121125-af.jpg?rlkey=7hdpv9ql0gxjzpl72vdnk01zo&amp;dl=0","Click to download Image")</f>
      </c>
      <c r="B1791" s="0">
        <f>HYPERLINK("https://dl.dropboxusercontent.com/scl/fi/280g282h39cto0j5ete0g/graphic-update22022-youth.jpg?rlkey=60l5ozhajgpgzv2udg6jujf8c&amp;dl=0","Click to download SizeChart")</f>
      </c>
      <c r="C1791" s="0" t="inlineStr">
        <is>
          <t>Meadow Youth Pullover</t>
        </is>
      </c>
      <c r="D1791" s="0" t="inlineStr">
        <is>
          <t>'121125</t>
        </is>
      </c>
      <c r="E1791" s="0" t="inlineStr">
        <is>
          <t>IOWA MEADOW Y FROSTED BLACK:121125E-YXL</t>
        </is>
      </c>
      <c r="F1791" s="0" t="inlineStr">
        <is>
          <t>'800121125046</t>
        </is>
      </c>
      <c r="G1791" s="0" t="inlineStr">
        <is>
          <t>YOUTH</t>
        </is>
      </c>
      <c r="H1791" s="0" t="inlineStr">
        <is>
          <t>YXL</t>
        </is>
      </c>
      <c r="I1791" s="0">
        <v>49.99</v>
      </c>
      <c r="J1791" s="0">
        <v>0</v>
      </c>
    </row>
    <row r="1792" spans="1:10" customHeight="0">
      <c r="A1792" s="0">
        <f>HYPERLINK("https://dl.dropboxusercontent.com/scl/fi/ik2yta89m6b55t6of1uw6/121125-af.jpg?rlkey=7hdpv9ql0gxjzpl72vdnk01zo&amp;dl=0","Click to download Image")</f>
      </c>
      <c r="B1792" s="0">
        <f>HYPERLINK("https://dl.dropboxusercontent.com/scl/fi/280g282h39cto0j5ete0g/graphic-update22022-youth.jpg?rlkey=60l5ozhajgpgzv2udg6jujf8c&amp;dl=0","Click to download SizeChart")</f>
      </c>
      <c r="C1792" s="0" t="inlineStr">
        <is>
          <t>Meadow Youth Pullover</t>
        </is>
      </c>
      <c r="D1792" s="0" t="inlineStr">
        <is>
          <t>'121125</t>
        </is>
      </c>
      <c r="E1792" s="0" t="inlineStr">
        <is>
          <t>IOWA MEADOW Y FROSTED BLACK 12 PK:121125Z-12PK</t>
        </is>
      </c>
      <c r="F1792" s="0" t="inlineStr">
        <is>
          <t>'800121125992</t>
        </is>
      </c>
      <c r="G1792" s="0" t="inlineStr">
        <is>
          <t>YOUTH</t>
        </is>
      </c>
      <c r="H1792" s="0" t="inlineStr">
        <is>
          <t>12 PACK</t>
        </is>
      </c>
      <c r="I1792" s="0">
        <v>480</v>
      </c>
      <c r="J1792" s="0">
        <v>0</v>
      </c>
    </row>
    <row r="1793" spans="1:10" customHeight="0">
      <c r="A1793" s="0">
        <f>HYPERLINK("https://dl.dropboxusercontent.com/scl/fi/uxl2d48afygitqf4ae7jy/123278-af.jpg?rlkey=9g2yw1njkv43d2jdylybjrqhp&amp;dl=0","Click to download Image")</f>
      </c>
      <c r="B1793" s="0">
        <f>HYPERLINK("https://dl.dropboxusercontent.com/scl/fi/280g282h39cto0j5ete0g/graphic-update22022-youth.jpg?rlkey=60l5ozhajgpgzv2udg6jujf8c&amp;dl=0","Click to download SizeChart")</f>
      </c>
      <c r="C1793" s="0" t="inlineStr">
        <is>
          <t>Meadow Youth Pullover</t>
        </is>
      </c>
      <c r="D1793" s="0" t="inlineStr">
        <is>
          <t>'123278</t>
        </is>
      </c>
      <c r="E1793" s="0" t="inlineStr">
        <is>
          <t>ISU MEADOW Y BK:123278B-YS</t>
        </is>
      </c>
      <c r="F1793" s="0" t="inlineStr">
        <is>
          <t>'801123278013</t>
        </is>
      </c>
      <c r="G1793" s="0" t="inlineStr">
        <is>
          <t>YOUTH</t>
        </is>
      </c>
      <c r="H1793" s="0" t="inlineStr">
        <is>
          <t>YS</t>
        </is>
      </c>
      <c r="I1793" s="0">
        <v>49.99</v>
      </c>
      <c r="J1793" s="0">
        <v>5</v>
      </c>
    </row>
    <row r="1794" spans="1:10" customHeight="0">
      <c r="A1794" s="0">
        <f>HYPERLINK("https://dl.dropboxusercontent.com/scl/fi/uxl2d48afygitqf4ae7jy/123278-af.jpg?rlkey=9g2yw1njkv43d2jdylybjrqhp&amp;dl=0","Click to download Image")</f>
      </c>
      <c r="B1794" s="0">
        <f>HYPERLINK("https://dl.dropboxusercontent.com/scl/fi/280g282h39cto0j5ete0g/graphic-update22022-youth.jpg?rlkey=60l5ozhajgpgzv2udg6jujf8c&amp;dl=0","Click to download SizeChart")</f>
      </c>
      <c r="C1794" s="0" t="inlineStr">
        <is>
          <t>Meadow Youth Pullover</t>
        </is>
      </c>
      <c r="D1794" s="0" t="inlineStr">
        <is>
          <t>'123278</t>
        </is>
      </c>
      <c r="E1794" s="0" t="inlineStr">
        <is>
          <t>ISU MEADOW Y BK:123278C-YM</t>
        </is>
      </c>
      <c r="F1794" s="0" t="inlineStr">
        <is>
          <t>'801123278020</t>
        </is>
      </c>
      <c r="G1794" s="0" t="inlineStr">
        <is>
          <t>YOUTH</t>
        </is>
      </c>
      <c r="H1794" s="0" t="inlineStr">
        <is>
          <t>YM</t>
        </is>
      </c>
      <c r="I1794" s="0">
        <v>49.99</v>
      </c>
      <c r="J1794" s="0">
        <v>6</v>
      </c>
    </row>
    <row r="1795" spans="1:10" customHeight="0">
      <c r="A1795" s="0">
        <f>HYPERLINK("https://dl.dropboxusercontent.com/scl/fi/uxl2d48afygitqf4ae7jy/123278-af.jpg?rlkey=9g2yw1njkv43d2jdylybjrqhp&amp;dl=0","Click to download Image")</f>
      </c>
      <c r="B1795" s="0">
        <f>HYPERLINK("https://dl.dropboxusercontent.com/scl/fi/280g282h39cto0j5ete0g/graphic-update22022-youth.jpg?rlkey=60l5ozhajgpgzv2udg6jujf8c&amp;dl=0","Click to download SizeChart")</f>
      </c>
      <c r="C1795" s="0" t="inlineStr">
        <is>
          <t>Meadow Youth Pullover</t>
        </is>
      </c>
      <c r="D1795" s="0" t="inlineStr">
        <is>
          <t>'123278</t>
        </is>
      </c>
      <c r="E1795" s="0" t="inlineStr">
        <is>
          <t>ISU MEADOW Y BK:123278D-YL</t>
        </is>
      </c>
      <c r="F1795" s="0" t="inlineStr">
        <is>
          <t>'801123278037</t>
        </is>
      </c>
      <c r="G1795" s="0" t="inlineStr">
        <is>
          <t>YOUTH</t>
        </is>
      </c>
      <c r="H1795" s="0" t="inlineStr">
        <is>
          <t>YL</t>
        </is>
      </c>
      <c r="I1795" s="0">
        <v>49.99</v>
      </c>
      <c r="J1795" s="0">
        <v>1</v>
      </c>
    </row>
    <row r="1796" spans="1:10" customHeight="0">
      <c r="A1796" s="0">
        <f>HYPERLINK("https://dl.dropboxusercontent.com/scl/fi/uxl2d48afygitqf4ae7jy/123278-af.jpg?rlkey=9g2yw1njkv43d2jdylybjrqhp&amp;dl=0","Click to download Image")</f>
      </c>
      <c r="B1796" s="0">
        <f>HYPERLINK("https://dl.dropboxusercontent.com/scl/fi/280g282h39cto0j5ete0g/graphic-update22022-youth.jpg?rlkey=60l5ozhajgpgzv2udg6jujf8c&amp;dl=0","Click to download SizeChart")</f>
      </c>
      <c r="C1796" s="0" t="inlineStr">
        <is>
          <t>Meadow Youth Pullover</t>
        </is>
      </c>
      <c r="D1796" s="0" t="inlineStr">
        <is>
          <t>'123278</t>
        </is>
      </c>
      <c r="E1796" s="0" t="inlineStr">
        <is>
          <t>ISU MEADOW Y BK:123278E-YXL</t>
        </is>
      </c>
      <c r="F1796" s="0" t="inlineStr">
        <is>
          <t>'801123278044</t>
        </is>
      </c>
      <c r="G1796" s="0" t="inlineStr">
        <is>
          <t>YOUTH</t>
        </is>
      </c>
      <c r="H1796" s="0" t="inlineStr">
        <is>
          <t>YXL</t>
        </is>
      </c>
      <c r="I1796" s="0">
        <v>49.99</v>
      </c>
      <c r="J1796" s="0">
        <v>5</v>
      </c>
    </row>
    <row r="1797" spans="1:10" customHeight="0">
      <c r="A1797" s="0">
        <f>HYPERLINK("https://dl.dropboxusercontent.com/scl/fi/uxl2d48afygitqf4ae7jy/123278-af.jpg?rlkey=9g2yw1njkv43d2jdylybjrqhp&amp;dl=0","Click to download Image")</f>
      </c>
      <c r="B1797" s="0">
        <f>HYPERLINK("https://dl.dropboxusercontent.com/scl/fi/280g282h39cto0j5ete0g/graphic-update22022-youth.jpg?rlkey=60l5ozhajgpgzv2udg6jujf8c&amp;dl=0","Click to download SizeChart")</f>
      </c>
      <c r="C1797" s="0" t="inlineStr">
        <is>
          <t>Meadow Youth Pullover</t>
        </is>
      </c>
      <c r="D1797" s="0" t="inlineStr">
        <is>
          <t>'123278</t>
        </is>
      </c>
      <c r="E1797" s="0" t="inlineStr">
        <is>
          <t>ISU MEADOW Y BK 12PK:123278Z-12PK</t>
        </is>
      </c>
      <c r="F1797" s="0" t="inlineStr">
        <is>
          <t>'801123278990</t>
        </is>
      </c>
      <c r="G1797" s="0" t="inlineStr">
        <is>
          <t>YOUTH</t>
        </is>
      </c>
      <c r="H1797" s="0" t="inlineStr">
        <is>
          <t>12 PACK</t>
        </is>
      </c>
      <c r="I1797" s="0">
        <v>480</v>
      </c>
      <c r="J1797" s="0">
        <v>0</v>
      </c>
    </row>
    <row r="1798" spans="1:10" customHeight="0">
      <c r="A1798" s="0">
        <f>HYPERLINK("https://dl.dropboxusercontent.com/scl/fi/zsrv79461o7aye2w5jkef/123508-af.jpg?rlkey=eu5zscp7dlay52y6p2thlq7oq&amp;dl=0","Click to download Image")</f>
      </c>
      <c r="B1798" s="0">
        <f>HYPERLINK("https://dl.dropboxusercontent.com/scl/fi/280g282h39cto0j5ete0g/graphic-update22022-youth.jpg?rlkey=60l5ozhajgpgzv2udg6jujf8c&amp;dl=0","Click to download SizeChart")</f>
      </c>
      <c r="C1798" s="0" t="inlineStr">
        <is>
          <t>Meadow Youth Pullover</t>
        </is>
      </c>
      <c r="D1798" s="0" t="inlineStr">
        <is>
          <t>'123508</t>
        </is>
      </c>
      <c r="E1798" s="0" t="inlineStr">
        <is>
          <t>UNI MEADOW Y FB:123508B-YS</t>
        </is>
      </c>
      <c r="F1798" s="0" t="inlineStr">
        <is>
          <t>'802123508018</t>
        </is>
      </c>
      <c r="G1798" s="0" t="inlineStr">
        <is>
          <t>YOUTH</t>
        </is>
      </c>
      <c r="H1798" s="0" t="inlineStr">
        <is>
          <t>YS</t>
        </is>
      </c>
      <c r="I1798" s="0">
        <v>49.99</v>
      </c>
      <c r="J1798" s="0">
        <v>11</v>
      </c>
    </row>
    <row r="1799" spans="1:10" customHeight="0">
      <c r="A1799" s="0">
        <f>HYPERLINK("https://dl.dropboxusercontent.com/scl/fi/zsrv79461o7aye2w5jkef/123508-af.jpg?rlkey=eu5zscp7dlay52y6p2thlq7oq&amp;dl=0","Click to download Image")</f>
      </c>
      <c r="B1799" s="0">
        <f>HYPERLINK("https://dl.dropboxusercontent.com/scl/fi/280g282h39cto0j5ete0g/graphic-update22022-youth.jpg?rlkey=60l5ozhajgpgzv2udg6jujf8c&amp;dl=0","Click to download SizeChart")</f>
      </c>
      <c r="C1799" s="0" t="inlineStr">
        <is>
          <t>Meadow Youth Pullover</t>
        </is>
      </c>
      <c r="D1799" s="0" t="inlineStr">
        <is>
          <t>'123508</t>
        </is>
      </c>
      <c r="E1799" s="0" t="inlineStr">
        <is>
          <t>UNI MEADOW Y FB:123508C-YM</t>
        </is>
      </c>
      <c r="F1799" s="0" t="inlineStr">
        <is>
          <t>'802123508025</t>
        </is>
      </c>
      <c r="G1799" s="0" t="inlineStr">
        <is>
          <t>YOUTH</t>
        </is>
      </c>
      <c r="H1799" s="0" t="inlineStr">
        <is>
          <t>YM</t>
        </is>
      </c>
      <c r="I1799" s="0">
        <v>49.99</v>
      </c>
      <c r="J1799" s="0">
        <v>12</v>
      </c>
    </row>
    <row r="1800" spans="1:10" customHeight="0">
      <c r="A1800" s="0">
        <f>HYPERLINK("https://dl.dropboxusercontent.com/scl/fi/zsrv79461o7aye2w5jkef/123508-af.jpg?rlkey=eu5zscp7dlay52y6p2thlq7oq&amp;dl=0","Click to download Image")</f>
      </c>
      <c r="B1800" s="0">
        <f>HYPERLINK("https://dl.dropboxusercontent.com/scl/fi/280g282h39cto0j5ete0g/graphic-update22022-youth.jpg?rlkey=60l5ozhajgpgzv2udg6jujf8c&amp;dl=0","Click to download SizeChart")</f>
      </c>
      <c r="C1800" s="0" t="inlineStr">
        <is>
          <t>Meadow Youth Pullover</t>
        </is>
      </c>
      <c r="D1800" s="0" t="inlineStr">
        <is>
          <t>'123508</t>
        </is>
      </c>
      <c r="E1800" s="0" t="inlineStr">
        <is>
          <t>UNI MEADOW Y FB:123508D-YL</t>
        </is>
      </c>
      <c r="F1800" s="0" t="inlineStr">
        <is>
          <t>'802123508032</t>
        </is>
      </c>
      <c r="G1800" s="0" t="inlineStr">
        <is>
          <t>YOUTH</t>
        </is>
      </c>
      <c r="H1800" s="0" t="inlineStr">
        <is>
          <t>YL</t>
        </is>
      </c>
      <c r="I1800" s="0">
        <v>49.99</v>
      </c>
      <c r="J1800" s="0">
        <v>12</v>
      </c>
    </row>
    <row r="1801" spans="1:10" customHeight="0">
      <c r="A1801" s="0">
        <f>HYPERLINK("https://dl.dropboxusercontent.com/scl/fi/zsrv79461o7aye2w5jkef/123508-af.jpg?rlkey=eu5zscp7dlay52y6p2thlq7oq&amp;dl=0","Click to download Image")</f>
      </c>
      <c r="B1801" s="0">
        <f>HYPERLINK("https://dl.dropboxusercontent.com/scl/fi/280g282h39cto0j5ete0g/graphic-update22022-youth.jpg?rlkey=60l5ozhajgpgzv2udg6jujf8c&amp;dl=0","Click to download SizeChart")</f>
      </c>
      <c r="C1801" s="0" t="inlineStr">
        <is>
          <t>Meadow Youth Pullover</t>
        </is>
      </c>
      <c r="D1801" s="0" t="inlineStr">
        <is>
          <t>'123508</t>
        </is>
      </c>
      <c r="E1801" s="0" t="inlineStr">
        <is>
          <t>UNI MEADOW Y FB:123508E-YXL</t>
        </is>
      </c>
      <c r="F1801" s="0" t="inlineStr">
        <is>
          <t>'802123508049</t>
        </is>
      </c>
      <c r="G1801" s="0" t="inlineStr">
        <is>
          <t>YOUTH</t>
        </is>
      </c>
      <c r="H1801" s="0" t="inlineStr">
        <is>
          <t>YXL</t>
        </is>
      </c>
      <c r="I1801" s="0">
        <v>49.99</v>
      </c>
      <c r="J1801" s="0">
        <v>12</v>
      </c>
    </row>
    <row r="1802" spans="1:10" customHeight="0">
      <c r="A1802" s="0">
        <f>HYPERLINK("https://dl.dropboxusercontent.com/scl/fi/zsrv79461o7aye2w5jkef/123508-af.jpg?rlkey=eu5zscp7dlay52y6p2thlq7oq&amp;dl=0","Click to download Image")</f>
      </c>
      <c r="B1802" s="0">
        <f>HYPERLINK("https://dl.dropboxusercontent.com/scl/fi/280g282h39cto0j5ete0g/graphic-update22022-youth.jpg?rlkey=60l5ozhajgpgzv2udg6jujf8c&amp;dl=0","Click to download SizeChart")</f>
      </c>
      <c r="C1802" s="0" t="inlineStr">
        <is>
          <t>Meadow Youth Pullover</t>
        </is>
      </c>
      <c r="D1802" s="0" t="inlineStr">
        <is>
          <t>'123508</t>
        </is>
      </c>
      <c r="E1802" s="0" t="inlineStr">
        <is>
          <t>UNI MEADOW Y FB 12PK:123508Z-12PK</t>
        </is>
      </c>
      <c r="F1802" s="0" t="inlineStr">
        <is>
          <t>'802123508995</t>
        </is>
      </c>
      <c r="G1802" s="0" t="inlineStr">
        <is>
          <t>YOUTH</t>
        </is>
      </c>
      <c r="H1802" s="0" t="inlineStr">
        <is>
          <t>12 PACK</t>
        </is>
      </c>
      <c r="I1802" s="0">
        <v>480</v>
      </c>
      <c r="J1802" s="0">
        <v>3</v>
      </c>
    </row>
    <row r="1803" spans="1:10" customHeight="0">
      <c r="A1803" s="0">
        <f>HYPERLINK("https://dl.dropboxusercontent.com/scl/fi/jj91v38ctw46shhj2oies/123679-af.jpg?rlkey=9p955o7rodrslin5kk9qeiozv&amp;dl=0","Click to download Image")</f>
      </c>
      <c r="B1803" s="0">
        <f>HYPERLINK("https://dl.dropboxusercontent.com/scl/fi/280g282h39cto0j5ete0g/graphic-update22022-youth.jpg?rlkey=60l5ozhajgpgzv2udg6jujf8c&amp;dl=0","Click to download SizeChart")</f>
      </c>
      <c r="C1803" s="0" t="inlineStr">
        <is>
          <t>Meadow Youth Pullover</t>
        </is>
      </c>
      <c r="D1803" s="0" t="inlineStr">
        <is>
          <t>'123679</t>
        </is>
      </c>
      <c r="E1803" s="0" t="inlineStr">
        <is>
          <t>NDSU MEADOW Y FB:123679B-YS</t>
        </is>
      </c>
      <c r="F1803" s="0" t="inlineStr">
        <is>
          <t>'813123679011</t>
        </is>
      </c>
      <c r="G1803" s="0" t="inlineStr">
        <is>
          <t>YOUTH</t>
        </is>
      </c>
      <c r="H1803" s="0" t="inlineStr">
        <is>
          <t>YS</t>
        </is>
      </c>
      <c r="I1803" s="0">
        <v>49.99</v>
      </c>
      <c r="J1803" s="0">
        <v>7</v>
      </c>
    </row>
    <row r="1804" spans="1:10" customHeight="0">
      <c r="A1804" s="0">
        <f>HYPERLINK("https://dl.dropboxusercontent.com/scl/fi/jj91v38ctw46shhj2oies/123679-af.jpg?rlkey=9p955o7rodrslin5kk9qeiozv&amp;dl=0","Click to download Image")</f>
      </c>
      <c r="B1804" s="0">
        <f>HYPERLINK("https://dl.dropboxusercontent.com/scl/fi/280g282h39cto0j5ete0g/graphic-update22022-youth.jpg?rlkey=60l5ozhajgpgzv2udg6jujf8c&amp;dl=0","Click to download SizeChart")</f>
      </c>
      <c r="C1804" s="0" t="inlineStr">
        <is>
          <t>Meadow Youth Pullover</t>
        </is>
      </c>
      <c r="D1804" s="0" t="inlineStr">
        <is>
          <t>'123679</t>
        </is>
      </c>
      <c r="E1804" s="0" t="inlineStr">
        <is>
          <t>NDSU MEADOW Y FB:123679C-YM</t>
        </is>
      </c>
      <c r="F1804" s="0" t="inlineStr">
        <is>
          <t>'813123679028</t>
        </is>
      </c>
      <c r="G1804" s="0" t="inlineStr">
        <is>
          <t>YOUTH</t>
        </is>
      </c>
      <c r="H1804" s="0" t="inlineStr">
        <is>
          <t>YM</t>
        </is>
      </c>
      <c r="I1804" s="0">
        <v>49.99</v>
      </c>
      <c r="J1804" s="0">
        <v>6</v>
      </c>
    </row>
    <row r="1805" spans="1:10" customHeight="0">
      <c r="A1805" s="0">
        <f>HYPERLINK("https://dl.dropboxusercontent.com/scl/fi/jj91v38ctw46shhj2oies/123679-af.jpg?rlkey=9p955o7rodrslin5kk9qeiozv&amp;dl=0","Click to download Image")</f>
      </c>
      <c r="B1805" s="0">
        <f>HYPERLINK("https://dl.dropboxusercontent.com/scl/fi/280g282h39cto0j5ete0g/graphic-update22022-youth.jpg?rlkey=60l5ozhajgpgzv2udg6jujf8c&amp;dl=0","Click to download SizeChart")</f>
      </c>
      <c r="C1805" s="0" t="inlineStr">
        <is>
          <t>Meadow Youth Pullover</t>
        </is>
      </c>
      <c r="D1805" s="0" t="inlineStr">
        <is>
          <t>'123679</t>
        </is>
      </c>
      <c r="E1805" s="0" t="inlineStr">
        <is>
          <t>NDSU MEADOW Y FB:123679D-YL</t>
        </is>
      </c>
      <c r="F1805" s="0" t="inlineStr">
        <is>
          <t>'813123679035</t>
        </is>
      </c>
      <c r="G1805" s="0" t="inlineStr">
        <is>
          <t>YOUTH</t>
        </is>
      </c>
      <c r="H1805" s="0" t="inlineStr">
        <is>
          <t>YL</t>
        </is>
      </c>
      <c r="I1805" s="0">
        <v>49.99</v>
      </c>
      <c r="J1805" s="0">
        <v>6</v>
      </c>
    </row>
    <row r="1806" spans="1:10" customHeight="0">
      <c r="A1806" s="0">
        <f>HYPERLINK("https://dl.dropboxusercontent.com/scl/fi/jj91v38ctw46shhj2oies/123679-af.jpg?rlkey=9p955o7rodrslin5kk9qeiozv&amp;dl=0","Click to download Image")</f>
      </c>
      <c r="B1806" s="0">
        <f>HYPERLINK("https://dl.dropboxusercontent.com/scl/fi/280g282h39cto0j5ete0g/graphic-update22022-youth.jpg?rlkey=60l5ozhajgpgzv2udg6jujf8c&amp;dl=0","Click to download SizeChart")</f>
      </c>
      <c r="C1806" s="0" t="inlineStr">
        <is>
          <t>Meadow Youth Pullover</t>
        </is>
      </c>
      <c r="D1806" s="0" t="inlineStr">
        <is>
          <t>'123679</t>
        </is>
      </c>
      <c r="E1806" s="0" t="inlineStr">
        <is>
          <t>NDSU MEADOW Y FB:123679E-YXL</t>
        </is>
      </c>
      <c r="F1806" s="0" t="inlineStr">
        <is>
          <t>'813123679042</t>
        </is>
      </c>
      <c r="G1806" s="0" t="inlineStr">
        <is>
          <t>YOUTH</t>
        </is>
      </c>
      <c r="H1806" s="0" t="inlineStr">
        <is>
          <t>YXL</t>
        </is>
      </c>
      <c r="I1806" s="0">
        <v>49.99</v>
      </c>
      <c r="J1806" s="0">
        <v>4</v>
      </c>
    </row>
    <row r="1807" spans="1:10" customHeight="0">
      <c r="A1807" s="0">
        <f>HYPERLINK("https://dl.dropboxusercontent.com/scl/fi/jj91v38ctw46shhj2oies/123679-af.jpg?rlkey=9p955o7rodrslin5kk9qeiozv&amp;dl=0","Click to download Image")</f>
      </c>
      <c r="B1807" s="0">
        <f>HYPERLINK("https://dl.dropboxusercontent.com/scl/fi/280g282h39cto0j5ete0g/graphic-update22022-youth.jpg?rlkey=60l5ozhajgpgzv2udg6jujf8c&amp;dl=0","Click to download SizeChart")</f>
      </c>
      <c r="C1807" s="0" t="inlineStr">
        <is>
          <t>Meadow Youth Pullover</t>
        </is>
      </c>
      <c r="D1807" s="0" t="inlineStr">
        <is>
          <t>'123679</t>
        </is>
      </c>
      <c r="E1807" s="0" t="inlineStr">
        <is>
          <t>NDSU MEADOW Y FB 12PK:123679Z-12PK</t>
        </is>
      </c>
      <c r="F1807" s="0" t="inlineStr">
        <is>
          <t>'813123679998</t>
        </is>
      </c>
      <c r="G1807" s="0" t="inlineStr">
        <is>
          <t>YOUTH</t>
        </is>
      </c>
      <c r="H1807" s="0" t="inlineStr">
        <is>
          <t>12 PACK</t>
        </is>
      </c>
      <c r="I1807" s="0">
        <v>480</v>
      </c>
      <c r="J1807" s="0">
        <v>1</v>
      </c>
    </row>
    <row r="1808" spans="1:10" customHeight="0">
      <c r="A1808" s="0">
        <f>HYPERLINK("https://dl.dropboxusercontent.com/scl/fi/c19v1kd8g03xg1erekonl/123686-af.jpg?rlkey=wxntvf2b70tpohhic9eeognus&amp;dl=0","Click to download Image")</f>
      </c>
      <c r="B1808" s="0">
        <f>HYPERLINK("https://dl.dropboxusercontent.com/scl/fi/280g282h39cto0j5ete0g/graphic-update22022-youth.jpg?rlkey=60l5ozhajgpgzv2udg6jujf8c&amp;dl=0","Click to download SizeChart")</f>
      </c>
      <c r="C1808" s="0" t="inlineStr">
        <is>
          <t>Meadow Youth Pullover</t>
        </is>
      </c>
      <c r="D1808" s="0" t="inlineStr">
        <is>
          <t>'123686</t>
        </is>
      </c>
      <c r="E1808" s="0" t="inlineStr">
        <is>
          <t>SDSU MEADOW Y FB:123686B-YS</t>
        </is>
      </c>
      <c r="F1808" s="0" t="inlineStr">
        <is>
          <t>'816123686010</t>
        </is>
      </c>
      <c r="G1808" s="0" t="inlineStr">
        <is>
          <t>YOUTH</t>
        </is>
      </c>
      <c r="H1808" s="0" t="inlineStr">
        <is>
          <t>YS</t>
        </is>
      </c>
      <c r="I1808" s="0">
        <v>49.99</v>
      </c>
      <c r="J1808" s="0">
        <v>6</v>
      </c>
    </row>
    <row r="1809" spans="1:10" customHeight="0">
      <c r="A1809" s="0">
        <f>HYPERLINK("https://dl.dropboxusercontent.com/scl/fi/c19v1kd8g03xg1erekonl/123686-af.jpg?rlkey=wxntvf2b70tpohhic9eeognus&amp;dl=0","Click to download Image")</f>
      </c>
      <c r="B1809" s="0">
        <f>HYPERLINK("https://dl.dropboxusercontent.com/scl/fi/280g282h39cto0j5ete0g/graphic-update22022-youth.jpg?rlkey=60l5ozhajgpgzv2udg6jujf8c&amp;dl=0","Click to download SizeChart")</f>
      </c>
      <c r="C1809" s="0" t="inlineStr">
        <is>
          <t>Meadow Youth Pullover</t>
        </is>
      </c>
      <c r="D1809" s="0" t="inlineStr">
        <is>
          <t>'123686</t>
        </is>
      </c>
      <c r="E1809" s="0" t="inlineStr">
        <is>
          <t>SDSU MEADOW Y FB:123686C-YM</t>
        </is>
      </c>
      <c r="F1809" s="0" t="inlineStr">
        <is>
          <t>'816123686027</t>
        </is>
      </c>
      <c r="G1809" s="0" t="inlineStr">
        <is>
          <t>YOUTH</t>
        </is>
      </c>
      <c r="H1809" s="0" t="inlineStr">
        <is>
          <t>YM</t>
        </is>
      </c>
      <c r="I1809" s="0">
        <v>49.99</v>
      </c>
      <c r="J1809" s="0">
        <v>4</v>
      </c>
    </row>
    <row r="1810" spans="1:10" customHeight="0">
      <c r="A1810" s="0">
        <f>HYPERLINK("https://dl.dropboxusercontent.com/scl/fi/c19v1kd8g03xg1erekonl/123686-af.jpg?rlkey=wxntvf2b70tpohhic9eeognus&amp;dl=0","Click to download Image")</f>
      </c>
      <c r="B1810" s="0">
        <f>HYPERLINK("https://dl.dropboxusercontent.com/scl/fi/280g282h39cto0j5ete0g/graphic-update22022-youth.jpg?rlkey=60l5ozhajgpgzv2udg6jujf8c&amp;dl=0","Click to download SizeChart")</f>
      </c>
      <c r="C1810" s="0" t="inlineStr">
        <is>
          <t>Meadow Youth Pullover</t>
        </is>
      </c>
      <c r="D1810" s="0" t="inlineStr">
        <is>
          <t>'123686</t>
        </is>
      </c>
      <c r="E1810" s="0" t="inlineStr">
        <is>
          <t>SDSU MEADOW Y FB:123686D-YL</t>
        </is>
      </c>
      <c r="F1810" s="0" t="inlineStr">
        <is>
          <t>'816123686034</t>
        </is>
      </c>
      <c r="G1810" s="0" t="inlineStr">
        <is>
          <t>YOUTH</t>
        </is>
      </c>
      <c r="H1810" s="0" t="inlineStr">
        <is>
          <t>YL</t>
        </is>
      </c>
      <c r="I1810" s="0">
        <v>49.99</v>
      </c>
      <c r="J1810" s="0">
        <v>4</v>
      </c>
    </row>
    <row r="1811" spans="1:10" customHeight="0">
      <c r="A1811" s="0">
        <f>HYPERLINK("https://dl.dropboxusercontent.com/scl/fi/c19v1kd8g03xg1erekonl/123686-af.jpg?rlkey=wxntvf2b70tpohhic9eeognus&amp;dl=0","Click to download Image")</f>
      </c>
      <c r="B1811" s="0">
        <f>HYPERLINK("https://dl.dropboxusercontent.com/scl/fi/280g282h39cto0j5ete0g/graphic-update22022-youth.jpg?rlkey=60l5ozhajgpgzv2udg6jujf8c&amp;dl=0","Click to download SizeChart")</f>
      </c>
      <c r="C1811" s="0" t="inlineStr">
        <is>
          <t>Meadow Youth Pullover</t>
        </is>
      </c>
      <c r="D1811" s="0" t="inlineStr">
        <is>
          <t>'123686</t>
        </is>
      </c>
      <c r="E1811" s="0" t="inlineStr">
        <is>
          <t>SDSU MEADOW Y FB:123686E-YXL</t>
        </is>
      </c>
      <c r="F1811" s="0" t="inlineStr">
        <is>
          <t>'816123686041</t>
        </is>
      </c>
      <c r="G1811" s="0" t="inlineStr">
        <is>
          <t>YOUTH</t>
        </is>
      </c>
      <c r="H1811" s="0" t="inlineStr">
        <is>
          <t>YXL</t>
        </is>
      </c>
      <c r="I1811" s="0">
        <v>49.99</v>
      </c>
      <c r="J1811" s="0">
        <v>6</v>
      </c>
    </row>
    <row r="1812" spans="1:10" customHeight="0">
      <c r="A1812" s="0">
        <f>HYPERLINK("https://dl.dropboxusercontent.com/scl/fi/c19v1kd8g03xg1erekonl/123686-af.jpg?rlkey=wxntvf2b70tpohhic9eeognus&amp;dl=0","Click to download Image")</f>
      </c>
      <c r="B1812" s="0">
        <f>HYPERLINK("https://dl.dropboxusercontent.com/scl/fi/280g282h39cto0j5ete0g/graphic-update22022-youth.jpg?rlkey=60l5ozhajgpgzv2udg6jujf8c&amp;dl=0","Click to download SizeChart")</f>
      </c>
      <c r="C1812" s="0" t="inlineStr">
        <is>
          <t>Meadow Youth Pullover</t>
        </is>
      </c>
      <c r="D1812" s="0" t="inlineStr">
        <is>
          <t>'123686</t>
        </is>
      </c>
      <c r="E1812" s="0" t="inlineStr">
        <is>
          <t>SDSU MEADOW Y FB 12PK:123686Z-12PK</t>
        </is>
      </c>
      <c r="F1812" s="0" t="inlineStr">
        <is>
          <t>'816123686997</t>
        </is>
      </c>
      <c r="G1812" s="0" t="inlineStr">
        <is>
          <t>YOUTH</t>
        </is>
      </c>
      <c r="H1812" s="0" t="inlineStr">
        <is>
          <t>12 PACK</t>
        </is>
      </c>
      <c r="I1812" s="0">
        <v>480</v>
      </c>
      <c r="J1812" s="0">
        <v>1</v>
      </c>
    </row>
    <row r="1813" spans="1:10" customHeight="0">
      <c r="A1813" s="0">
        <f>HYPERLINK("https://dl.dropboxusercontent.com/scl/fi/4elyvzcyryy5ptyqa7igz/112814-af.jpg?rlkey=fbhohko3efi4yjrevr4q4auyb&amp;dl=0","Click to download Image")</f>
      </c>
      <c r="C1813" s="0" t="inlineStr">
        <is>
          <t>Prudence Women's Beanie</t>
        </is>
      </c>
      <c r="D1813" s="0" t="inlineStr">
        <is>
          <t>'112814</t>
        </is>
      </c>
      <c r="E1813" s="0" t="inlineStr">
        <is>
          <t>ISU PRUDENCE CARDINAL:112814</t>
        </is>
      </c>
      <c r="F1813" s="0" t="inlineStr">
        <is>
          <t>'701112814010</t>
        </is>
      </c>
      <c r="G1813" s="0" t="inlineStr">
        <is>
          <t>WOMENS</t>
        </is>
      </c>
      <c r="H1813" s="0" t="inlineStr">
        <is>
          <t>WOMENS</t>
        </is>
      </c>
      <c r="I1813" s="0">
        <v>24.99</v>
      </c>
      <c r="J1813" s="0">
        <v>125</v>
      </c>
    </row>
    <row r="1814" spans="1:10" customHeight="0">
      <c r="A1814" s="0">
        <f>HYPERLINK("https://dl.dropboxusercontent.com/scl/fi/kwief4glqyst2czcwwbpc/123382-af.jpg?rlkey=wzjsg62k6kzruggj1i64lrvss&amp;dl=0","Click to download Image")</f>
      </c>
      <c r="C1814" s="0" t="inlineStr">
        <is>
          <t>Prudence Women's Beanie</t>
        </is>
      </c>
      <c r="D1814" s="0" t="inlineStr">
        <is>
          <t>'123382</t>
        </is>
      </c>
      <c r="E1814" s="0" t="inlineStr">
        <is>
          <t>UNI PRUDEN PE:123382</t>
        </is>
      </c>
      <c r="F1814" s="0" t="inlineStr">
        <is>
          <t>'702123382017</t>
        </is>
      </c>
      <c r="G1814" s="0" t="inlineStr">
        <is>
          <t>WOMENS</t>
        </is>
      </c>
      <c r="H1814" s="0" t="inlineStr">
        <is>
          <t>WOMENS</t>
        </is>
      </c>
      <c r="I1814" s="0">
        <v>24.99</v>
      </c>
      <c r="J1814" s="0">
        <v>95</v>
      </c>
    </row>
    <row r="1815" spans="1:10" customHeight="0">
      <c r="A1815" s="0">
        <f>HYPERLINK("https://dl.dropboxusercontent.com/scl/fi/7ko054phcq2hyn99hagni/124075-af.jpg?rlkey=ecwd7iz3wl1nzi2erxud205a4&amp;dl=0","Click to download Image")</f>
      </c>
      <c r="C1815" s="0" t="inlineStr">
        <is>
          <t>Prudence Women's Beanie</t>
        </is>
      </c>
      <c r="D1815" s="0" t="inlineStr">
        <is>
          <t>'124075</t>
        </is>
      </c>
      <c r="E1815" s="0" t="inlineStr">
        <is>
          <t>USD PRUDEN:124075</t>
        </is>
      </c>
      <c r="F1815" s="0" t="inlineStr">
        <is>
          <t>'711124075019</t>
        </is>
      </c>
      <c r="G1815" s="0" t="inlineStr">
        <is>
          <t>WOMENS</t>
        </is>
      </c>
      <c r="H1815" s="0" t="inlineStr">
        <is>
          <t>WOMENS</t>
        </is>
      </c>
      <c r="I1815" s="0">
        <v>24.99</v>
      </c>
      <c r="J1815" s="0">
        <v>30</v>
      </c>
    </row>
    <row r="1816" spans="1:10" customHeight="0">
      <c r="A1816" s="0">
        <f>HYPERLINK("https://dl.dropboxusercontent.com/scl/fi/578kfxt2dn2ypze2wx8py/123138-af.jpg?rlkey=gh8vwjnjfhjky5uyl4r8nswjo&amp;dl=0","Click to download Image")</f>
      </c>
      <c r="C1816" s="0" t="inlineStr">
        <is>
          <t>Luma Toddler Hoodie</t>
        </is>
      </c>
      <c r="D1816" s="0" t="inlineStr">
        <is>
          <t>'123141</t>
        </is>
      </c>
      <c r="E1816" s="0" t="inlineStr">
        <is>
          <t>UNI LUMA T PE:123141A-2T</t>
        </is>
      </c>
      <c r="F1816" s="0" t="inlineStr">
        <is>
          <t>'802123141086</t>
        </is>
      </c>
      <c r="G1816" s="0" t="inlineStr">
        <is>
          <t>TODDLER</t>
        </is>
      </c>
      <c r="H1816" s="0" t="inlineStr">
        <is>
          <t>2T</t>
        </is>
      </c>
      <c r="I1816" s="0">
        <v>49.99</v>
      </c>
      <c r="J1816" s="0">
        <v>17</v>
      </c>
    </row>
    <row r="1817" spans="1:10" customHeight="0">
      <c r="A1817" s="0">
        <f>HYPERLINK("https://dl.dropboxusercontent.com/scl/fi/578kfxt2dn2ypze2wx8py/123138-af.jpg?rlkey=gh8vwjnjfhjky5uyl4r8nswjo&amp;dl=0","Click to download Image")</f>
      </c>
      <c r="C1817" s="0" t="inlineStr">
        <is>
          <t>Luma Toddler Hoodie</t>
        </is>
      </c>
      <c r="D1817" s="0" t="inlineStr">
        <is>
          <t>'123141</t>
        </is>
      </c>
      <c r="E1817" s="0" t="inlineStr">
        <is>
          <t>UNI LUMA T PE:123141B-3T</t>
        </is>
      </c>
      <c r="F1817" s="0" t="inlineStr">
        <is>
          <t>'802123141093</t>
        </is>
      </c>
      <c r="G1817" s="0" t="inlineStr">
        <is>
          <t>TODDLER</t>
        </is>
      </c>
      <c r="H1817" s="0" t="inlineStr">
        <is>
          <t>3T</t>
        </is>
      </c>
      <c r="I1817" s="0">
        <v>49.99</v>
      </c>
      <c r="J1817" s="0">
        <v>17</v>
      </c>
    </row>
    <row r="1818" spans="1:10" customHeight="0">
      <c r="A1818" s="0">
        <f>HYPERLINK("https://dl.dropboxusercontent.com/scl/fi/578kfxt2dn2ypze2wx8py/123138-af.jpg?rlkey=gh8vwjnjfhjky5uyl4r8nswjo&amp;dl=0","Click to download Image")</f>
      </c>
      <c r="C1818" s="0" t="inlineStr">
        <is>
          <t>Luma Toddler Hoodie</t>
        </is>
      </c>
      <c r="D1818" s="0" t="inlineStr">
        <is>
          <t>'123141</t>
        </is>
      </c>
      <c r="E1818" s="0" t="inlineStr">
        <is>
          <t>UNI LUMA T PE:123141C-4T</t>
        </is>
      </c>
      <c r="F1818" s="0" t="inlineStr">
        <is>
          <t>'802123141109</t>
        </is>
      </c>
      <c r="G1818" s="0" t="inlineStr">
        <is>
          <t>TODDLER</t>
        </is>
      </c>
      <c r="H1818" s="0" t="inlineStr">
        <is>
          <t>4T</t>
        </is>
      </c>
      <c r="I1818" s="0">
        <v>49.99</v>
      </c>
      <c r="J1818" s="0">
        <v>16</v>
      </c>
    </row>
    <row r="1819" spans="1:10" customHeight="0">
      <c r="A1819" s="0">
        <f>HYPERLINK("https://dl.dropboxusercontent.com/scl/fi/578kfxt2dn2ypze2wx8py/123138-af.jpg?rlkey=gh8vwjnjfhjky5uyl4r8nswjo&amp;dl=0","Click to download Image")</f>
      </c>
      <c r="C1819" s="0" t="inlineStr">
        <is>
          <t>Luma Toddler Hoodie</t>
        </is>
      </c>
      <c r="D1819" s="0" t="inlineStr">
        <is>
          <t>'123141</t>
        </is>
      </c>
      <c r="E1819" s="0" t="inlineStr">
        <is>
          <t>UNI LUMA T PE:123141D-5T</t>
        </is>
      </c>
      <c r="F1819" s="0" t="inlineStr">
        <is>
          <t>'802123141116</t>
        </is>
      </c>
      <c r="G1819" s="0" t="inlineStr">
        <is>
          <t>TODDLER</t>
        </is>
      </c>
      <c r="H1819" s="0" t="inlineStr">
        <is>
          <t>5T</t>
        </is>
      </c>
      <c r="I1819" s="0">
        <v>49.99</v>
      </c>
      <c r="J1819" s="0">
        <v>18</v>
      </c>
    </row>
    <row r="1820" spans="1:10" customHeight="0">
      <c r="A1820" s="0">
        <f>HYPERLINK("https://dl.dropboxusercontent.com/scl/fi/578kfxt2dn2ypze2wx8py/123138-af.jpg?rlkey=gh8vwjnjfhjky5uyl4r8nswjo&amp;dl=0","Click to download Image")</f>
      </c>
      <c r="C1820" s="0" t="inlineStr">
        <is>
          <t>Luma Toddler Hoodie</t>
        </is>
      </c>
      <c r="D1820" s="0" t="inlineStr">
        <is>
          <t>'123141</t>
        </is>
      </c>
      <c r="E1820" s="0" t="inlineStr">
        <is>
          <t>UNI LUMA T PE 12PK:123141Z-12PK</t>
        </is>
      </c>
      <c r="F1820" s="0" t="inlineStr">
        <is>
          <t>'802123141994</t>
        </is>
      </c>
      <c r="G1820" s="0" t="inlineStr">
        <is>
          <t>TODDLER</t>
        </is>
      </c>
      <c r="H1820" s="0" t="inlineStr">
        <is>
          <t>12 PACK</t>
        </is>
      </c>
      <c r="I1820" s="0">
        <v>486</v>
      </c>
      <c r="J1820" s="0">
        <v>5</v>
      </c>
    </row>
    <row r="1821" spans="1:10" customHeight="0">
      <c r="A1821" s="0">
        <f>HYPERLINK("https://dl.dropboxusercontent.com/scl/fi/much614jokgm5evntvuen/123137-f.jpg?rlkey=z9equ1va6fbelthc10k0i97bz&amp;dl=0","Click to download Image")</f>
      </c>
      <c r="C1821" s="0" t="inlineStr">
        <is>
          <t>Luma Toddler Hoodie</t>
        </is>
      </c>
      <c r="D1821" s="0" t="inlineStr">
        <is>
          <t>'123140</t>
        </is>
      </c>
      <c r="E1821" s="0" t="inlineStr">
        <is>
          <t>ISU LUMA T OG:123140A-2T</t>
        </is>
      </c>
      <c r="F1821" s="0" t="inlineStr">
        <is>
          <t>'801123140082</t>
        </is>
      </c>
      <c r="G1821" s="0" t="inlineStr">
        <is>
          <t>TODDLER</t>
        </is>
      </c>
      <c r="H1821" s="0" t="inlineStr">
        <is>
          <t>2T</t>
        </is>
      </c>
      <c r="I1821" s="0">
        <v>49.99</v>
      </c>
      <c r="J1821" s="0">
        <v>20</v>
      </c>
    </row>
    <row r="1822" spans="1:10" customHeight="0">
      <c r="A1822" s="0">
        <f>HYPERLINK("https://dl.dropboxusercontent.com/scl/fi/much614jokgm5evntvuen/123137-f.jpg?rlkey=z9equ1va6fbelthc10k0i97bz&amp;dl=0","Click to download Image")</f>
      </c>
      <c r="C1822" s="0" t="inlineStr">
        <is>
          <t>Luma Toddler Hoodie</t>
        </is>
      </c>
      <c r="D1822" s="0" t="inlineStr">
        <is>
          <t>'123140</t>
        </is>
      </c>
      <c r="E1822" s="0" t="inlineStr">
        <is>
          <t>ISU LUMA T OG:123140B-3T</t>
        </is>
      </c>
      <c r="F1822" s="0" t="inlineStr">
        <is>
          <t>'801123140099</t>
        </is>
      </c>
      <c r="G1822" s="0" t="inlineStr">
        <is>
          <t>TODDLER</t>
        </is>
      </c>
      <c r="H1822" s="0" t="inlineStr">
        <is>
          <t>3T</t>
        </is>
      </c>
      <c r="I1822" s="0">
        <v>49.99</v>
      </c>
      <c r="J1822" s="0">
        <v>20</v>
      </c>
    </row>
    <row r="1823" spans="1:10" customHeight="0">
      <c r="A1823" s="0">
        <f>HYPERLINK("https://dl.dropboxusercontent.com/scl/fi/much614jokgm5evntvuen/123137-f.jpg?rlkey=z9equ1va6fbelthc10k0i97bz&amp;dl=0","Click to download Image")</f>
      </c>
      <c r="C1823" s="0" t="inlineStr">
        <is>
          <t>Luma Toddler Hoodie</t>
        </is>
      </c>
      <c r="D1823" s="0" t="inlineStr">
        <is>
          <t>'123140</t>
        </is>
      </c>
      <c r="E1823" s="0" t="inlineStr">
        <is>
          <t>ISU LUMA T OG:123140C-4T</t>
        </is>
      </c>
      <c r="F1823" s="0" t="inlineStr">
        <is>
          <t>'801123140105</t>
        </is>
      </c>
      <c r="G1823" s="0" t="inlineStr">
        <is>
          <t>TODDLER</t>
        </is>
      </c>
      <c r="H1823" s="0" t="inlineStr">
        <is>
          <t>4T</t>
        </is>
      </c>
      <c r="I1823" s="0">
        <v>49.99</v>
      </c>
      <c r="J1823" s="0">
        <v>19</v>
      </c>
    </row>
    <row r="1824" spans="1:10" customHeight="0">
      <c r="A1824" s="0">
        <f>HYPERLINK("https://dl.dropboxusercontent.com/scl/fi/much614jokgm5evntvuen/123137-f.jpg?rlkey=z9equ1va6fbelthc10k0i97bz&amp;dl=0","Click to download Image")</f>
      </c>
      <c r="C1824" s="0" t="inlineStr">
        <is>
          <t>Luma Toddler Hoodie</t>
        </is>
      </c>
      <c r="D1824" s="0" t="inlineStr">
        <is>
          <t>'123140</t>
        </is>
      </c>
      <c r="E1824" s="0" t="inlineStr">
        <is>
          <t>ISU LUMA T OG:123140D-5T</t>
        </is>
      </c>
      <c r="F1824" s="0" t="inlineStr">
        <is>
          <t>'801123140112</t>
        </is>
      </c>
      <c r="G1824" s="0" t="inlineStr">
        <is>
          <t>TODDLER</t>
        </is>
      </c>
      <c r="H1824" s="0" t="inlineStr">
        <is>
          <t>5T</t>
        </is>
      </c>
      <c r="I1824" s="0">
        <v>49.99</v>
      </c>
      <c r="J1824" s="0">
        <v>25</v>
      </c>
    </row>
    <row r="1825" spans="1:10" customHeight="0">
      <c r="A1825" s="0">
        <f>HYPERLINK("https://dl.dropboxusercontent.com/scl/fi/much614jokgm5evntvuen/123137-f.jpg?rlkey=z9equ1va6fbelthc10k0i97bz&amp;dl=0","Click to download Image")</f>
      </c>
      <c r="C1825" s="0" t="inlineStr">
        <is>
          <t>Luma Toddler Hoodie</t>
        </is>
      </c>
      <c r="D1825" s="0" t="inlineStr">
        <is>
          <t>'123140</t>
        </is>
      </c>
      <c r="E1825" s="0" t="inlineStr">
        <is>
          <t>ISU LUMA T OG 12PK:123140Z-12PK</t>
        </is>
      </c>
      <c r="F1825" s="0" t="inlineStr">
        <is>
          <t>'801123140990</t>
        </is>
      </c>
      <c r="G1825" s="0" t="inlineStr">
        <is>
          <t>TODDLER</t>
        </is>
      </c>
      <c r="H1825" s="0" t="inlineStr">
        <is>
          <t>12 PACK</t>
        </is>
      </c>
      <c r="I1825" s="0">
        <v>486</v>
      </c>
      <c r="J1825" s="0">
        <v>6</v>
      </c>
    </row>
    <row r="1826" spans="1:10" customHeight="0">
      <c r="A1826" s="0">
        <f>HYPERLINK("https://dl.dropboxusercontent.com/scl/fi/upclxgwvbt4zqq2vcd21l/123136-f.jpg?rlkey=p1w7kd7rdigb88vzp5j8uu9dp&amp;dl=0","Click to download Image")</f>
      </c>
      <c r="C1826" s="0" t="inlineStr">
        <is>
          <t>Luma Toddler Hoodie</t>
        </is>
      </c>
      <c r="D1826" s="0" t="inlineStr">
        <is>
          <t>'123139</t>
        </is>
      </c>
      <c r="E1826" s="0" t="inlineStr">
        <is>
          <t>IOWA LUMA T BK:123139A-2T</t>
        </is>
      </c>
      <c r="F1826" s="0" t="inlineStr">
        <is>
          <t>'800123139089</t>
        </is>
      </c>
      <c r="G1826" s="0" t="inlineStr">
        <is>
          <t>TODDLER</t>
        </is>
      </c>
      <c r="H1826" s="0" t="inlineStr">
        <is>
          <t>2T</t>
        </is>
      </c>
      <c r="I1826" s="0">
        <v>49.99</v>
      </c>
      <c r="J1826" s="0">
        <v>6</v>
      </c>
    </row>
    <row r="1827" spans="1:10" customHeight="0">
      <c r="A1827" s="0">
        <f>HYPERLINK("https://dl.dropboxusercontent.com/scl/fi/upclxgwvbt4zqq2vcd21l/123136-f.jpg?rlkey=p1w7kd7rdigb88vzp5j8uu9dp&amp;dl=0","Click to download Image")</f>
      </c>
      <c r="C1827" s="0" t="inlineStr">
        <is>
          <t>Luma Toddler Hoodie</t>
        </is>
      </c>
      <c r="D1827" s="0" t="inlineStr">
        <is>
          <t>'123139</t>
        </is>
      </c>
      <c r="E1827" s="0" t="inlineStr">
        <is>
          <t>IOWA LUMA T BK:123139B-3T</t>
        </is>
      </c>
      <c r="F1827" s="0" t="inlineStr">
        <is>
          <t>'800123139096</t>
        </is>
      </c>
      <c r="G1827" s="0" t="inlineStr">
        <is>
          <t>TODDLER</t>
        </is>
      </c>
      <c r="H1827" s="0" t="inlineStr">
        <is>
          <t>3T</t>
        </is>
      </c>
      <c r="I1827" s="0">
        <v>49.99</v>
      </c>
      <c r="J1827" s="0">
        <v>9</v>
      </c>
    </row>
    <row r="1828" spans="1:10" customHeight="0">
      <c r="A1828" s="0">
        <f>HYPERLINK("https://dl.dropboxusercontent.com/scl/fi/upclxgwvbt4zqq2vcd21l/123136-f.jpg?rlkey=p1w7kd7rdigb88vzp5j8uu9dp&amp;dl=0","Click to download Image")</f>
      </c>
      <c r="C1828" s="0" t="inlineStr">
        <is>
          <t>Luma Toddler Hoodie</t>
        </is>
      </c>
      <c r="D1828" s="0" t="inlineStr">
        <is>
          <t>'123139</t>
        </is>
      </c>
      <c r="E1828" s="0" t="inlineStr">
        <is>
          <t>IOWA LUMA T BK:123139C-4T</t>
        </is>
      </c>
      <c r="F1828" s="0" t="inlineStr">
        <is>
          <t>'800123139102</t>
        </is>
      </c>
      <c r="G1828" s="0" t="inlineStr">
        <is>
          <t>TODDLER</t>
        </is>
      </c>
      <c r="H1828" s="0" t="inlineStr">
        <is>
          <t>4T</t>
        </is>
      </c>
      <c r="I1828" s="0">
        <v>49.99</v>
      </c>
      <c r="J1828" s="0">
        <v>7</v>
      </c>
    </row>
    <row r="1829" spans="1:10" customHeight="0">
      <c r="A1829" s="0">
        <f>HYPERLINK("https://dl.dropboxusercontent.com/scl/fi/upclxgwvbt4zqq2vcd21l/123136-f.jpg?rlkey=p1w7kd7rdigb88vzp5j8uu9dp&amp;dl=0","Click to download Image")</f>
      </c>
      <c r="C1829" s="0" t="inlineStr">
        <is>
          <t>Luma Toddler Hoodie</t>
        </is>
      </c>
      <c r="D1829" s="0" t="inlineStr">
        <is>
          <t>'123139</t>
        </is>
      </c>
      <c r="E1829" s="0" t="inlineStr">
        <is>
          <t>IOWA LUMA T BK:123139D-5T</t>
        </is>
      </c>
      <c r="F1829" s="0" t="inlineStr">
        <is>
          <t>'800123139119</t>
        </is>
      </c>
      <c r="G1829" s="0" t="inlineStr">
        <is>
          <t>TODDLER</t>
        </is>
      </c>
      <c r="H1829" s="0" t="inlineStr">
        <is>
          <t>5T</t>
        </is>
      </c>
      <c r="I1829" s="0">
        <v>49.99</v>
      </c>
      <c r="J1829" s="0">
        <v>21</v>
      </c>
    </row>
    <row r="1830" spans="1:10" customHeight="0">
      <c r="A1830" s="0">
        <f>HYPERLINK("https://dl.dropboxusercontent.com/scl/fi/upclxgwvbt4zqq2vcd21l/123136-f.jpg?rlkey=p1w7kd7rdigb88vzp5j8uu9dp&amp;dl=0","Click to download Image")</f>
      </c>
      <c r="C1830" s="0" t="inlineStr">
        <is>
          <t>Luma Toddler Hoodie</t>
        </is>
      </c>
      <c r="D1830" s="0" t="inlineStr">
        <is>
          <t>'123139</t>
        </is>
      </c>
      <c r="E1830" s="0" t="inlineStr">
        <is>
          <t>IOWA LUMA T BK 12PK:123139Z-12PK</t>
        </is>
      </c>
      <c r="F1830" s="0" t="inlineStr">
        <is>
          <t>'800123139997</t>
        </is>
      </c>
      <c r="G1830" s="0" t="inlineStr">
        <is>
          <t>TODDLER</t>
        </is>
      </c>
      <c r="H1830" s="0" t="inlineStr">
        <is>
          <t>12 PACK</t>
        </is>
      </c>
      <c r="I1830" s="0">
        <v>486</v>
      </c>
      <c r="J1830" s="0">
        <v>2</v>
      </c>
    </row>
    <row r="1831" spans="1:10" customHeight="0">
      <c r="A1831" s="0">
        <f>HYPERLINK("https://dl.dropboxusercontent.com/scl/fi/xn47d7jrgpdcdhm1a8e4p/123702-f.jpg?rlkey=ntw0qkbw7nshsbvp95cagoksu&amp;dl=0","Click to download Image")</f>
      </c>
      <c r="C1831" s="0" t="inlineStr">
        <is>
          <t>Luma Toddler Hoodie</t>
        </is>
      </c>
      <c r="D1831" s="0" t="inlineStr">
        <is>
          <t>'123705</t>
        </is>
      </c>
      <c r="E1831" s="0" t="inlineStr">
        <is>
          <t>NDSU LUMA T GY:123705A-2T</t>
        </is>
      </c>
      <c r="F1831" s="0" t="inlineStr">
        <is>
          <t>'813123705086</t>
        </is>
      </c>
      <c r="G1831" s="0" t="inlineStr">
        <is>
          <t>TODDLER</t>
        </is>
      </c>
      <c r="H1831" s="0" t="inlineStr">
        <is>
          <t>2T</t>
        </is>
      </c>
      <c r="I1831" s="0">
        <v>49.99</v>
      </c>
      <c r="J1831" s="0">
        <v>2</v>
      </c>
    </row>
    <row r="1832" spans="1:10" customHeight="0">
      <c r="A1832" s="0">
        <f>HYPERLINK("https://dl.dropboxusercontent.com/scl/fi/xn47d7jrgpdcdhm1a8e4p/123702-f.jpg?rlkey=ntw0qkbw7nshsbvp95cagoksu&amp;dl=0","Click to download Image")</f>
      </c>
      <c r="C1832" s="0" t="inlineStr">
        <is>
          <t>Luma Toddler Hoodie</t>
        </is>
      </c>
      <c r="D1832" s="0" t="inlineStr">
        <is>
          <t>'123705</t>
        </is>
      </c>
      <c r="E1832" s="0" t="inlineStr">
        <is>
          <t>NDSU LUMA T GY:123705B-3T</t>
        </is>
      </c>
      <c r="F1832" s="0" t="inlineStr">
        <is>
          <t>'813123705093</t>
        </is>
      </c>
      <c r="G1832" s="0" t="inlineStr">
        <is>
          <t>TODDLER</t>
        </is>
      </c>
      <c r="H1832" s="0" t="inlineStr">
        <is>
          <t>3T</t>
        </is>
      </c>
      <c r="I1832" s="0">
        <v>49.99</v>
      </c>
      <c r="J1832" s="0">
        <v>2</v>
      </c>
    </row>
    <row r="1833" spans="1:10" customHeight="0">
      <c r="A1833" s="0">
        <f>HYPERLINK("https://dl.dropboxusercontent.com/scl/fi/xn47d7jrgpdcdhm1a8e4p/123702-f.jpg?rlkey=ntw0qkbw7nshsbvp95cagoksu&amp;dl=0","Click to download Image")</f>
      </c>
      <c r="C1833" s="0" t="inlineStr">
        <is>
          <t>Luma Toddler Hoodie</t>
        </is>
      </c>
      <c r="D1833" s="0" t="inlineStr">
        <is>
          <t>'123705</t>
        </is>
      </c>
      <c r="E1833" s="0" t="inlineStr">
        <is>
          <t>NDSU LUMA T GY:123705C-4T</t>
        </is>
      </c>
      <c r="F1833" s="0" t="inlineStr">
        <is>
          <t>'813123705109</t>
        </is>
      </c>
      <c r="G1833" s="0" t="inlineStr">
        <is>
          <t>TODDLER</t>
        </is>
      </c>
      <c r="H1833" s="0" t="inlineStr">
        <is>
          <t>4T</t>
        </is>
      </c>
      <c r="I1833" s="0">
        <v>49.99</v>
      </c>
      <c r="J1833" s="0">
        <v>2</v>
      </c>
    </row>
    <row r="1834" spans="1:10" customHeight="0">
      <c r="A1834" s="0">
        <f>HYPERLINK("https://dl.dropboxusercontent.com/scl/fi/xn47d7jrgpdcdhm1a8e4p/123702-f.jpg?rlkey=ntw0qkbw7nshsbvp95cagoksu&amp;dl=0","Click to download Image")</f>
      </c>
      <c r="C1834" s="0" t="inlineStr">
        <is>
          <t>Luma Toddler Hoodie</t>
        </is>
      </c>
      <c r="D1834" s="0" t="inlineStr">
        <is>
          <t>'123705</t>
        </is>
      </c>
      <c r="E1834" s="0" t="inlineStr">
        <is>
          <t>NDSU LUMA T GY:123705D-5T</t>
        </is>
      </c>
      <c r="F1834" s="0" t="inlineStr">
        <is>
          <t>'813123705116</t>
        </is>
      </c>
      <c r="G1834" s="0" t="inlineStr">
        <is>
          <t>TODDLER</t>
        </is>
      </c>
      <c r="H1834" s="0" t="inlineStr">
        <is>
          <t>5T</t>
        </is>
      </c>
      <c r="I1834" s="0">
        <v>49.99</v>
      </c>
      <c r="J1834" s="0">
        <v>5</v>
      </c>
    </row>
    <row r="1835" spans="1:10" customHeight="0">
      <c r="A1835" s="0">
        <f>HYPERLINK("https://dl.dropboxusercontent.com/scl/fi/xn47d7jrgpdcdhm1a8e4p/123702-f.jpg?rlkey=ntw0qkbw7nshsbvp95cagoksu&amp;dl=0","Click to download Image")</f>
      </c>
      <c r="C1835" s="0" t="inlineStr">
        <is>
          <t>Luma Toddler Hoodie</t>
        </is>
      </c>
      <c r="D1835" s="0" t="inlineStr">
        <is>
          <t>'123705</t>
        </is>
      </c>
      <c r="E1835" s="0" t="inlineStr">
        <is>
          <t>NDSU LUMA T GY 12PK:123705Z-12PK</t>
        </is>
      </c>
      <c r="F1835" s="0" t="inlineStr">
        <is>
          <t>'813123705994</t>
        </is>
      </c>
      <c r="G1835" s="0" t="inlineStr">
        <is>
          <t>TODDLER</t>
        </is>
      </c>
      <c r="H1835" s="0" t="inlineStr">
        <is>
          <t>12 PACK</t>
        </is>
      </c>
      <c r="I1835" s="0">
        <v>486</v>
      </c>
      <c r="J1835" s="0">
        <v>0</v>
      </c>
    </row>
    <row r="1836" spans="1:10" customHeight="0">
      <c r="A1836" s="0">
        <f>HYPERLINK("https://dl.dropboxusercontent.com/scl/fi/cclstfhekqixd1458umii/123138-f.jpg?rlkey=ju7mmjxbk28nsv6zt34wlepja&amp;dl=0","Click to download Image")</f>
      </c>
      <c r="C1836" s="0" t="inlineStr">
        <is>
          <t>Luma Youth Hoodie</t>
        </is>
      </c>
      <c r="D1836" s="0" t="inlineStr">
        <is>
          <t>'123138</t>
        </is>
      </c>
      <c r="E1836" s="0" t="inlineStr">
        <is>
          <t>UNI LUMA Y PE:123138B-YS</t>
        </is>
      </c>
      <c r="F1836" s="0" t="inlineStr">
        <is>
          <t>'801123138010</t>
        </is>
      </c>
      <c r="G1836" s="0" t="inlineStr">
        <is>
          <t>YOUTH</t>
        </is>
      </c>
      <c r="H1836" s="0" t="inlineStr">
        <is>
          <t>YS</t>
        </is>
      </c>
      <c r="I1836" s="0">
        <v>49.99</v>
      </c>
      <c r="J1836" s="0">
        <v>13</v>
      </c>
    </row>
    <row r="1837" spans="1:10" customHeight="0">
      <c r="A1837" s="0">
        <f>HYPERLINK("https://dl.dropboxusercontent.com/scl/fi/cclstfhekqixd1458umii/123138-f.jpg?rlkey=ju7mmjxbk28nsv6zt34wlepja&amp;dl=0","Click to download Image")</f>
      </c>
      <c r="C1837" s="0" t="inlineStr">
        <is>
          <t>Luma Youth Hoodie</t>
        </is>
      </c>
      <c r="D1837" s="0" t="inlineStr">
        <is>
          <t>'123138</t>
        </is>
      </c>
      <c r="E1837" s="0" t="inlineStr">
        <is>
          <t>UNI LUMA Y PE:123138C-YM</t>
        </is>
      </c>
      <c r="F1837" s="0" t="inlineStr">
        <is>
          <t>'801123138027</t>
        </is>
      </c>
      <c r="G1837" s="0" t="inlineStr">
        <is>
          <t>YOUTH</t>
        </is>
      </c>
      <c r="H1837" s="0" t="inlineStr">
        <is>
          <t>YM</t>
        </is>
      </c>
      <c r="I1837" s="0">
        <v>49.99</v>
      </c>
      <c r="J1837" s="0">
        <v>9</v>
      </c>
    </row>
    <row r="1838" spans="1:10" customHeight="0">
      <c r="A1838" s="0">
        <f>HYPERLINK("https://dl.dropboxusercontent.com/scl/fi/cclstfhekqixd1458umii/123138-f.jpg?rlkey=ju7mmjxbk28nsv6zt34wlepja&amp;dl=0","Click to download Image")</f>
      </c>
      <c r="C1838" s="0" t="inlineStr">
        <is>
          <t>Luma Youth Hoodie</t>
        </is>
      </c>
      <c r="D1838" s="0" t="inlineStr">
        <is>
          <t>'123138</t>
        </is>
      </c>
      <c r="E1838" s="0" t="inlineStr">
        <is>
          <t>UNI LUMA Y PE:123138D-YL</t>
        </is>
      </c>
      <c r="F1838" s="0" t="inlineStr">
        <is>
          <t>'801123138034</t>
        </is>
      </c>
      <c r="G1838" s="0" t="inlineStr">
        <is>
          <t>YOUTH</t>
        </is>
      </c>
      <c r="H1838" s="0" t="inlineStr">
        <is>
          <t>YL</t>
        </is>
      </c>
      <c r="I1838" s="0">
        <v>49.99</v>
      </c>
      <c r="J1838" s="0">
        <v>9</v>
      </c>
    </row>
    <row r="1839" spans="1:10" customHeight="0">
      <c r="A1839" s="0">
        <f>HYPERLINK("https://dl.dropboxusercontent.com/scl/fi/cclstfhekqixd1458umii/123138-f.jpg?rlkey=ju7mmjxbk28nsv6zt34wlepja&amp;dl=0","Click to download Image")</f>
      </c>
      <c r="C1839" s="0" t="inlineStr">
        <is>
          <t>Luma Youth Hoodie</t>
        </is>
      </c>
      <c r="D1839" s="0" t="inlineStr">
        <is>
          <t>'123138</t>
        </is>
      </c>
      <c r="E1839" s="0" t="inlineStr">
        <is>
          <t>UNI LUMA Y PE:123138E-YXL</t>
        </is>
      </c>
      <c r="F1839" s="0" t="inlineStr">
        <is>
          <t>'801123138041</t>
        </is>
      </c>
      <c r="G1839" s="0" t="inlineStr">
        <is>
          <t>YOUTH</t>
        </is>
      </c>
      <c r="H1839" s="0" t="inlineStr">
        <is>
          <t>YXL</t>
        </is>
      </c>
      <c r="I1839" s="0">
        <v>49.99</v>
      </c>
      <c r="J1839" s="0">
        <v>11</v>
      </c>
    </row>
    <row r="1840" spans="1:10" customHeight="0">
      <c r="A1840" s="0">
        <f>HYPERLINK("https://dl.dropboxusercontent.com/scl/fi/cclstfhekqixd1458umii/123138-f.jpg?rlkey=ju7mmjxbk28nsv6zt34wlepja&amp;dl=0","Click to download Image")</f>
      </c>
      <c r="C1840" s="0" t="inlineStr">
        <is>
          <t>Luma Youth Hoodie</t>
        </is>
      </c>
      <c r="D1840" s="0" t="inlineStr">
        <is>
          <t>'123138</t>
        </is>
      </c>
      <c r="E1840" s="0" t="inlineStr">
        <is>
          <t>UNI LUMA Y PE 12PK:123138Z-12PK</t>
        </is>
      </c>
      <c r="F1840" s="0" t="inlineStr">
        <is>
          <t>'801123138997</t>
        </is>
      </c>
      <c r="G1840" s="0" t="inlineStr">
        <is>
          <t>YOUTH</t>
        </is>
      </c>
      <c r="H1840" s="0" t="inlineStr">
        <is>
          <t>12 PACK</t>
        </is>
      </c>
      <c r="I1840" s="0">
        <v>486</v>
      </c>
      <c r="J1840" s="0">
        <v>3</v>
      </c>
    </row>
    <row r="1841" spans="1:10" customHeight="0">
      <c r="A1841" s="0">
        <f>HYPERLINK("https://dl.dropboxusercontent.com/scl/fi/z7gahxvortjc9030davfo/123137-f.jpg?rlkey=fofzoxtf1wqo4r3loolu7553a&amp;dl=0","Click to download Image")</f>
      </c>
      <c r="C1841" s="0" t="inlineStr">
        <is>
          <t>Luma Youth Hoodie</t>
        </is>
      </c>
      <c r="D1841" s="0" t="inlineStr">
        <is>
          <t>'123137</t>
        </is>
      </c>
      <c r="E1841" s="0" t="inlineStr">
        <is>
          <t>ISU LUMA Y OG:123137B-YS</t>
        </is>
      </c>
      <c r="F1841" s="0" t="inlineStr">
        <is>
          <t>'801123137013</t>
        </is>
      </c>
      <c r="G1841" s="0" t="inlineStr">
        <is>
          <t>YOUTH</t>
        </is>
      </c>
      <c r="H1841" s="0" t="inlineStr">
        <is>
          <t>YS</t>
        </is>
      </c>
      <c r="I1841" s="0">
        <v>49.99</v>
      </c>
      <c r="J1841" s="0">
        <v>9</v>
      </c>
    </row>
    <row r="1842" spans="1:10" customHeight="0">
      <c r="A1842" s="0">
        <f>HYPERLINK("https://dl.dropboxusercontent.com/scl/fi/z7gahxvortjc9030davfo/123137-f.jpg?rlkey=fofzoxtf1wqo4r3loolu7553a&amp;dl=0","Click to download Image")</f>
      </c>
      <c r="C1842" s="0" t="inlineStr">
        <is>
          <t>Luma Youth Hoodie</t>
        </is>
      </c>
      <c r="D1842" s="0" t="inlineStr">
        <is>
          <t>'123137</t>
        </is>
      </c>
      <c r="E1842" s="0" t="inlineStr">
        <is>
          <t>ISU LUMA Y OG:123137C-YM</t>
        </is>
      </c>
      <c r="F1842" s="0" t="inlineStr">
        <is>
          <t>'801123137020</t>
        </is>
      </c>
      <c r="G1842" s="0" t="inlineStr">
        <is>
          <t>YOUTH</t>
        </is>
      </c>
      <c r="H1842" s="0" t="inlineStr">
        <is>
          <t>YM</t>
        </is>
      </c>
      <c r="I1842" s="0">
        <v>49.99</v>
      </c>
      <c r="J1842" s="0">
        <v>5</v>
      </c>
    </row>
    <row r="1843" spans="1:10" customHeight="0">
      <c r="A1843" s="0">
        <f>HYPERLINK("https://dl.dropboxusercontent.com/scl/fi/z7gahxvortjc9030davfo/123137-f.jpg?rlkey=fofzoxtf1wqo4r3loolu7553a&amp;dl=0","Click to download Image")</f>
      </c>
      <c r="C1843" s="0" t="inlineStr">
        <is>
          <t>Luma Youth Hoodie</t>
        </is>
      </c>
      <c r="D1843" s="0" t="inlineStr">
        <is>
          <t>'123137</t>
        </is>
      </c>
      <c r="E1843" s="0" t="inlineStr">
        <is>
          <t>ISU LUMA Y OG:123137D-YL</t>
        </is>
      </c>
      <c r="F1843" s="0" t="inlineStr">
        <is>
          <t>'801123137037</t>
        </is>
      </c>
      <c r="G1843" s="0" t="inlineStr">
        <is>
          <t>YOUTH</t>
        </is>
      </c>
      <c r="H1843" s="0" t="inlineStr">
        <is>
          <t>YL</t>
        </is>
      </c>
      <c r="I1843" s="0">
        <v>49.99</v>
      </c>
      <c r="J1843" s="0">
        <v>2</v>
      </c>
    </row>
    <row r="1844" spans="1:10" customHeight="0">
      <c r="A1844" s="0">
        <f>HYPERLINK("https://dl.dropboxusercontent.com/scl/fi/z7gahxvortjc9030davfo/123137-f.jpg?rlkey=fofzoxtf1wqo4r3loolu7553a&amp;dl=0","Click to download Image")</f>
      </c>
      <c r="C1844" s="0" t="inlineStr">
        <is>
          <t>Luma Youth Hoodie</t>
        </is>
      </c>
      <c r="D1844" s="0" t="inlineStr">
        <is>
          <t>'123137</t>
        </is>
      </c>
      <c r="E1844" s="0" t="inlineStr">
        <is>
          <t>ISU LUMA Y OG:123137E-YXL</t>
        </is>
      </c>
      <c r="F1844" s="0" t="inlineStr">
        <is>
          <t>'801123137044</t>
        </is>
      </c>
      <c r="G1844" s="0" t="inlineStr">
        <is>
          <t>YOUTH</t>
        </is>
      </c>
      <c r="H1844" s="0" t="inlineStr">
        <is>
          <t>YXL</t>
        </is>
      </c>
      <c r="I1844" s="0">
        <v>49.99</v>
      </c>
      <c r="J1844" s="0">
        <v>1</v>
      </c>
    </row>
    <row r="1845" spans="1:10" customHeight="0">
      <c r="A1845" s="0">
        <f>HYPERLINK("https://dl.dropboxusercontent.com/scl/fi/z7gahxvortjc9030davfo/123137-f.jpg?rlkey=fofzoxtf1wqo4r3loolu7553a&amp;dl=0","Click to download Image")</f>
      </c>
      <c r="C1845" s="0" t="inlineStr">
        <is>
          <t>Luma Youth Hoodie</t>
        </is>
      </c>
      <c r="D1845" s="0" t="inlineStr">
        <is>
          <t>'123137</t>
        </is>
      </c>
      <c r="E1845" s="0" t="inlineStr">
        <is>
          <t>ISU LUMA Y OG 12PK:123137Z-12PK</t>
        </is>
      </c>
      <c r="F1845" s="0" t="inlineStr">
        <is>
          <t>'801123137990</t>
        </is>
      </c>
      <c r="G1845" s="0" t="inlineStr">
        <is>
          <t>YOUTH</t>
        </is>
      </c>
      <c r="H1845" s="0" t="inlineStr">
        <is>
          <t>12 PACK</t>
        </is>
      </c>
      <c r="I1845" s="0">
        <v>486</v>
      </c>
      <c r="J1845" s="0">
        <v>0</v>
      </c>
    </row>
    <row r="1846" spans="1:10" customHeight="0">
      <c r="A1846" s="0">
        <f>HYPERLINK("https://dl.dropboxusercontent.com/scl/fi/jdd5atwm4i1u472h8f2w3/123136-f.jpg?rlkey=llqebja9oiuoiv0f3wtp7ysk4&amp;dl=0","Click to download Image")</f>
      </c>
      <c r="C1846" s="0" t="inlineStr">
        <is>
          <t>Luma Youth Hoodie</t>
        </is>
      </c>
      <c r="D1846" s="0" t="inlineStr">
        <is>
          <t>'123136</t>
        </is>
      </c>
      <c r="E1846" s="0" t="inlineStr">
        <is>
          <t>IOWA LUMA Y BK:123136B-YS</t>
        </is>
      </c>
      <c r="F1846" s="0" t="inlineStr">
        <is>
          <t>'800123136019</t>
        </is>
      </c>
      <c r="G1846" s="0" t="inlineStr">
        <is>
          <t>YOUTH</t>
        </is>
      </c>
      <c r="H1846" s="0" t="inlineStr">
        <is>
          <t>YS</t>
        </is>
      </c>
      <c r="I1846" s="0">
        <v>49.99</v>
      </c>
      <c r="J1846" s="0">
        <v>8</v>
      </c>
    </row>
    <row r="1847" spans="1:10" customHeight="0">
      <c r="A1847" s="0">
        <f>HYPERLINK("https://dl.dropboxusercontent.com/scl/fi/jdd5atwm4i1u472h8f2w3/123136-f.jpg?rlkey=llqebja9oiuoiv0f3wtp7ysk4&amp;dl=0","Click to download Image")</f>
      </c>
      <c r="C1847" s="0" t="inlineStr">
        <is>
          <t>Luma Youth Hoodie</t>
        </is>
      </c>
      <c r="D1847" s="0" t="inlineStr">
        <is>
          <t>'123136</t>
        </is>
      </c>
      <c r="E1847" s="0" t="inlineStr">
        <is>
          <t>IOWA LUMA Y BK:123136C-YM</t>
        </is>
      </c>
      <c r="F1847" s="0" t="inlineStr">
        <is>
          <t>'800123136026</t>
        </is>
      </c>
      <c r="G1847" s="0" t="inlineStr">
        <is>
          <t>YOUTH</t>
        </is>
      </c>
      <c r="H1847" s="0" t="inlineStr">
        <is>
          <t>YM</t>
        </is>
      </c>
      <c r="I1847" s="0">
        <v>49.99</v>
      </c>
      <c r="J1847" s="0">
        <v>7</v>
      </c>
    </row>
    <row r="1848" spans="1:10" customHeight="0">
      <c r="A1848" s="0">
        <f>HYPERLINK("https://dl.dropboxusercontent.com/scl/fi/jdd5atwm4i1u472h8f2w3/123136-f.jpg?rlkey=llqebja9oiuoiv0f3wtp7ysk4&amp;dl=0","Click to download Image")</f>
      </c>
      <c r="C1848" s="0" t="inlineStr">
        <is>
          <t>Luma Youth Hoodie</t>
        </is>
      </c>
      <c r="D1848" s="0" t="inlineStr">
        <is>
          <t>'123136</t>
        </is>
      </c>
      <c r="E1848" s="0" t="inlineStr">
        <is>
          <t>IOWA LUMA Y BK:123136D-YL</t>
        </is>
      </c>
      <c r="F1848" s="0" t="inlineStr">
        <is>
          <t>'800123136033</t>
        </is>
      </c>
      <c r="G1848" s="0" t="inlineStr">
        <is>
          <t>YOUTH</t>
        </is>
      </c>
      <c r="H1848" s="0" t="inlineStr">
        <is>
          <t>YL</t>
        </is>
      </c>
      <c r="I1848" s="0">
        <v>49.99</v>
      </c>
      <c r="J1848" s="0">
        <v>3</v>
      </c>
    </row>
    <row r="1849" spans="1:10" customHeight="0">
      <c r="A1849" s="0">
        <f>HYPERLINK("https://dl.dropboxusercontent.com/scl/fi/jdd5atwm4i1u472h8f2w3/123136-f.jpg?rlkey=llqebja9oiuoiv0f3wtp7ysk4&amp;dl=0","Click to download Image")</f>
      </c>
      <c r="C1849" s="0" t="inlineStr">
        <is>
          <t>Luma Youth Hoodie</t>
        </is>
      </c>
      <c r="D1849" s="0" t="inlineStr">
        <is>
          <t>'123136</t>
        </is>
      </c>
      <c r="E1849" s="0" t="inlineStr">
        <is>
          <t>IOWA LUMA Y BK:123136E-YXL</t>
        </is>
      </c>
      <c r="F1849" s="0" t="inlineStr">
        <is>
          <t>'800123136040</t>
        </is>
      </c>
      <c r="G1849" s="0" t="inlineStr">
        <is>
          <t>YOUTH</t>
        </is>
      </c>
      <c r="H1849" s="0" t="inlineStr">
        <is>
          <t>YXL</t>
        </is>
      </c>
      <c r="I1849" s="0">
        <v>49.99</v>
      </c>
      <c r="J1849" s="0">
        <v>9</v>
      </c>
    </row>
    <row r="1850" spans="1:10" customHeight="0">
      <c r="A1850" s="0">
        <f>HYPERLINK("https://dl.dropboxusercontent.com/scl/fi/jdd5atwm4i1u472h8f2w3/123136-f.jpg?rlkey=llqebja9oiuoiv0f3wtp7ysk4&amp;dl=0","Click to download Image")</f>
      </c>
      <c r="C1850" s="0" t="inlineStr">
        <is>
          <t>Luma Youth Hoodie</t>
        </is>
      </c>
      <c r="D1850" s="0" t="inlineStr">
        <is>
          <t>'123136</t>
        </is>
      </c>
      <c r="E1850" s="0" t="inlineStr">
        <is>
          <t>IOWA LUMA Y BK 12PK:123136Z-12PK</t>
        </is>
      </c>
      <c r="F1850" s="0" t="inlineStr">
        <is>
          <t>'800123136996</t>
        </is>
      </c>
      <c r="G1850" s="0" t="inlineStr">
        <is>
          <t>YOUTH</t>
        </is>
      </c>
      <c r="H1850" s="0" t="inlineStr">
        <is>
          <t>12 PACK</t>
        </is>
      </c>
      <c r="I1850" s="0">
        <v>486</v>
      </c>
      <c r="J1850" s="0">
        <v>0</v>
      </c>
    </row>
    <row r="1851" spans="1:10" customHeight="0">
      <c r="A1851" s="0">
        <f>HYPERLINK("https://dl.dropboxusercontent.com/scl/fi/uav2aksshjrut097uhdzw/123702-f.jpg?rlkey=yruuu4uo414bdi8xzk5pzgcsu&amp;dl=0","Click to download Image")</f>
      </c>
      <c r="C1851" s="0" t="inlineStr">
        <is>
          <t>Luma Youth Hoodie</t>
        </is>
      </c>
      <c r="D1851" s="0" t="inlineStr">
        <is>
          <t>'123702</t>
        </is>
      </c>
      <c r="E1851" s="0" t="inlineStr">
        <is>
          <t>NDSU LUMA Y GY:123702B-YS</t>
        </is>
      </c>
      <c r="F1851" s="0" t="inlineStr">
        <is>
          <t>'813123702016</t>
        </is>
      </c>
      <c r="G1851" s="0" t="inlineStr">
        <is>
          <t>YOUTH</t>
        </is>
      </c>
      <c r="H1851" s="0" t="inlineStr">
        <is>
          <t>YS</t>
        </is>
      </c>
      <c r="I1851" s="0">
        <v>49.99</v>
      </c>
      <c r="J1851" s="0">
        <v>4</v>
      </c>
    </row>
    <row r="1852" spans="1:10" customHeight="0">
      <c r="A1852" s="0">
        <f>HYPERLINK("https://dl.dropboxusercontent.com/scl/fi/uav2aksshjrut097uhdzw/123702-f.jpg?rlkey=yruuu4uo414bdi8xzk5pzgcsu&amp;dl=0","Click to download Image")</f>
      </c>
      <c r="C1852" s="0" t="inlineStr">
        <is>
          <t>Luma Youth Hoodie</t>
        </is>
      </c>
      <c r="D1852" s="0" t="inlineStr">
        <is>
          <t>'123702</t>
        </is>
      </c>
      <c r="E1852" s="0" t="inlineStr">
        <is>
          <t>NDSU LUMA Y GY:123702C-YM</t>
        </is>
      </c>
      <c r="F1852" s="0" t="inlineStr">
        <is>
          <t>'813123702023</t>
        </is>
      </c>
      <c r="G1852" s="0" t="inlineStr">
        <is>
          <t>YOUTH</t>
        </is>
      </c>
      <c r="H1852" s="0" t="inlineStr">
        <is>
          <t>YM</t>
        </is>
      </c>
      <c r="I1852" s="0">
        <v>49.99</v>
      </c>
      <c r="J1852" s="0">
        <v>2</v>
      </c>
    </row>
    <row r="1853" spans="1:10" customHeight="0">
      <c r="A1853" s="0">
        <f>HYPERLINK("https://dl.dropboxusercontent.com/scl/fi/uav2aksshjrut097uhdzw/123702-f.jpg?rlkey=yruuu4uo414bdi8xzk5pzgcsu&amp;dl=0","Click to download Image")</f>
      </c>
      <c r="C1853" s="0" t="inlineStr">
        <is>
          <t>Luma Youth Hoodie</t>
        </is>
      </c>
      <c r="D1853" s="0" t="inlineStr">
        <is>
          <t>'123702</t>
        </is>
      </c>
      <c r="E1853" s="0" t="inlineStr">
        <is>
          <t>NDSU LUMA Y GY:123702D-YL</t>
        </is>
      </c>
      <c r="F1853" s="0" t="inlineStr">
        <is>
          <t>'813123702030</t>
        </is>
      </c>
      <c r="G1853" s="0" t="inlineStr">
        <is>
          <t>YOUTH</t>
        </is>
      </c>
      <c r="H1853" s="0" t="inlineStr">
        <is>
          <t>YL</t>
        </is>
      </c>
      <c r="I1853" s="0">
        <v>49.99</v>
      </c>
      <c r="J1853" s="0">
        <v>0</v>
      </c>
    </row>
    <row r="1854" spans="1:10" customHeight="0">
      <c r="A1854" s="0">
        <f>HYPERLINK("https://dl.dropboxusercontent.com/scl/fi/uav2aksshjrut097uhdzw/123702-f.jpg?rlkey=yruuu4uo414bdi8xzk5pzgcsu&amp;dl=0","Click to download Image")</f>
      </c>
      <c r="C1854" s="0" t="inlineStr">
        <is>
          <t>Luma Youth Hoodie</t>
        </is>
      </c>
      <c r="D1854" s="0" t="inlineStr">
        <is>
          <t>'123702</t>
        </is>
      </c>
      <c r="E1854" s="0" t="inlineStr">
        <is>
          <t>NDSU LUMA Y GY:123702E-YXL</t>
        </is>
      </c>
      <c r="F1854" s="0" t="inlineStr">
        <is>
          <t>'813123702047</t>
        </is>
      </c>
      <c r="G1854" s="0" t="inlineStr">
        <is>
          <t>YOUTH</t>
        </is>
      </c>
      <c r="H1854" s="0" t="inlineStr">
        <is>
          <t>YXL</t>
        </is>
      </c>
      <c r="I1854" s="0">
        <v>49.99</v>
      </c>
      <c r="J1854" s="0">
        <v>3</v>
      </c>
    </row>
    <row r="1855" spans="1:10" customHeight="0">
      <c r="A1855" s="0">
        <f>HYPERLINK("https://dl.dropboxusercontent.com/scl/fi/uav2aksshjrut097uhdzw/123702-f.jpg?rlkey=yruuu4uo414bdi8xzk5pzgcsu&amp;dl=0","Click to download Image")</f>
      </c>
      <c r="C1855" s="0" t="inlineStr">
        <is>
          <t>Luma Youth Hoodie</t>
        </is>
      </c>
      <c r="D1855" s="0" t="inlineStr">
        <is>
          <t>'123702</t>
        </is>
      </c>
      <c r="E1855" s="0" t="inlineStr">
        <is>
          <t>NDSU LUMA Y GY 12PK:123702Z-12PK</t>
        </is>
      </c>
      <c r="F1855" s="0" t="inlineStr">
        <is>
          <t>'813123702993</t>
        </is>
      </c>
      <c r="G1855" s="0" t="inlineStr">
        <is>
          <t>YOUTH</t>
        </is>
      </c>
      <c r="H1855" s="0" t="inlineStr">
        <is>
          <t>12 PACK</t>
        </is>
      </c>
      <c r="I1855" s="0">
        <v>486</v>
      </c>
      <c r="J1855" s="0">
        <v>0</v>
      </c>
    </row>
    <row r="1856" spans="1:10" customHeight="0">
      <c r="A1856" s="0">
        <f>HYPERLINK("https://dl.dropboxusercontent.com/scl/fi/u1cbaca7q0cig3hlzz38n/109192-af.jpg?rlkey=u0e1b9gcchzewcll9fkyylb2m&amp;dl=0","Click to download Image")</f>
      </c>
      <c r="B1856" s="0">
        <f>HYPERLINK("https://dl.dropboxusercontent.com/scl/fi/i1wy1ycceumnnyobtypkl/womens-pullover-size-chartseleanor.jpg?rlkey=2yvgyohhrmjg0mizy3c49ene3&amp;dl=0","Click to download SizeChart")</f>
      </c>
      <c r="C1856" s="0" t="inlineStr">
        <is>
          <t>Eleanor Women's Sweater Fleece Pullover</t>
        </is>
      </c>
      <c r="D1856" s="0" t="inlineStr">
        <is>
          <t>'109192</t>
        </is>
      </c>
      <c r="E1856" s="0" t="inlineStr">
        <is>
          <t>CREIGHTON ELEANOR:109192A-S</t>
        </is>
      </c>
      <c r="F1856" s="0" t="inlineStr">
        <is>
          <t>'800109192015</t>
        </is>
      </c>
      <c r="G1856" s="0" t="inlineStr">
        <is>
          <t>WOMENS</t>
        </is>
      </c>
      <c r="H1856" s="0" t="inlineStr">
        <is>
          <t>S</t>
        </is>
      </c>
      <c r="I1856" s="0">
        <v>59.99</v>
      </c>
      <c r="J1856" s="0">
        <v>4</v>
      </c>
    </row>
    <row r="1857" spans="1:10" customHeight="0">
      <c r="A1857" s="0">
        <f>HYPERLINK("https://dl.dropboxusercontent.com/scl/fi/u1cbaca7q0cig3hlzz38n/109192-af.jpg?rlkey=u0e1b9gcchzewcll9fkyylb2m&amp;dl=0","Click to download Image")</f>
      </c>
      <c r="B1857" s="0">
        <f>HYPERLINK("https://dl.dropboxusercontent.com/scl/fi/i1wy1ycceumnnyobtypkl/womens-pullover-size-chartseleanor.jpg?rlkey=2yvgyohhrmjg0mizy3c49ene3&amp;dl=0","Click to download SizeChart")</f>
      </c>
      <c r="C1857" s="0" t="inlineStr">
        <is>
          <t>Eleanor Women's Sweater Fleece Pullover</t>
        </is>
      </c>
      <c r="D1857" s="0" t="inlineStr">
        <is>
          <t>'109192</t>
        </is>
      </c>
      <c r="E1857" s="0" t="inlineStr">
        <is>
          <t>CREIGHTON ELEANOR:109192B-M</t>
        </is>
      </c>
      <c r="F1857" s="0" t="inlineStr">
        <is>
          <t>'800109192022</t>
        </is>
      </c>
      <c r="G1857" s="0" t="inlineStr">
        <is>
          <t>WOMENS</t>
        </is>
      </c>
      <c r="H1857" s="0" t="inlineStr">
        <is>
          <t>M</t>
        </is>
      </c>
      <c r="I1857" s="0">
        <v>59.99</v>
      </c>
      <c r="J1857" s="0">
        <v>6</v>
      </c>
    </row>
    <row r="1858" spans="1:10" customHeight="0">
      <c r="A1858" s="0">
        <f>HYPERLINK("https://dl.dropboxusercontent.com/scl/fi/u1cbaca7q0cig3hlzz38n/109192-af.jpg?rlkey=u0e1b9gcchzewcll9fkyylb2m&amp;dl=0","Click to download Image")</f>
      </c>
      <c r="B1858" s="0">
        <f>HYPERLINK("https://dl.dropboxusercontent.com/scl/fi/i1wy1ycceumnnyobtypkl/womens-pullover-size-chartseleanor.jpg?rlkey=2yvgyohhrmjg0mizy3c49ene3&amp;dl=0","Click to download SizeChart")</f>
      </c>
      <c r="C1858" s="0" t="inlineStr">
        <is>
          <t>Eleanor Women's Sweater Fleece Pullover</t>
        </is>
      </c>
      <c r="D1858" s="0" t="inlineStr">
        <is>
          <t>'109192</t>
        </is>
      </c>
      <c r="E1858" s="0" t="inlineStr">
        <is>
          <t>CREIGHTON ELEANOR:109192C-L</t>
        </is>
      </c>
      <c r="F1858" s="0" t="inlineStr">
        <is>
          <t>'800109192039</t>
        </is>
      </c>
      <c r="G1858" s="0" t="inlineStr">
        <is>
          <t>WOMENS</t>
        </is>
      </c>
      <c r="H1858" s="0" t="inlineStr">
        <is>
          <t>L</t>
        </is>
      </c>
      <c r="I1858" s="0">
        <v>59.99</v>
      </c>
      <c r="J1858" s="0">
        <v>6</v>
      </c>
    </row>
    <row r="1859" spans="1:10" customHeight="0">
      <c r="A1859" s="0">
        <f>HYPERLINK("https://dl.dropboxusercontent.com/scl/fi/u1cbaca7q0cig3hlzz38n/109192-af.jpg?rlkey=u0e1b9gcchzewcll9fkyylb2m&amp;dl=0","Click to download Image")</f>
      </c>
      <c r="B1859" s="0">
        <f>HYPERLINK("https://dl.dropboxusercontent.com/scl/fi/i1wy1ycceumnnyobtypkl/womens-pullover-size-chartseleanor.jpg?rlkey=2yvgyohhrmjg0mizy3c49ene3&amp;dl=0","Click to download SizeChart")</f>
      </c>
      <c r="C1859" s="0" t="inlineStr">
        <is>
          <t>Eleanor Women's Sweater Fleece Pullover</t>
        </is>
      </c>
      <c r="D1859" s="0" t="inlineStr">
        <is>
          <t>'109192</t>
        </is>
      </c>
      <c r="E1859" s="0" t="inlineStr">
        <is>
          <t>CREIGHTON ELEANOR:109192D-XL</t>
        </is>
      </c>
      <c r="F1859" s="0" t="inlineStr">
        <is>
          <t>'800109192046</t>
        </is>
      </c>
      <c r="G1859" s="0" t="inlineStr">
        <is>
          <t>WOMENS</t>
        </is>
      </c>
      <c r="H1859" s="0" t="inlineStr">
        <is>
          <t>XL</t>
        </is>
      </c>
      <c r="I1859" s="0">
        <v>59.99</v>
      </c>
      <c r="J1859" s="0">
        <v>4</v>
      </c>
    </row>
    <row r="1860" spans="1:10" customHeight="0">
      <c r="A1860" s="0">
        <f>HYPERLINK("https://dl.dropboxusercontent.com/scl/fi/u1cbaca7q0cig3hlzz38n/109192-af.jpg?rlkey=u0e1b9gcchzewcll9fkyylb2m&amp;dl=0","Click to download Image")</f>
      </c>
      <c r="B1860" s="0">
        <f>HYPERLINK("https://dl.dropboxusercontent.com/scl/fi/i1wy1ycceumnnyobtypkl/womens-pullover-size-chartseleanor.jpg?rlkey=2yvgyohhrmjg0mizy3c49ene3&amp;dl=0","Click to download SizeChart")</f>
      </c>
      <c r="C1860" s="0" t="inlineStr">
        <is>
          <t>Eleanor Women's Sweater Fleece Pullover</t>
        </is>
      </c>
      <c r="D1860" s="0" t="inlineStr">
        <is>
          <t>'109192</t>
        </is>
      </c>
      <c r="E1860" s="0" t="inlineStr">
        <is>
          <t>CREIGHTON ELEANOR:109192E-2XL</t>
        </is>
      </c>
      <c r="F1860" s="0" t="inlineStr">
        <is>
          <t>'800109192053</t>
        </is>
      </c>
      <c r="G1860" s="0" t="inlineStr">
        <is>
          <t>WOMENS</t>
        </is>
      </c>
      <c r="H1860" s="0" t="inlineStr">
        <is>
          <t>2XL</t>
        </is>
      </c>
      <c r="I1860" s="0">
        <v>59.99</v>
      </c>
      <c r="J1860" s="0">
        <v>1</v>
      </c>
    </row>
    <row r="1861" spans="1:10" customHeight="0">
      <c r="A1861" s="0">
        <f>HYPERLINK("https://dl.dropboxusercontent.com/scl/fi/u1cbaca7q0cig3hlzz38n/109192-af.jpg?rlkey=u0e1b9gcchzewcll9fkyylb2m&amp;dl=0","Click to download Image")</f>
      </c>
      <c r="B1861" s="0">
        <f>HYPERLINK("https://dl.dropboxusercontent.com/scl/fi/i1wy1ycceumnnyobtypkl/womens-pullover-size-chartseleanor.jpg?rlkey=2yvgyohhrmjg0mizy3c49ene3&amp;dl=0","Click to download SizeChart")</f>
      </c>
      <c r="C1861" s="0" t="inlineStr">
        <is>
          <t>Eleanor Women's Sweater Fleece Pullover</t>
        </is>
      </c>
      <c r="D1861" s="0" t="inlineStr">
        <is>
          <t>'109192</t>
        </is>
      </c>
      <c r="E1861" s="0" t="inlineStr">
        <is>
          <t>CREIGHTON ELEANOR:109192F-3XL</t>
        </is>
      </c>
      <c r="F1861" s="0" t="inlineStr">
        <is>
          <t>'800109192060</t>
        </is>
      </c>
      <c r="G1861" s="0" t="inlineStr">
        <is>
          <t>WOMENS</t>
        </is>
      </c>
      <c r="H1861" s="0" t="inlineStr">
        <is>
          <t>3XL</t>
        </is>
      </c>
      <c r="I1861" s="0">
        <v>59.99</v>
      </c>
      <c r="J1861" s="0">
        <v>2</v>
      </c>
    </row>
    <row r="1862" spans="1:10" customHeight="0">
      <c r="A1862" s="0">
        <f>HYPERLINK("https://dl.dropboxusercontent.com/scl/fi/qdn17j6e9ldwpca06kysb/109193-af.jpg?rlkey=gxlz4ai1x88inzea025t7j7ia&amp;dl=0","Click to download Image")</f>
      </c>
      <c r="B1862" s="0">
        <f>HYPERLINK("https://dl.dropboxusercontent.com/scl/fi/i1wy1ycceumnnyobtypkl/womens-pullover-size-chartseleanor.jpg?rlkey=2yvgyohhrmjg0mizy3c49ene3&amp;dl=0","Click to download SizeChart")</f>
      </c>
      <c r="C1862" s="0" t="inlineStr">
        <is>
          <t>Eleanor Women's Sweater Fleece Pullover</t>
        </is>
      </c>
      <c r="D1862" s="0" t="inlineStr">
        <is>
          <t>'109193</t>
        </is>
      </c>
      <c r="E1862" s="0" t="inlineStr">
        <is>
          <t>USD ELEANOR:109193A-S</t>
        </is>
      </c>
      <c r="F1862" s="0" t="inlineStr">
        <is>
          <t>'800109193012</t>
        </is>
      </c>
      <c r="G1862" s="0" t="inlineStr">
        <is>
          <t>WOMENS</t>
        </is>
      </c>
      <c r="H1862" s="0" t="inlineStr">
        <is>
          <t>S</t>
        </is>
      </c>
      <c r="I1862" s="0">
        <v>59.99</v>
      </c>
      <c r="J1862" s="0">
        <v>8</v>
      </c>
    </row>
    <row r="1863" spans="1:10" customHeight="0">
      <c r="A1863" s="0">
        <f>HYPERLINK("https://dl.dropboxusercontent.com/scl/fi/qdn17j6e9ldwpca06kysb/109193-af.jpg?rlkey=gxlz4ai1x88inzea025t7j7ia&amp;dl=0","Click to download Image")</f>
      </c>
      <c r="B1863" s="0">
        <f>HYPERLINK("https://dl.dropboxusercontent.com/scl/fi/i1wy1ycceumnnyobtypkl/womens-pullover-size-chartseleanor.jpg?rlkey=2yvgyohhrmjg0mizy3c49ene3&amp;dl=0","Click to download SizeChart")</f>
      </c>
      <c r="C1863" s="0" t="inlineStr">
        <is>
          <t>Eleanor Women's Sweater Fleece Pullover</t>
        </is>
      </c>
      <c r="D1863" s="0" t="inlineStr">
        <is>
          <t>'109193</t>
        </is>
      </c>
      <c r="E1863" s="0" t="inlineStr">
        <is>
          <t>USD ELEANOR:109193B-M</t>
        </is>
      </c>
      <c r="F1863" s="0" t="inlineStr">
        <is>
          <t>'800109193029</t>
        </is>
      </c>
      <c r="G1863" s="0" t="inlineStr">
        <is>
          <t>WOMENS</t>
        </is>
      </c>
      <c r="H1863" s="0" t="inlineStr">
        <is>
          <t>M</t>
        </is>
      </c>
      <c r="I1863" s="0">
        <v>59.99</v>
      </c>
      <c r="J1863" s="0">
        <v>16</v>
      </c>
    </row>
    <row r="1864" spans="1:10" customHeight="0">
      <c r="A1864" s="0">
        <f>HYPERLINK("https://dl.dropboxusercontent.com/scl/fi/qdn17j6e9ldwpca06kysb/109193-af.jpg?rlkey=gxlz4ai1x88inzea025t7j7ia&amp;dl=0","Click to download Image")</f>
      </c>
      <c r="B1864" s="0">
        <f>HYPERLINK("https://dl.dropboxusercontent.com/scl/fi/i1wy1ycceumnnyobtypkl/womens-pullover-size-chartseleanor.jpg?rlkey=2yvgyohhrmjg0mizy3c49ene3&amp;dl=0","Click to download SizeChart")</f>
      </c>
      <c r="C1864" s="0" t="inlineStr">
        <is>
          <t>Eleanor Women's Sweater Fleece Pullover</t>
        </is>
      </c>
      <c r="D1864" s="0" t="inlineStr">
        <is>
          <t>'109193</t>
        </is>
      </c>
      <c r="E1864" s="0" t="inlineStr">
        <is>
          <t>USD ELEANOR:109193C-L</t>
        </is>
      </c>
      <c r="F1864" s="0" t="inlineStr">
        <is>
          <t>'800109193036</t>
        </is>
      </c>
      <c r="G1864" s="0" t="inlineStr">
        <is>
          <t>WOMENS</t>
        </is>
      </c>
      <c r="H1864" s="0" t="inlineStr">
        <is>
          <t>L</t>
        </is>
      </c>
      <c r="I1864" s="0">
        <v>59.99</v>
      </c>
      <c r="J1864" s="0">
        <v>18</v>
      </c>
    </row>
    <row r="1865" spans="1:10" customHeight="0">
      <c r="A1865" s="0">
        <f>HYPERLINK("https://dl.dropboxusercontent.com/scl/fi/qdn17j6e9ldwpca06kysb/109193-af.jpg?rlkey=gxlz4ai1x88inzea025t7j7ia&amp;dl=0","Click to download Image")</f>
      </c>
      <c r="B1865" s="0">
        <f>HYPERLINK("https://dl.dropboxusercontent.com/scl/fi/i1wy1ycceumnnyobtypkl/womens-pullover-size-chartseleanor.jpg?rlkey=2yvgyohhrmjg0mizy3c49ene3&amp;dl=0","Click to download SizeChart")</f>
      </c>
      <c r="C1865" s="0" t="inlineStr">
        <is>
          <t>Eleanor Women's Sweater Fleece Pullover</t>
        </is>
      </c>
      <c r="D1865" s="0" t="inlineStr">
        <is>
          <t>'109193</t>
        </is>
      </c>
      <c r="E1865" s="0" t="inlineStr">
        <is>
          <t>USD ELEANOR:109193D-XL</t>
        </is>
      </c>
      <c r="F1865" s="0" t="inlineStr">
        <is>
          <t>'800109193043</t>
        </is>
      </c>
      <c r="G1865" s="0" t="inlineStr">
        <is>
          <t>WOMENS</t>
        </is>
      </c>
      <c r="H1865" s="0" t="inlineStr">
        <is>
          <t>XL</t>
        </is>
      </c>
      <c r="I1865" s="0">
        <v>59.99</v>
      </c>
      <c r="J1865" s="0">
        <v>6</v>
      </c>
    </row>
    <row r="1866" spans="1:10" customHeight="0">
      <c r="A1866" s="0">
        <f>HYPERLINK("https://dl.dropboxusercontent.com/scl/fi/qdn17j6e9ldwpca06kysb/109193-af.jpg?rlkey=gxlz4ai1x88inzea025t7j7ia&amp;dl=0","Click to download Image")</f>
      </c>
      <c r="B1866" s="0">
        <f>HYPERLINK("https://dl.dropboxusercontent.com/scl/fi/i1wy1ycceumnnyobtypkl/womens-pullover-size-chartseleanor.jpg?rlkey=2yvgyohhrmjg0mizy3c49ene3&amp;dl=0","Click to download SizeChart")</f>
      </c>
      <c r="C1866" s="0" t="inlineStr">
        <is>
          <t>Eleanor Women's Sweater Fleece Pullover</t>
        </is>
      </c>
      <c r="D1866" s="0" t="inlineStr">
        <is>
          <t>'109193</t>
        </is>
      </c>
      <c r="E1866" s="0" t="inlineStr">
        <is>
          <t>USD ELEANOR:109193E-2XL</t>
        </is>
      </c>
      <c r="F1866" s="0" t="inlineStr">
        <is>
          <t>'800109193050</t>
        </is>
      </c>
      <c r="G1866" s="0" t="inlineStr">
        <is>
          <t>WOMENS</t>
        </is>
      </c>
      <c r="H1866" s="0" t="inlineStr">
        <is>
          <t>2XL</t>
        </is>
      </c>
      <c r="I1866" s="0">
        <v>59.99</v>
      </c>
      <c r="J1866" s="0">
        <v>0</v>
      </c>
    </row>
    <row r="1867" spans="1:10" customHeight="0">
      <c r="A1867" s="0">
        <f>HYPERLINK("https://dl.dropboxusercontent.com/scl/fi/qdn17j6e9ldwpca06kysb/109193-af.jpg?rlkey=gxlz4ai1x88inzea025t7j7ia&amp;dl=0","Click to download Image")</f>
      </c>
      <c r="B1867" s="0">
        <f>HYPERLINK("https://dl.dropboxusercontent.com/scl/fi/i1wy1ycceumnnyobtypkl/womens-pullover-size-chartseleanor.jpg?rlkey=2yvgyohhrmjg0mizy3c49ene3&amp;dl=0","Click to download SizeChart")</f>
      </c>
      <c r="C1867" s="0" t="inlineStr">
        <is>
          <t>Eleanor Women's Sweater Fleece Pullover</t>
        </is>
      </c>
      <c r="D1867" s="0" t="inlineStr">
        <is>
          <t>'109193</t>
        </is>
      </c>
      <c r="E1867" s="0" t="inlineStr">
        <is>
          <t>USD ELEANOR:109193F-3XL</t>
        </is>
      </c>
      <c r="F1867" s="0" t="inlineStr">
        <is>
          <t>'800109193067</t>
        </is>
      </c>
      <c r="G1867" s="0" t="inlineStr">
        <is>
          <t>WOMENS</t>
        </is>
      </c>
      <c r="H1867" s="0" t="inlineStr">
        <is>
          <t>3XL</t>
        </is>
      </c>
      <c r="I1867" s="0">
        <v>59.99</v>
      </c>
      <c r="J1867" s="0">
        <v>1</v>
      </c>
    </row>
    <row r="1868" spans="1:10" customHeight="0">
      <c r="A1868" s="0">
        <f>HYPERLINK("https://dl.dropboxusercontent.com/scl/fi/qdb2uh32kcuqlum6xmidf/109189-af.jpg?rlkey=0e989eofaftxomnx3md2bs0np&amp;dl=0","Click to download Image")</f>
      </c>
      <c r="B1868" s="0">
        <f>HYPERLINK("https://dl.dropboxusercontent.com/scl/fi/i1wy1ycceumnnyobtypkl/womens-pullover-size-chartseleanor.jpg?rlkey=2yvgyohhrmjg0mizy3c49ene3&amp;dl=0","Click to download SizeChart")</f>
      </c>
      <c r="C1868" s="0" t="inlineStr">
        <is>
          <t>Eleanor Women's Sweater Fleece Pullover</t>
        </is>
      </c>
      <c r="D1868" s="0" t="inlineStr">
        <is>
          <t>'109189</t>
        </is>
      </c>
      <c r="E1868" s="0" t="inlineStr">
        <is>
          <t>UNI ELEANOR:109189A-S</t>
        </is>
      </c>
      <c r="F1868" s="0" t="inlineStr">
        <is>
          <t>'800109189015</t>
        </is>
      </c>
      <c r="G1868" s="0" t="inlineStr">
        <is>
          <t>WOMENS</t>
        </is>
      </c>
      <c r="H1868" s="0" t="inlineStr">
        <is>
          <t>S</t>
        </is>
      </c>
      <c r="I1868" s="0">
        <v>59.99</v>
      </c>
      <c r="J1868" s="0">
        <v>0</v>
      </c>
    </row>
    <row r="1869" spans="1:10" customHeight="0">
      <c r="A1869" s="0">
        <f>HYPERLINK("https://dl.dropboxusercontent.com/scl/fi/qdb2uh32kcuqlum6xmidf/109189-af.jpg?rlkey=0e989eofaftxomnx3md2bs0np&amp;dl=0","Click to download Image")</f>
      </c>
      <c r="B1869" s="0">
        <f>HYPERLINK("https://dl.dropboxusercontent.com/scl/fi/i1wy1ycceumnnyobtypkl/womens-pullover-size-chartseleanor.jpg?rlkey=2yvgyohhrmjg0mizy3c49ene3&amp;dl=0","Click to download SizeChart")</f>
      </c>
      <c r="C1869" s="0" t="inlineStr">
        <is>
          <t>Eleanor Women's Sweater Fleece Pullover</t>
        </is>
      </c>
      <c r="D1869" s="0" t="inlineStr">
        <is>
          <t>'109189</t>
        </is>
      </c>
      <c r="E1869" s="0" t="inlineStr">
        <is>
          <t>UNI ELEANOR:109189B-M</t>
        </is>
      </c>
      <c r="F1869" s="0" t="inlineStr">
        <is>
          <t>'800109189022</t>
        </is>
      </c>
      <c r="G1869" s="0" t="inlineStr">
        <is>
          <t>WOMENS</t>
        </is>
      </c>
      <c r="H1869" s="0" t="inlineStr">
        <is>
          <t>M</t>
        </is>
      </c>
      <c r="I1869" s="0">
        <v>59.99</v>
      </c>
      <c r="J1869" s="0">
        <v>2</v>
      </c>
    </row>
    <row r="1870" spans="1:10" customHeight="0">
      <c r="A1870" s="0">
        <f>HYPERLINK("https://dl.dropboxusercontent.com/scl/fi/qdb2uh32kcuqlum6xmidf/109189-af.jpg?rlkey=0e989eofaftxomnx3md2bs0np&amp;dl=0","Click to download Image")</f>
      </c>
      <c r="B1870" s="0">
        <f>HYPERLINK("https://dl.dropboxusercontent.com/scl/fi/i1wy1ycceumnnyobtypkl/womens-pullover-size-chartseleanor.jpg?rlkey=2yvgyohhrmjg0mizy3c49ene3&amp;dl=0","Click to download SizeChart")</f>
      </c>
      <c r="C1870" s="0" t="inlineStr">
        <is>
          <t>Eleanor Women's Sweater Fleece Pullover</t>
        </is>
      </c>
      <c r="D1870" s="0" t="inlineStr">
        <is>
          <t>'109189</t>
        </is>
      </c>
      <c r="E1870" s="0" t="inlineStr">
        <is>
          <t>UNI ELEANOR:109189C-L</t>
        </is>
      </c>
      <c r="F1870" s="0" t="inlineStr">
        <is>
          <t>'800109189039</t>
        </is>
      </c>
      <c r="G1870" s="0" t="inlineStr">
        <is>
          <t>WOMENS</t>
        </is>
      </c>
      <c r="H1870" s="0" t="inlineStr">
        <is>
          <t>L</t>
        </is>
      </c>
      <c r="I1870" s="0">
        <v>59.99</v>
      </c>
      <c r="J1870" s="0">
        <v>4</v>
      </c>
    </row>
    <row r="1871" spans="1:10" customHeight="0">
      <c r="A1871" s="0">
        <f>HYPERLINK("https://dl.dropboxusercontent.com/scl/fi/qdb2uh32kcuqlum6xmidf/109189-af.jpg?rlkey=0e989eofaftxomnx3md2bs0np&amp;dl=0","Click to download Image")</f>
      </c>
      <c r="B1871" s="0">
        <f>HYPERLINK("https://dl.dropboxusercontent.com/scl/fi/i1wy1ycceumnnyobtypkl/womens-pullover-size-chartseleanor.jpg?rlkey=2yvgyohhrmjg0mizy3c49ene3&amp;dl=0","Click to download SizeChart")</f>
      </c>
      <c r="C1871" s="0" t="inlineStr">
        <is>
          <t>Eleanor Women's Sweater Fleece Pullover</t>
        </is>
      </c>
      <c r="D1871" s="0" t="inlineStr">
        <is>
          <t>'109189</t>
        </is>
      </c>
      <c r="E1871" s="0" t="inlineStr">
        <is>
          <t>UNI ELEANOR:109189D-XL</t>
        </is>
      </c>
      <c r="F1871" s="0" t="inlineStr">
        <is>
          <t>'800109189046</t>
        </is>
      </c>
      <c r="G1871" s="0" t="inlineStr">
        <is>
          <t>WOMENS</t>
        </is>
      </c>
      <c r="H1871" s="0" t="inlineStr">
        <is>
          <t>XL</t>
        </is>
      </c>
      <c r="I1871" s="0">
        <v>59.99</v>
      </c>
      <c r="J1871" s="0">
        <v>0</v>
      </c>
    </row>
    <row r="1872" spans="1:10" customHeight="0">
      <c r="A1872" s="0">
        <f>HYPERLINK("https://dl.dropboxusercontent.com/scl/fi/qdb2uh32kcuqlum6xmidf/109189-af.jpg?rlkey=0e989eofaftxomnx3md2bs0np&amp;dl=0","Click to download Image")</f>
      </c>
      <c r="B1872" s="0">
        <f>HYPERLINK("https://dl.dropboxusercontent.com/scl/fi/i1wy1ycceumnnyobtypkl/womens-pullover-size-chartseleanor.jpg?rlkey=2yvgyohhrmjg0mizy3c49ene3&amp;dl=0","Click to download SizeChart")</f>
      </c>
      <c r="C1872" s="0" t="inlineStr">
        <is>
          <t>Eleanor Women's Sweater Fleece Pullover</t>
        </is>
      </c>
      <c r="D1872" s="0" t="inlineStr">
        <is>
          <t>'109189</t>
        </is>
      </c>
      <c r="E1872" s="0" t="inlineStr">
        <is>
          <t>UNI ELEANOR:109189E-2XL</t>
        </is>
      </c>
      <c r="F1872" s="0" t="inlineStr">
        <is>
          <t>'800109189053</t>
        </is>
      </c>
      <c r="G1872" s="0" t="inlineStr">
        <is>
          <t>WOMENS</t>
        </is>
      </c>
      <c r="H1872" s="0" t="inlineStr">
        <is>
          <t>2XL</t>
        </is>
      </c>
      <c r="I1872" s="0">
        <v>59.99</v>
      </c>
      <c r="J1872" s="0">
        <v>0</v>
      </c>
    </row>
    <row r="1873" spans="1:10" customHeight="0">
      <c r="A1873" s="0">
        <f>HYPERLINK("https://dl.dropboxusercontent.com/scl/fi/qdb2uh32kcuqlum6xmidf/109189-af.jpg?rlkey=0e989eofaftxomnx3md2bs0np&amp;dl=0","Click to download Image")</f>
      </c>
      <c r="B1873" s="0">
        <f>HYPERLINK("https://dl.dropboxusercontent.com/scl/fi/i1wy1ycceumnnyobtypkl/womens-pullover-size-chartseleanor.jpg?rlkey=2yvgyohhrmjg0mizy3c49ene3&amp;dl=0","Click to download SizeChart")</f>
      </c>
      <c r="C1873" s="0" t="inlineStr">
        <is>
          <t>Eleanor Women's Sweater Fleece Pullover</t>
        </is>
      </c>
      <c r="D1873" s="0" t="inlineStr">
        <is>
          <t>'109189</t>
        </is>
      </c>
      <c r="E1873" s="0" t="inlineStr">
        <is>
          <t>UNI ELEANOR:109189F-3XL</t>
        </is>
      </c>
      <c r="F1873" s="0" t="inlineStr">
        <is>
          <t>'800109189060</t>
        </is>
      </c>
      <c r="G1873" s="0" t="inlineStr">
        <is>
          <t>WOMENS</t>
        </is>
      </c>
      <c r="H1873" s="0" t="inlineStr">
        <is>
          <t>3XL</t>
        </is>
      </c>
      <c r="I1873" s="0">
        <v>59.99</v>
      </c>
      <c r="J1873" s="0">
        <v>2</v>
      </c>
    </row>
    <row r="1874" spans="1:10" customHeight="0">
      <c r="A1874" s="0">
        <f>HYPERLINK("https://dl.dropboxusercontent.com/scl/fi/8qmxphovdzer3by1ka1mw/109195-af.jpg?rlkey=v2657uptpztrq0argtc77rhez&amp;dl=0","Click to download Image")</f>
      </c>
      <c r="B1874" s="0">
        <f>HYPERLINK("https://dl.dropboxusercontent.com/scl/fi/i1wy1ycceumnnyobtypkl/womens-pullover-size-chartseleanor.jpg?rlkey=2yvgyohhrmjg0mizy3c49ene3&amp;dl=0","Click to download SizeChart")</f>
      </c>
      <c r="C1874" s="0" t="inlineStr">
        <is>
          <t>Eleanor Women's Sweater Fleece Pullover</t>
        </is>
      </c>
      <c r="D1874" s="0" t="inlineStr">
        <is>
          <t>'109195</t>
        </is>
      </c>
      <c r="E1874" s="0" t="inlineStr">
        <is>
          <t>MARQ ELEANOR:109195A-S</t>
        </is>
      </c>
      <c r="F1874" s="0" t="inlineStr">
        <is>
          <t>'800109195016</t>
        </is>
      </c>
      <c r="G1874" s="0" t="inlineStr">
        <is>
          <t>WOMENS</t>
        </is>
      </c>
      <c r="H1874" s="0" t="inlineStr">
        <is>
          <t>S</t>
        </is>
      </c>
      <c r="I1874" s="0">
        <v>59.99</v>
      </c>
      <c r="J1874" s="0">
        <v>12</v>
      </c>
    </row>
    <row r="1875" spans="1:10" customHeight="0">
      <c r="A1875" s="0">
        <f>HYPERLINK("https://dl.dropboxusercontent.com/scl/fi/8qmxphovdzer3by1ka1mw/109195-af.jpg?rlkey=v2657uptpztrq0argtc77rhez&amp;dl=0","Click to download Image")</f>
      </c>
      <c r="B1875" s="0">
        <f>HYPERLINK("https://dl.dropboxusercontent.com/scl/fi/i1wy1ycceumnnyobtypkl/womens-pullover-size-chartseleanor.jpg?rlkey=2yvgyohhrmjg0mizy3c49ene3&amp;dl=0","Click to download SizeChart")</f>
      </c>
      <c r="C1875" s="0" t="inlineStr">
        <is>
          <t>Eleanor Women's Sweater Fleece Pullover</t>
        </is>
      </c>
      <c r="D1875" s="0" t="inlineStr">
        <is>
          <t>'109195</t>
        </is>
      </c>
      <c r="E1875" s="0" t="inlineStr">
        <is>
          <t>MARQ ELEANOR:109195B-M</t>
        </is>
      </c>
      <c r="F1875" s="0" t="inlineStr">
        <is>
          <t>'800109195023</t>
        </is>
      </c>
      <c r="G1875" s="0" t="inlineStr">
        <is>
          <t>WOMENS</t>
        </is>
      </c>
      <c r="H1875" s="0" t="inlineStr">
        <is>
          <t>M</t>
        </is>
      </c>
      <c r="I1875" s="0">
        <v>59.99</v>
      </c>
      <c r="J1875" s="0">
        <v>24</v>
      </c>
    </row>
    <row r="1876" spans="1:10" customHeight="0">
      <c r="A1876" s="0">
        <f>HYPERLINK("https://dl.dropboxusercontent.com/scl/fi/8qmxphovdzer3by1ka1mw/109195-af.jpg?rlkey=v2657uptpztrq0argtc77rhez&amp;dl=0","Click to download Image")</f>
      </c>
      <c r="B1876" s="0">
        <f>HYPERLINK("https://dl.dropboxusercontent.com/scl/fi/i1wy1ycceumnnyobtypkl/womens-pullover-size-chartseleanor.jpg?rlkey=2yvgyohhrmjg0mizy3c49ene3&amp;dl=0","Click to download SizeChart")</f>
      </c>
      <c r="C1876" s="0" t="inlineStr">
        <is>
          <t>Eleanor Women's Sweater Fleece Pullover</t>
        </is>
      </c>
      <c r="D1876" s="0" t="inlineStr">
        <is>
          <t>'109195</t>
        </is>
      </c>
      <c r="E1876" s="0" t="inlineStr">
        <is>
          <t>MARQ ELEANOR:109195C-L</t>
        </is>
      </c>
      <c r="F1876" s="0" t="inlineStr">
        <is>
          <t>'800109195030</t>
        </is>
      </c>
      <c r="G1876" s="0" t="inlineStr">
        <is>
          <t>WOMENS</t>
        </is>
      </c>
      <c r="H1876" s="0" t="inlineStr">
        <is>
          <t>L</t>
        </is>
      </c>
      <c r="I1876" s="0">
        <v>59.99</v>
      </c>
      <c r="J1876" s="0">
        <v>24</v>
      </c>
    </row>
    <row r="1877" spans="1:10" customHeight="0">
      <c r="A1877" s="0">
        <f>HYPERLINK("https://dl.dropboxusercontent.com/scl/fi/8qmxphovdzer3by1ka1mw/109195-af.jpg?rlkey=v2657uptpztrq0argtc77rhez&amp;dl=0","Click to download Image")</f>
      </c>
      <c r="B1877" s="0">
        <f>HYPERLINK("https://dl.dropboxusercontent.com/scl/fi/i1wy1ycceumnnyobtypkl/womens-pullover-size-chartseleanor.jpg?rlkey=2yvgyohhrmjg0mizy3c49ene3&amp;dl=0","Click to download SizeChart")</f>
      </c>
      <c r="C1877" s="0" t="inlineStr">
        <is>
          <t>Eleanor Women's Sweater Fleece Pullover</t>
        </is>
      </c>
      <c r="D1877" s="0" t="inlineStr">
        <is>
          <t>'109195</t>
        </is>
      </c>
      <c r="E1877" s="0" t="inlineStr">
        <is>
          <t>MARQ ELEANOR:109195D-XL</t>
        </is>
      </c>
      <c r="F1877" s="0" t="inlineStr">
        <is>
          <t>'800109195047</t>
        </is>
      </c>
      <c r="G1877" s="0" t="inlineStr">
        <is>
          <t>WOMENS</t>
        </is>
      </c>
      <c r="H1877" s="0" t="inlineStr">
        <is>
          <t>XL</t>
        </is>
      </c>
      <c r="I1877" s="0">
        <v>59.99</v>
      </c>
      <c r="J1877" s="0">
        <v>12</v>
      </c>
    </row>
    <row r="1878" spans="1:10" customHeight="0">
      <c r="A1878" s="0">
        <f>HYPERLINK("https://dl.dropboxusercontent.com/scl/fi/8qmxphovdzer3by1ka1mw/109195-af.jpg?rlkey=v2657uptpztrq0argtc77rhez&amp;dl=0","Click to download Image")</f>
      </c>
      <c r="B1878" s="0">
        <f>HYPERLINK("https://dl.dropboxusercontent.com/scl/fi/i1wy1ycceumnnyobtypkl/womens-pullover-size-chartseleanor.jpg?rlkey=2yvgyohhrmjg0mizy3c49ene3&amp;dl=0","Click to download SizeChart")</f>
      </c>
      <c r="C1878" s="0" t="inlineStr">
        <is>
          <t>Eleanor Women's Sweater Fleece Pullover</t>
        </is>
      </c>
      <c r="D1878" s="0" t="inlineStr">
        <is>
          <t>'109195</t>
        </is>
      </c>
      <c r="E1878" s="0" t="inlineStr">
        <is>
          <t>MARQ ELEANOR:109195E-2XL</t>
        </is>
      </c>
      <c r="F1878" s="0" t="inlineStr">
        <is>
          <t>'800109195054</t>
        </is>
      </c>
      <c r="G1878" s="0" t="inlineStr">
        <is>
          <t>WOMENS</t>
        </is>
      </c>
      <c r="H1878" s="0" t="inlineStr">
        <is>
          <t>2XL</t>
        </is>
      </c>
      <c r="I1878" s="0">
        <v>59.99</v>
      </c>
      <c r="J1878" s="0">
        <v>4</v>
      </c>
    </row>
    <row r="1879" spans="1:10" customHeight="0">
      <c r="A1879" s="0">
        <f>HYPERLINK("https://dl.dropboxusercontent.com/scl/fi/8qmxphovdzer3by1ka1mw/109195-af.jpg?rlkey=v2657uptpztrq0argtc77rhez&amp;dl=0","Click to download Image")</f>
      </c>
      <c r="B1879" s="0">
        <f>HYPERLINK("https://dl.dropboxusercontent.com/scl/fi/i1wy1ycceumnnyobtypkl/womens-pullover-size-chartseleanor.jpg?rlkey=2yvgyohhrmjg0mizy3c49ene3&amp;dl=0","Click to download SizeChart")</f>
      </c>
      <c r="C1879" s="0" t="inlineStr">
        <is>
          <t>Eleanor Women's Sweater Fleece Pullover</t>
        </is>
      </c>
      <c r="D1879" s="0" t="inlineStr">
        <is>
          <t>'109195</t>
        </is>
      </c>
      <c r="E1879" s="0" t="inlineStr">
        <is>
          <t>MARQ ELEANOR:109195F-3XL</t>
        </is>
      </c>
      <c r="F1879" s="0" t="inlineStr">
        <is>
          <t>'800109195061</t>
        </is>
      </c>
      <c r="G1879" s="0" t="inlineStr">
        <is>
          <t>WOMENS</t>
        </is>
      </c>
      <c r="H1879" s="0" t="inlineStr">
        <is>
          <t>3XL</t>
        </is>
      </c>
      <c r="I1879" s="0">
        <v>59.99</v>
      </c>
      <c r="J1879" s="0">
        <v>4</v>
      </c>
    </row>
    <row r="1880" spans="1:10" customHeight="0">
      <c r="A1880" s="0">
        <f>HYPERLINK("https://dl.dropboxusercontent.com/scl/fi/uyu55lmviwbhtrmix2k5k/109196-af.jpg?rlkey=p2my9eekaurifi00a6u9js9d4&amp;dl=0","Click to download Image")</f>
      </c>
      <c r="B1880" s="0">
        <f>HYPERLINK("https://dl.dropboxusercontent.com/scl/fi/i1wy1ycceumnnyobtypkl/womens-pullover-size-chartseleanor.jpg?rlkey=2yvgyohhrmjg0mizy3c49ene3&amp;dl=0","Click to download SizeChart")</f>
      </c>
      <c r="C1880" s="0" t="inlineStr">
        <is>
          <t>Eleanor Women's Sweater Fleece Pullover</t>
        </is>
      </c>
      <c r="D1880" s="0" t="inlineStr">
        <is>
          <t>'109196</t>
        </is>
      </c>
      <c r="E1880" s="0" t="inlineStr">
        <is>
          <t>KSU ELEANOR:109196A-S</t>
        </is>
      </c>
      <c r="F1880" s="0" t="inlineStr">
        <is>
          <t>'800109196013</t>
        </is>
      </c>
      <c r="G1880" s="0" t="inlineStr">
        <is>
          <t>WOMENS</t>
        </is>
      </c>
      <c r="H1880" s="0" t="inlineStr">
        <is>
          <t>S</t>
        </is>
      </c>
      <c r="I1880" s="0">
        <v>59.99</v>
      </c>
      <c r="J1880" s="0">
        <v>8</v>
      </c>
    </row>
    <row r="1881" spans="1:10" customHeight="0">
      <c r="A1881" s="0">
        <f>HYPERLINK("https://dl.dropboxusercontent.com/scl/fi/uyu55lmviwbhtrmix2k5k/109196-af.jpg?rlkey=p2my9eekaurifi00a6u9js9d4&amp;dl=0","Click to download Image")</f>
      </c>
      <c r="B1881" s="0">
        <f>HYPERLINK("https://dl.dropboxusercontent.com/scl/fi/i1wy1ycceumnnyobtypkl/womens-pullover-size-chartseleanor.jpg?rlkey=2yvgyohhrmjg0mizy3c49ene3&amp;dl=0","Click to download SizeChart")</f>
      </c>
      <c r="C1881" s="0" t="inlineStr">
        <is>
          <t>Eleanor Women's Sweater Fleece Pullover</t>
        </is>
      </c>
      <c r="D1881" s="0" t="inlineStr">
        <is>
          <t>'109196</t>
        </is>
      </c>
      <c r="E1881" s="0" t="inlineStr">
        <is>
          <t>KSU ELEANOR:109196B-M</t>
        </is>
      </c>
      <c r="F1881" s="0" t="inlineStr">
        <is>
          <t>'800109196020</t>
        </is>
      </c>
      <c r="G1881" s="0" t="inlineStr">
        <is>
          <t>WOMENS</t>
        </is>
      </c>
      <c r="H1881" s="0" t="inlineStr">
        <is>
          <t>M</t>
        </is>
      </c>
      <c r="I1881" s="0">
        <v>59.99</v>
      </c>
      <c r="J1881" s="0">
        <v>18</v>
      </c>
    </row>
    <row r="1882" spans="1:10" customHeight="0">
      <c r="A1882" s="0">
        <f>HYPERLINK("https://dl.dropboxusercontent.com/scl/fi/uyu55lmviwbhtrmix2k5k/109196-af.jpg?rlkey=p2my9eekaurifi00a6u9js9d4&amp;dl=0","Click to download Image")</f>
      </c>
      <c r="B1882" s="0">
        <f>HYPERLINK("https://dl.dropboxusercontent.com/scl/fi/i1wy1ycceumnnyobtypkl/womens-pullover-size-chartseleanor.jpg?rlkey=2yvgyohhrmjg0mizy3c49ene3&amp;dl=0","Click to download SizeChart")</f>
      </c>
      <c r="C1882" s="0" t="inlineStr">
        <is>
          <t>Eleanor Women's Sweater Fleece Pullover</t>
        </is>
      </c>
      <c r="D1882" s="0" t="inlineStr">
        <is>
          <t>'109196</t>
        </is>
      </c>
      <c r="E1882" s="0" t="inlineStr">
        <is>
          <t>KSU ELEANOR:109196C-L</t>
        </is>
      </c>
      <c r="F1882" s="0" t="inlineStr">
        <is>
          <t>'800109196037</t>
        </is>
      </c>
      <c r="G1882" s="0" t="inlineStr">
        <is>
          <t>WOMENS</t>
        </is>
      </c>
      <c r="H1882" s="0" t="inlineStr">
        <is>
          <t>L</t>
        </is>
      </c>
      <c r="I1882" s="0">
        <v>59.99</v>
      </c>
      <c r="J1882" s="0">
        <v>19</v>
      </c>
    </row>
    <row r="1883" spans="1:10" customHeight="0">
      <c r="A1883" s="0">
        <f>HYPERLINK("https://dl.dropboxusercontent.com/scl/fi/uyu55lmviwbhtrmix2k5k/109196-af.jpg?rlkey=p2my9eekaurifi00a6u9js9d4&amp;dl=0","Click to download Image")</f>
      </c>
      <c r="B1883" s="0">
        <f>HYPERLINK("https://dl.dropboxusercontent.com/scl/fi/i1wy1ycceumnnyobtypkl/womens-pullover-size-chartseleanor.jpg?rlkey=2yvgyohhrmjg0mizy3c49ene3&amp;dl=0","Click to download SizeChart")</f>
      </c>
      <c r="C1883" s="0" t="inlineStr">
        <is>
          <t>Eleanor Women's Sweater Fleece Pullover</t>
        </is>
      </c>
      <c r="D1883" s="0" t="inlineStr">
        <is>
          <t>'109196</t>
        </is>
      </c>
      <c r="E1883" s="0" t="inlineStr">
        <is>
          <t>KSU ELEANOR:109196D-XL</t>
        </is>
      </c>
      <c r="F1883" s="0" t="inlineStr">
        <is>
          <t>'800109196044</t>
        </is>
      </c>
      <c r="G1883" s="0" t="inlineStr">
        <is>
          <t>WOMENS</t>
        </is>
      </c>
      <c r="H1883" s="0" t="inlineStr">
        <is>
          <t>XL</t>
        </is>
      </c>
      <c r="I1883" s="0">
        <v>59.99</v>
      </c>
      <c r="J1883" s="0">
        <v>9</v>
      </c>
    </row>
    <row r="1884" spans="1:10" customHeight="0">
      <c r="A1884" s="0">
        <f>HYPERLINK("https://dl.dropboxusercontent.com/scl/fi/uyu55lmviwbhtrmix2k5k/109196-af.jpg?rlkey=p2my9eekaurifi00a6u9js9d4&amp;dl=0","Click to download Image")</f>
      </c>
      <c r="B1884" s="0">
        <f>HYPERLINK("https://dl.dropboxusercontent.com/scl/fi/i1wy1ycceumnnyobtypkl/womens-pullover-size-chartseleanor.jpg?rlkey=2yvgyohhrmjg0mizy3c49ene3&amp;dl=0","Click to download SizeChart")</f>
      </c>
      <c r="C1884" s="0" t="inlineStr">
        <is>
          <t>Eleanor Women's Sweater Fleece Pullover</t>
        </is>
      </c>
      <c r="D1884" s="0" t="inlineStr">
        <is>
          <t>'109196</t>
        </is>
      </c>
      <c r="E1884" s="0" t="inlineStr">
        <is>
          <t>KSU ELEANOR:109196E-2XL</t>
        </is>
      </c>
      <c r="F1884" s="0" t="inlineStr">
        <is>
          <t>'800109196051</t>
        </is>
      </c>
      <c r="G1884" s="0" t="inlineStr">
        <is>
          <t>WOMENS</t>
        </is>
      </c>
      <c r="H1884" s="0" t="inlineStr">
        <is>
          <t>2XL</t>
        </is>
      </c>
      <c r="I1884" s="0">
        <v>59.99</v>
      </c>
      <c r="J1884" s="0">
        <v>2</v>
      </c>
    </row>
    <row r="1885" spans="1:10" customHeight="0">
      <c r="A1885" s="0">
        <f>HYPERLINK("https://dl.dropboxusercontent.com/scl/fi/uyu55lmviwbhtrmix2k5k/109196-af.jpg?rlkey=p2my9eekaurifi00a6u9js9d4&amp;dl=0","Click to download Image")</f>
      </c>
      <c r="B1885" s="0">
        <f>HYPERLINK("https://dl.dropboxusercontent.com/scl/fi/i1wy1ycceumnnyobtypkl/womens-pullover-size-chartseleanor.jpg?rlkey=2yvgyohhrmjg0mizy3c49ene3&amp;dl=0","Click to download SizeChart")</f>
      </c>
      <c r="C1885" s="0" t="inlineStr">
        <is>
          <t>Eleanor Women's Sweater Fleece Pullover</t>
        </is>
      </c>
      <c r="D1885" s="0" t="inlineStr">
        <is>
          <t>'109196</t>
        </is>
      </c>
      <c r="E1885" s="0" t="inlineStr">
        <is>
          <t>KSU ELEANOR:109196F-3XL</t>
        </is>
      </c>
      <c r="F1885" s="0" t="inlineStr">
        <is>
          <t>'800109196068</t>
        </is>
      </c>
      <c r="G1885" s="0" t="inlineStr">
        <is>
          <t>WOMENS</t>
        </is>
      </c>
      <c r="H1885" s="0" t="inlineStr">
        <is>
          <t>3XL</t>
        </is>
      </c>
      <c r="I1885" s="0">
        <v>59.99</v>
      </c>
      <c r="J1885" s="0">
        <v>4</v>
      </c>
    </row>
    <row r="1886" spans="1:10" customHeight="0">
      <c r="A1886" s="0">
        <f>HYPERLINK("https://dl.dropboxusercontent.com/scl/fi/pbatvz1s1oonj8210pcje/finaldsc1932-isu.jpg?rlkey=yzs93usy2b8l2l8lw9wsrh6im&amp;dl=0","Click to download Image")</f>
      </c>
      <c r="B1886" s="0">
        <f>HYPERLINK("https://dl.dropboxusercontent.com/scl/fi/i1wy1ycceumnnyobtypkl/womens-pullover-size-chartseleanor.jpg?rlkey=2yvgyohhrmjg0mizy3c49ene3&amp;dl=0","Click to download SizeChart")</f>
      </c>
      <c r="C1886" s="0" t="inlineStr">
        <is>
          <t>Eleanor Women's Sweater Fleece Pullover</t>
        </is>
      </c>
      <c r="D1886" s="0" t="inlineStr">
        <is>
          <t>'107095</t>
        </is>
      </c>
      <c r="E1886" s="0" t="inlineStr">
        <is>
          <t>ISU ELEANOR:107095A-S</t>
        </is>
      </c>
      <c r="F1886" s="0" t="inlineStr">
        <is>
          <t>'800107095011</t>
        </is>
      </c>
      <c r="G1886" s="0" t="inlineStr">
        <is>
          <t>WOMENS</t>
        </is>
      </c>
      <c r="H1886" s="0" t="inlineStr">
        <is>
          <t>S</t>
        </is>
      </c>
      <c r="I1886" s="0">
        <v>59.99</v>
      </c>
      <c r="J1886" s="0">
        <v>0</v>
      </c>
    </row>
    <row r="1887" spans="1:10" customHeight="0">
      <c r="A1887" s="0">
        <f>HYPERLINK("https://dl.dropboxusercontent.com/scl/fi/pbatvz1s1oonj8210pcje/finaldsc1932-isu.jpg?rlkey=yzs93usy2b8l2l8lw9wsrh6im&amp;dl=0","Click to download Image")</f>
      </c>
      <c r="B1887" s="0">
        <f>HYPERLINK("https://dl.dropboxusercontent.com/scl/fi/i1wy1ycceumnnyobtypkl/womens-pullover-size-chartseleanor.jpg?rlkey=2yvgyohhrmjg0mizy3c49ene3&amp;dl=0","Click to download SizeChart")</f>
      </c>
      <c r="C1887" s="0" t="inlineStr">
        <is>
          <t>Eleanor Women's Sweater Fleece Pullover</t>
        </is>
      </c>
      <c r="D1887" s="0" t="inlineStr">
        <is>
          <t>'107095</t>
        </is>
      </c>
      <c r="E1887" s="0" t="inlineStr">
        <is>
          <t>ISU ELEANOR:107095B-M</t>
        </is>
      </c>
      <c r="F1887" s="0" t="inlineStr">
        <is>
          <t>'800107095028</t>
        </is>
      </c>
      <c r="G1887" s="0" t="inlineStr">
        <is>
          <t>WOMENS</t>
        </is>
      </c>
      <c r="H1887" s="0" t="inlineStr">
        <is>
          <t>M</t>
        </is>
      </c>
      <c r="I1887" s="0">
        <v>59.99</v>
      </c>
      <c r="J1887" s="0">
        <v>0</v>
      </c>
    </row>
    <row r="1888" spans="1:10" customHeight="0">
      <c r="A1888" s="0">
        <f>HYPERLINK("https://dl.dropboxusercontent.com/scl/fi/pbatvz1s1oonj8210pcje/finaldsc1932-isu.jpg?rlkey=yzs93usy2b8l2l8lw9wsrh6im&amp;dl=0","Click to download Image")</f>
      </c>
      <c r="B1888" s="0">
        <f>HYPERLINK("https://dl.dropboxusercontent.com/scl/fi/i1wy1ycceumnnyobtypkl/womens-pullover-size-chartseleanor.jpg?rlkey=2yvgyohhrmjg0mizy3c49ene3&amp;dl=0","Click to download SizeChart")</f>
      </c>
      <c r="C1888" s="0" t="inlineStr">
        <is>
          <t>Eleanor Women's Sweater Fleece Pullover</t>
        </is>
      </c>
      <c r="D1888" s="0" t="inlineStr">
        <is>
          <t>'107095</t>
        </is>
      </c>
      <c r="E1888" s="0" t="inlineStr">
        <is>
          <t>ISU ELEANOR:107095C-L</t>
        </is>
      </c>
      <c r="F1888" s="0" t="inlineStr">
        <is>
          <t>'800107095035</t>
        </is>
      </c>
      <c r="G1888" s="0" t="inlineStr">
        <is>
          <t>WOMENS</t>
        </is>
      </c>
      <c r="H1888" s="0" t="inlineStr">
        <is>
          <t>L</t>
        </is>
      </c>
      <c r="I1888" s="0">
        <v>59.99</v>
      </c>
      <c r="J1888" s="0">
        <v>0</v>
      </c>
    </row>
    <row r="1889" spans="1:10" customHeight="0">
      <c r="A1889" s="0">
        <f>HYPERLINK("https://dl.dropboxusercontent.com/scl/fi/pbatvz1s1oonj8210pcje/finaldsc1932-isu.jpg?rlkey=yzs93usy2b8l2l8lw9wsrh6im&amp;dl=0","Click to download Image")</f>
      </c>
      <c r="B1889" s="0">
        <f>HYPERLINK("https://dl.dropboxusercontent.com/scl/fi/i1wy1ycceumnnyobtypkl/womens-pullover-size-chartseleanor.jpg?rlkey=2yvgyohhrmjg0mizy3c49ene3&amp;dl=0","Click to download SizeChart")</f>
      </c>
      <c r="C1889" s="0" t="inlineStr">
        <is>
          <t>Eleanor Women's Sweater Fleece Pullover</t>
        </is>
      </c>
      <c r="D1889" s="0" t="inlineStr">
        <is>
          <t>'107095</t>
        </is>
      </c>
      <c r="E1889" s="0" t="inlineStr">
        <is>
          <t>ISU ELEANOR:107095D-XL</t>
        </is>
      </c>
      <c r="F1889" s="0" t="inlineStr">
        <is>
          <t>'800107095042</t>
        </is>
      </c>
      <c r="G1889" s="0" t="inlineStr">
        <is>
          <t>WOMENS</t>
        </is>
      </c>
      <c r="H1889" s="0" t="inlineStr">
        <is>
          <t>XL</t>
        </is>
      </c>
      <c r="I1889" s="0">
        <v>59.99</v>
      </c>
      <c r="J1889" s="0">
        <v>5</v>
      </c>
    </row>
    <row r="1890" spans="1:10" customHeight="0">
      <c r="A1890" s="0">
        <f>HYPERLINK("https://dl.dropboxusercontent.com/scl/fi/pbatvz1s1oonj8210pcje/finaldsc1932-isu.jpg?rlkey=yzs93usy2b8l2l8lw9wsrh6im&amp;dl=0","Click to download Image")</f>
      </c>
      <c r="B1890" s="0">
        <f>HYPERLINK("https://dl.dropboxusercontent.com/scl/fi/i1wy1ycceumnnyobtypkl/womens-pullover-size-chartseleanor.jpg?rlkey=2yvgyohhrmjg0mizy3c49ene3&amp;dl=0","Click to download SizeChart")</f>
      </c>
      <c r="C1890" s="0" t="inlineStr">
        <is>
          <t>Eleanor Women's Sweater Fleece Pullover</t>
        </is>
      </c>
      <c r="D1890" s="0" t="inlineStr">
        <is>
          <t>'107095</t>
        </is>
      </c>
      <c r="E1890" s="0" t="inlineStr">
        <is>
          <t>ISU ELEANOR:107095E-2XL</t>
        </is>
      </c>
      <c r="F1890" s="0" t="inlineStr">
        <is>
          <t>'800107095059</t>
        </is>
      </c>
      <c r="G1890" s="0" t="inlineStr">
        <is>
          <t>WOMENS</t>
        </is>
      </c>
      <c r="H1890" s="0" t="inlineStr">
        <is>
          <t>2XL</t>
        </is>
      </c>
      <c r="I1890" s="0">
        <v>59.99</v>
      </c>
      <c r="J1890" s="0">
        <v>0</v>
      </c>
    </row>
    <row r="1891" spans="1:10" customHeight="0">
      <c r="A1891" s="0">
        <f>HYPERLINK("https://dl.dropboxusercontent.com/scl/fi/pbatvz1s1oonj8210pcje/finaldsc1932-isu.jpg?rlkey=yzs93usy2b8l2l8lw9wsrh6im&amp;dl=0","Click to download Image")</f>
      </c>
      <c r="B1891" s="0">
        <f>HYPERLINK("https://dl.dropboxusercontent.com/scl/fi/i1wy1ycceumnnyobtypkl/womens-pullover-size-chartseleanor.jpg?rlkey=2yvgyohhrmjg0mizy3c49ene3&amp;dl=0","Click to download SizeChart")</f>
      </c>
      <c r="C1891" s="0" t="inlineStr">
        <is>
          <t>Eleanor Women's Sweater Fleece Pullover</t>
        </is>
      </c>
      <c r="D1891" s="0" t="inlineStr">
        <is>
          <t>'107095</t>
        </is>
      </c>
      <c r="E1891" s="0" t="inlineStr">
        <is>
          <t>ISU ELEANOR:107095F-3XL</t>
        </is>
      </c>
      <c r="F1891" s="0" t="inlineStr">
        <is>
          <t>'800107095066</t>
        </is>
      </c>
      <c r="G1891" s="0" t="inlineStr">
        <is>
          <t>WOMENS</t>
        </is>
      </c>
      <c r="H1891" s="0" t="inlineStr">
        <is>
          <t>3XL</t>
        </is>
      </c>
      <c r="I1891" s="0">
        <v>59.99</v>
      </c>
      <c r="J1891" s="0">
        <v>5</v>
      </c>
    </row>
    <row r="1892" spans="1:10" customHeight="0">
      <c r="A1892" s="0">
        <f>HYPERLINK("https://dl.dropboxusercontent.com/scl/fi/1n43ny1fgo7mqi5a46h75/106938-af.jpg?rlkey=fmtfttqvi1k31jeswvozeuhil&amp;dl=0","Click to download Image")</f>
      </c>
      <c r="B1892" s="0">
        <f>HYPERLINK("https://dl.dropboxusercontent.com/scl/fi/j6khw32ke7ead0bgflzr5/womens-hoodie-and-sweatshirt-size-chartsvictoria.jpg?rlkey=dszz3s9jg4kezzq4fsbjg5dzr&amp;dl=0","Click to download SizeChart")</f>
      </c>
      <c r="C1892" s="0" t="inlineStr">
        <is>
          <t>Victoria Women's Cowl Neck Pullover</t>
        </is>
      </c>
      <c r="D1892" s="0" t="inlineStr">
        <is>
          <t>'106938</t>
        </is>
      </c>
      <c r="E1892" s="0" t="inlineStr">
        <is>
          <t>IA VICTORIA:106938A-S</t>
        </is>
      </c>
      <c r="F1892" s="0" t="inlineStr">
        <is>
          <t>'800106938012</t>
        </is>
      </c>
      <c r="G1892" s="0" t="inlineStr">
        <is>
          <t>WOMENS</t>
        </is>
      </c>
      <c r="H1892" s="0" t="inlineStr">
        <is>
          <t>S</t>
        </is>
      </c>
      <c r="I1892" s="0">
        <v>49.99</v>
      </c>
      <c r="J1892" s="0">
        <v>0</v>
      </c>
    </row>
    <row r="1893" spans="1:10" customHeight="0">
      <c r="A1893" s="0">
        <f>HYPERLINK("https://dl.dropboxusercontent.com/scl/fi/1n43ny1fgo7mqi5a46h75/106938-af.jpg?rlkey=fmtfttqvi1k31jeswvozeuhil&amp;dl=0","Click to download Image")</f>
      </c>
      <c r="B1893" s="0">
        <f>HYPERLINK("https://dl.dropboxusercontent.com/scl/fi/j6khw32ke7ead0bgflzr5/womens-hoodie-and-sweatshirt-size-chartsvictoria.jpg?rlkey=dszz3s9jg4kezzq4fsbjg5dzr&amp;dl=0","Click to download SizeChart")</f>
      </c>
      <c r="C1893" s="0" t="inlineStr">
        <is>
          <t>Victoria Women's Cowl Neck Pullover</t>
        </is>
      </c>
      <c r="D1893" s="0" t="inlineStr">
        <is>
          <t>'106938</t>
        </is>
      </c>
      <c r="E1893" s="0" t="inlineStr">
        <is>
          <t>IA VICTORIA:106938B-M</t>
        </is>
      </c>
      <c r="F1893" s="0" t="inlineStr">
        <is>
          <t>'800106938029</t>
        </is>
      </c>
      <c r="G1893" s="0" t="inlineStr">
        <is>
          <t>WOMENS</t>
        </is>
      </c>
      <c r="H1893" s="0" t="inlineStr">
        <is>
          <t>M</t>
        </is>
      </c>
      <c r="I1893" s="0">
        <v>49.99</v>
      </c>
      <c r="J1893" s="0">
        <v>0</v>
      </c>
    </row>
    <row r="1894" spans="1:10" customHeight="0">
      <c r="A1894" s="0">
        <f>HYPERLINK("https://dl.dropboxusercontent.com/scl/fi/1n43ny1fgo7mqi5a46h75/106938-af.jpg?rlkey=fmtfttqvi1k31jeswvozeuhil&amp;dl=0","Click to download Image")</f>
      </c>
      <c r="B1894" s="0">
        <f>HYPERLINK("https://dl.dropboxusercontent.com/scl/fi/j6khw32ke7ead0bgflzr5/womens-hoodie-and-sweatshirt-size-chartsvictoria.jpg?rlkey=dszz3s9jg4kezzq4fsbjg5dzr&amp;dl=0","Click to download SizeChart")</f>
      </c>
      <c r="C1894" s="0" t="inlineStr">
        <is>
          <t>Victoria Women's Cowl Neck Pullover</t>
        </is>
      </c>
      <c r="D1894" s="0" t="inlineStr">
        <is>
          <t>'106938</t>
        </is>
      </c>
      <c r="E1894" s="0" t="inlineStr">
        <is>
          <t>IA VICTORIA:106938C-L</t>
        </is>
      </c>
      <c r="F1894" s="0" t="inlineStr">
        <is>
          <t>'800106938036</t>
        </is>
      </c>
      <c r="G1894" s="0" t="inlineStr">
        <is>
          <t>WOMENS</t>
        </is>
      </c>
      <c r="H1894" s="0" t="inlineStr">
        <is>
          <t>L</t>
        </is>
      </c>
      <c r="I1894" s="0">
        <v>49.99</v>
      </c>
      <c r="J1894" s="0">
        <v>0</v>
      </c>
    </row>
    <row r="1895" spans="1:10" customHeight="0">
      <c r="A1895" s="0">
        <f>HYPERLINK("https://dl.dropboxusercontent.com/scl/fi/1n43ny1fgo7mqi5a46h75/106938-af.jpg?rlkey=fmtfttqvi1k31jeswvozeuhil&amp;dl=0","Click to download Image")</f>
      </c>
      <c r="B1895" s="0">
        <f>HYPERLINK("https://dl.dropboxusercontent.com/scl/fi/j6khw32ke7ead0bgflzr5/womens-hoodie-and-sweatshirt-size-chartsvictoria.jpg?rlkey=dszz3s9jg4kezzq4fsbjg5dzr&amp;dl=0","Click to download SizeChart")</f>
      </c>
      <c r="C1895" s="0" t="inlineStr">
        <is>
          <t>Victoria Women's Cowl Neck Pullover</t>
        </is>
      </c>
      <c r="D1895" s="0" t="inlineStr">
        <is>
          <t>'106938</t>
        </is>
      </c>
      <c r="E1895" s="0" t="inlineStr">
        <is>
          <t>IA VICTORIA:106938D-XL</t>
        </is>
      </c>
      <c r="F1895" s="0" t="inlineStr">
        <is>
          <t>'800106938043</t>
        </is>
      </c>
      <c r="G1895" s="0" t="inlineStr">
        <is>
          <t>WOMENS</t>
        </is>
      </c>
      <c r="H1895" s="0" t="inlineStr">
        <is>
          <t>XL</t>
        </is>
      </c>
      <c r="I1895" s="0">
        <v>49.99</v>
      </c>
      <c r="J1895" s="0">
        <v>0</v>
      </c>
    </row>
    <row r="1896" spans="1:10" customHeight="0">
      <c r="A1896" s="0">
        <f>HYPERLINK("https://dl.dropboxusercontent.com/scl/fi/1n43ny1fgo7mqi5a46h75/106938-af.jpg?rlkey=fmtfttqvi1k31jeswvozeuhil&amp;dl=0","Click to download Image")</f>
      </c>
      <c r="B1896" s="0">
        <f>HYPERLINK("https://dl.dropboxusercontent.com/scl/fi/j6khw32ke7ead0bgflzr5/womens-hoodie-and-sweatshirt-size-chartsvictoria.jpg?rlkey=dszz3s9jg4kezzq4fsbjg5dzr&amp;dl=0","Click to download SizeChart")</f>
      </c>
      <c r="C1896" s="0" t="inlineStr">
        <is>
          <t>Victoria Women's Cowl Neck Pullover</t>
        </is>
      </c>
      <c r="D1896" s="0" t="inlineStr">
        <is>
          <t>'106938</t>
        </is>
      </c>
      <c r="E1896" s="0" t="inlineStr">
        <is>
          <t>IA VICTORIA:106938E-2XL</t>
        </is>
      </c>
      <c r="F1896" s="0" t="inlineStr">
        <is>
          <t>'800106938050</t>
        </is>
      </c>
      <c r="G1896" s="0" t="inlineStr">
        <is>
          <t>WOMENS</t>
        </is>
      </c>
      <c r="H1896" s="0" t="inlineStr">
        <is>
          <t>2XL</t>
        </is>
      </c>
      <c r="I1896" s="0">
        <v>49.99</v>
      </c>
      <c r="J1896" s="0">
        <v>0</v>
      </c>
    </row>
    <row r="1897" spans="1:10" customHeight="0">
      <c r="A1897" s="0">
        <f>HYPERLINK("https://dl.dropboxusercontent.com/scl/fi/1n43ny1fgo7mqi5a46h75/106938-af.jpg?rlkey=fmtfttqvi1k31jeswvozeuhil&amp;dl=0","Click to download Image")</f>
      </c>
      <c r="B1897" s="0">
        <f>HYPERLINK("https://dl.dropboxusercontent.com/scl/fi/j6khw32ke7ead0bgflzr5/womens-hoodie-and-sweatshirt-size-chartsvictoria.jpg?rlkey=dszz3s9jg4kezzq4fsbjg5dzr&amp;dl=0","Click to download SizeChart")</f>
      </c>
      <c r="C1897" s="0" t="inlineStr">
        <is>
          <t>Victoria Women's Cowl Neck Pullover</t>
        </is>
      </c>
      <c r="D1897" s="0" t="inlineStr">
        <is>
          <t>'106938</t>
        </is>
      </c>
      <c r="E1897" s="0" t="inlineStr">
        <is>
          <t>IA VICTORIA:106938F-3XL</t>
        </is>
      </c>
      <c r="F1897" s="0" t="inlineStr">
        <is>
          <t>'800106938067</t>
        </is>
      </c>
      <c r="G1897" s="0" t="inlineStr">
        <is>
          <t>WOMENS</t>
        </is>
      </c>
      <c r="H1897" s="0" t="inlineStr">
        <is>
          <t>3XL</t>
        </is>
      </c>
      <c r="I1897" s="0">
        <v>49.99</v>
      </c>
      <c r="J1897" s="0">
        <v>2</v>
      </c>
    </row>
    <row r="1898" spans="1:10" customHeight="0">
      <c r="A1898" s="0">
        <f>HYPERLINK("https://dl.dropboxusercontent.com/scl/fi/axdxx5aqt2o2tqjfbcsr8/113383-af.jpg?rlkey=ht6ez0jydzzjlvvgjmz3ymq53&amp;dl=0","Click to download Image")</f>
      </c>
      <c r="C1898" s="0" t="inlineStr">
        <is>
          <t>Renfred Youth Cap</t>
        </is>
      </c>
      <c r="D1898" s="0" t="inlineStr">
        <is>
          <t>'113383</t>
        </is>
      </c>
      <c r="E1898" s="0" t="inlineStr">
        <is>
          <t>IOWA RENFRED:113383</t>
        </is>
      </c>
      <c r="F1898" s="0" t="inlineStr">
        <is>
          <t>'700113383037</t>
        </is>
      </c>
      <c r="G1898" s="0" t="inlineStr">
        <is>
          <t>YOUTH</t>
        </is>
      </c>
      <c r="H1898" s="0" t="inlineStr">
        <is>
          <t>YOUTH</t>
        </is>
      </c>
      <c r="I1898" s="0">
        <v>19.99</v>
      </c>
      <c r="J1898" s="0">
        <v>10</v>
      </c>
    </row>
    <row r="1899" spans="1:10" customHeight="0">
      <c r="A1899" s="0">
        <f>HYPERLINK("https://dl.dropboxusercontent.com/scl/fi/hj4e563v6ixbxfdsuhage/113383-af.jpg?rlkey=zerjr5eriiyd03j50pnjs402t&amp;dl=0","Click to download Image")</f>
      </c>
      <c r="C1899" s="0" t="inlineStr">
        <is>
          <t>Renfred Toddler Cap</t>
        </is>
      </c>
      <c r="D1899" s="0" t="inlineStr">
        <is>
          <t>'122902</t>
        </is>
      </c>
      <c r="E1899" s="0" t="inlineStr">
        <is>
          <t>IOWA RENFRE T BK:122902</t>
        </is>
      </c>
      <c r="F1899" s="0" t="inlineStr">
        <is>
          <t>'700122902045</t>
        </is>
      </c>
      <c r="G1899" s="0" t="inlineStr">
        <is>
          <t>TODDLER</t>
        </is>
      </c>
      <c r="H1899" s="0" t="inlineStr">
        <is>
          <t>TODDLER</t>
        </is>
      </c>
      <c r="I1899" s="0">
        <v>19.99</v>
      </c>
      <c r="J1899" s="0">
        <v>27</v>
      </c>
    </row>
    <row r="1900" spans="1:10" customHeight="0">
      <c r="A1900" s="0">
        <f>HYPERLINK("https://dl.dropboxusercontent.com/scl/fi/n2zhiy71mh508fnpq32dp/iadonovanf175595.jpg?rlkey=el7pxwcxz9r1gaxac8cdr8ye8&amp;dl=0","Click to download Image")</f>
      </c>
      <c r="B1900" s="0">
        <f>HYPERLINK("https://dl.dropboxusercontent.com/scl/fi/io0jgsb3hswkw6ougk0v3/mens-d.jpg?rlkey=h3swqn53prsv5zvgduixjw0uq&amp;dl=0","Click to download SizeChart")</f>
      </c>
      <c r="C1900" s="0" t="inlineStr">
        <is>
          <t>Dovan Men's Fitness Jacket</t>
        </is>
      </c>
      <c r="D1900" s="0" t="inlineStr">
        <is>
          <t>'95543</t>
        </is>
      </c>
      <c r="E1900" s="0" t="inlineStr">
        <is>
          <t>DONOVAN:95543A-S</t>
        </is>
      </c>
      <c r="F1900" s="0" t="inlineStr">
        <is>
          <t>'000000000000</t>
        </is>
      </c>
      <c r="G1900" s="0" t="inlineStr">
        <is>
          <t>MENS</t>
        </is>
      </c>
      <c r="H1900" s="0" t="inlineStr">
        <is>
          <t>S</t>
        </is>
      </c>
      <c r="I1900" s="0">
        <v>59.99</v>
      </c>
      <c r="J1900" s="0">
        <v>36</v>
      </c>
    </row>
    <row r="1901" spans="1:10" customHeight="0">
      <c r="A1901" s="0">
        <f>HYPERLINK("https://dl.dropboxusercontent.com/scl/fi/n2zhiy71mh508fnpq32dp/iadonovanf175595.jpg?rlkey=el7pxwcxz9r1gaxac8cdr8ye8&amp;dl=0","Click to download Image")</f>
      </c>
      <c r="B1901" s="0">
        <f>HYPERLINK("https://dl.dropboxusercontent.com/scl/fi/io0jgsb3hswkw6ougk0v3/mens-d.jpg?rlkey=h3swqn53prsv5zvgduixjw0uq&amp;dl=0","Click to download SizeChart")</f>
      </c>
      <c r="C1901" s="0" t="inlineStr">
        <is>
          <t>Dovan Men's Fitness Jacket</t>
        </is>
      </c>
      <c r="D1901" s="0" t="inlineStr">
        <is>
          <t>'95543</t>
        </is>
      </c>
      <c r="E1901" s="0" t="inlineStr">
        <is>
          <t>DONOVAN:95543B-M</t>
        </is>
      </c>
      <c r="F1901" s="0" t="inlineStr">
        <is>
          <t>'000000000000</t>
        </is>
      </c>
      <c r="G1901" s="0" t="inlineStr">
        <is>
          <t>MENS</t>
        </is>
      </c>
      <c r="H1901" s="0" t="inlineStr">
        <is>
          <t>M</t>
        </is>
      </c>
      <c r="I1901" s="0">
        <v>59.99</v>
      </c>
      <c r="J1901" s="0">
        <v>70</v>
      </c>
    </row>
    <row r="1902" spans="1:10" customHeight="0">
      <c r="A1902" s="0">
        <f>HYPERLINK("https://dl.dropboxusercontent.com/scl/fi/n2zhiy71mh508fnpq32dp/iadonovanf175595.jpg?rlkey=el7pxwcxz9r1gaxac8cdr8ye8&amp;dl=0","Click to download Image")</f>
      </c>
      <c r="B1902" s="0">
        <f>HYPERLINK("https://dl.dropboxusercontent.com/scl/fi/io0jgsb3hswkw6ougk0v3/mens-d.jpg?rlkey=h3swqn53prsv5zvgduixjw0uq&amp;dl=0","Click to download SizeChart")</f>
      </c>
      <c r="C1902" s="0" t="inlineStr">
        <is>
          <t>Dovan Men's Fitness Jacket</t>
        </is>
      </c>
      <c r="D1902" s="0" t="inlineStr">
        <is>
          <t>'95543</t>
        </is>
      </c>
      <c r="E1902" s="0" t="inlineStr">
        <is>
          <t>DONOVAN:95543C-L</t>
        </is>
      </c>
      <c r="F1902" s="0" t="inlineStr">
        <is>
          <t>'000000000000</t>
        </is>
      </c>
      <c r="G1902" s="0" t="inlineStr">
        <is>
          <t>MENS</t>
        </is>
      </c>
      <c r="H1902" s="0" t="inlineStr">
        <is>
          <t>L</t>
        </is>
      </c>
      <c r="I1902" s="0">
        <v>59.99</v>
      </c>
      <c r="J1902" s="0">
        <v>114</v>
      </c>
    </row>
    <row r="1903" spans="1:10" customHeight="0">
      <c r="A1903" s="0">
        <f>HYPERLINK("https://dl.dropboxusercontent.com/scl/fi/n2zhiy71mh508fnpq32dp/iadonovanf175595.jpg?rlkey=el7pxwcxz9r1gaxac8cdr8ye8&amp;dl=0","Click to download Image")</f>
      </c>
      <c r="B1903" s="0">
        <f>HYPERLINK("https://dl.dropboxusercontent.com/scl/fi/io0jgsb3hswkw6ougk0v3/mens-d.jpg?rlkey=h3swqn53prsv5zvgduixjw0uq&amp;dl=0","Click to download SizeChart")</f>
      </c>
      <c r="C1903" s="0" t="inlineStr">
        <is>
          <t>Dovan Men's Fitness Jacket</t>
        </is>
      </c>
      <c r="D1903" s="0" t="inlineStr">
        <is>
          <t>'95543</t>
        </is>
      </c>
      <c r="E1903" s="0" t="inlineStr">
        <is>
          <t>DONOVAN:95543D-XL</t>
        </is>
      </c>
      <c r="F1903" s="0" t="inlineStr">
        <is>
          <t>'000000000000</t>
        </is>
      </c>
      <c r="G1903" s="0" t="inlineStr">
        <is>
          <t>MENS</t>
        </is>
      </c>
      <c r="H1903" s="0" t="inlineStr">
        <is>
          <t>XL</t>
        </is>
      </c>
      <c r="I1903" s="0">
        <v>59.99</v>
      </c>
      <c r="J1903" s="0">
        <v>116</v>
      </c>
    </row>
    <row r="1904" spans="1:10" customHeight="0">
      <c r="A1904" s="0">
        <f>HYPERLINK("https://dl.dropboxusercontent.com/scl/fi/n2zhiy71mh508fnpq32dp/iadonovanf175595.jpg?rlkey=el7pxwcxz9r1gaxac8cdr8ye8&amp;dl=0","Click to download Image")</f>
      </c>
      <c r="B1904" s="0">
        <f>HYPERLINK("https://dl.dropboxusercontent.com/scl/fi/io0jgsb3hswkw6ougk0v3/mens-d.jpg?rlkey=h3swqn53prsv5zvgduixjw0uq&amp;dl=0","Click to download SizeChart")</f>
      </c>
      <c r="C1904" s="0" t="inlineStr">
        <is>
          <t>Dovan Men's Fitness Jacket</t>
        </is>
      </c>
      <c r="D1904" s="0" t="inlineStr">
        <is>
          <t>'95543</t>
        </is>
      </c>
      <c r="E1904" s="0" t="inlineStr">
        <is>
          <t>DONOVAN:95543E-2X</t>
        </is>
      </c>
      <c r="F1904" s="0" t="inlineStr">
        <is>
          <t>'000000000000</t>
        </is>
      </c>
      <c r="G1904" s="0" t="inlineStr">
        <is>
          <t>MENS</t>
        </is>
      </c>
      <c r="H1904" s="0" t="inlineStr">
        <is>
          <t>2XL</t>
        </is>
      </c>
      <c r="I1904" s="0">
        <v>59.99</v>
      </c>
      <c r="J1904" s="0">
        <v>73</v>
      </c>
    </row>
    <row r="1905" spans="1:10" customHeight="0">
      <c r="A1905" s="0">
        <f>HYPERLINK("https://dl.dropboxusercontent.com/scl/fi/n2zhiy71mh508fnpq32dp/iadonovanf175595.jpg?rlkey=el7pxwcxz9r1gaxac8cdr8ye8&amp;dl=0","Click to download Image")</f>
      </c>
      <c r="B1905" s="0">
        <f>HYPERLINK("https://dl.dropboxusercontent.com/scl/fi/io0jgsb3hswkw6ougk0v3/mens-d.jpg?rlkey=h3swqn53prsv5zvgduixjw0uq&amp;dl=0","Click to download SizeChart")</f>
      </c>
      <c r="C1905" s="0" t="inlineStr">
        <is>
          <t>Dovan Men's Fitness Jacket</t>
        </is>
      </c>
      <c r="D1905" s="0" t="inlineStr">
        <is>
          <t>'95543</t>
        </is>
      </c>
      <c r="E1905" s="0" t="inlineStr">
        <is>
          <t>DONOVAN:95543F-3X</t>
        </is>
      </c>
      <c r="F1905" s="0" t="inlineStr">
        <is>
          <t>'000000000000</t>
        </is>
      </c>
      <c r="G1905" s="0" t="inlineStr">
        <is>
          <t>MENS</t>
        </is>
      </c>
      <c r="H1905" s="0" t="inlineStr">
        <is>
          <t>3XL</t>
        </is>
      </c>
      <c r="I1905" s="0">
        <v>59.99</v>
      </c>
      <c r="J1905" s="0">
        <v>33</v>
      </c>
    </row>
    <row r="1906" spans="1:10" customHeight="0">
      <c r="A1906" s="0">
        <f>HYPERLINK("https://dl.dropboxusercontent.com/scl/fi/cn5hgzvkgjb7om41y17xz/96917af.jpg?rlkey=8it075s2ijexprl4g4lfmyeg4&amp;dl=0","Click to download Image")</f>
      </c>
      <c r="B1906" s="0">
        <f>HYPERLINK("https://dl.dropboxusercontent.com/scl/fi/d01ubb2e9izaufqts5od3/mens-d.jpg?rlkey=db8z63495kvrj575e9jmjldld&amp;dl=0","Click to download SizeChart")</f>
      </c>
      <c r="C1906" s="0" t="inlineStr">
        <is>
          <t>Ethan Men's Sweatshirt Jacket</t>
        </is>
      </c>
      <c r="D1906" s="0" t="inlineStr">
        <is>
          <t>'96917</t>
        </is>
      </c>
      <c r="E1906" s="0" t="inlineStr">
        <is>
          <t>ETHAN:96917A-S</t>
        </is>
      </c>
      <c r="F1906" s="0" t="inlineStr">
        <is>
          <t>'000000000000</t>
        </is>
      </c>
      <c r="G1906" s="0" t="inlineStr">
        <is>
          <t>MENS</t>
        </is>
      </c>
      <c r="H1906" s="0" t="inlineStr">
        <is>
          <t>S</t>
        </is>
      </c>
      <c r="I1906" s="0">
        <v>59.99</v>
      </c>
      <c r="J1906" s="0">
        <v>32</v>
      </c>
    </row>
    <row r="1907" spans="1:10" customHeight="0">
      <c r="A1907" s="0">
        <f>HYPERLINK("https://dl.dropboxusercontent.com/scl/fi/cn5hgzvkgjb7om41y17xz/96917af.jpg?rlkey=8it075s2ijexprl4g4lfmyeg4&amp;dl=0","Click to download Image")</f>
      </c>
      <c r="B1907" s="0">
        <f>HYPERLINK("https://dl.dropboxusercontent.com/scl/fi/d01ubb2e9izaufqts5od3/mens-d.jpg?rlkey=db8z63495kvrj575e9jmjldld&amp;dl=0","Click to download SizeChart")</f>
      </c>
      <c r="C1907" s="0" t="inlineStr">
        <is>
          <t>Ethan Men's Sweatshirt Jacket</t>
        </is>
      </c>
      <c r="D1907" s="0" t="inlineStr">
        <is>
          <t>'96917</t>
        </is>
      </c>
      <c r="E1907" s="0" t="inlineStr">
        <is>
          <t>ETHAN:96917B-M</t>
        </is>
      </c>
      <c r="F1907" s="0" t="inlineStr">
        <is>
          <t>'000000000000</t>
        </is>
      </c>
      <c r="G1907" s="0" t="inlineStr">
        <is>
          <t>MENS</t>
        </is>
      </c>
      <c r="H1907" s="0" t="inlineStr">
        <is>
          <t>M</t>
        </is>
      </c>
      <c r="I1907" s="0">
        <v>59.99</v>
      </c>
      <c r="J1907" s="0">
        <v>56</v>
      </c>
    </row>
    <row r="1908" spans="1:10" customHeight="0">
      <c r="A1908" s="0">
        <f>HYPERLINK("https://dl.dropboxusercontent.com/scl/fi/cn5hgzvkgjb7om41y17xz/96917af.jpg?rlkey=8it075s2ijexprl4g4lfmyeg4&amp;dl=0","Click to download Image")</f>
      </c>
      <c r="B1908" s="0">
        <f>HYPERLINK("https://dl.dropboxusercontent.com/scl/fi/d01ubb2e9izaufqts5od3/mens-d.jpg?rlkey=db8z63495kvrj575e9jmjldld&amp;dl=0","Click to download SizeChart")</f>
      </c>
      <c r="C1908" s="0" t="inlineStr">
        <is>
          <t>Ethan Men's Sweatshirt Jacket</t>
        </is>
      </c>
      <c r="D1908" s="0" t="inlineStr">
        <is>
          <t>'96917</t>
        </is>
      </c>
      <c r="E1908" s="0" t="inlineStr">
        <is>
          <t>ETHAN:96917C-L</t>
        </is>
      </c>
      <c r="F1908" s="0" t="inlineStr">
        <is>
          <t>'000000000000</t>
        </is>
      </c>
      <c r="G1908" s="0" t="inlineStr">
        <is>
          <t>MENS</t>
        </is>
      </c>
      <c r="H1908" s="0" t="inlineStr">
        <is>
          <t>L</t>
        </is>
      </c>
      <c r="I1908" s="0">
        <v>59.99</v>
      </c>
      <c r="J1908" s="0">
        <v>92</v>
      </c>
    </row>
    <row r="1909" spans="1:10" customHeight="0">
      <c r="A1909" s="0">
        <f>HYPERLINK("https://dl.dropboxusercontent.com/scl/fi/cn5hgzvkgjb7om41y17xz/96917af.jpg?rlkey=8it075s2ijexprl4g4lfmyeg4&amp;dl=0","Click to download Image")</f>
      </c>
      <c r="B1909" s="0">
        <f>HYPERLINK("https://dl.dropboxusercontent.com/scl/fi/d01ubb2e9izaufqts5od3/mens-d.jpg?rlkey=db8z63495kvrj575e9jmjldld&amp;dl=0","Click to download SizeChart")</f>
      </c>
      <c r="C1909" s="0" t="inlineStr">
        <is>
          <t>Ethan Men's Sweatshirt Jacket</t>
        </is>
      </c>
      <c r="D1909" s="0" t="inlineStr">
        <is>
          <t>'96917</t>
        </is>
      </c>
      <c r="E1909" s="0" t="inlineStr">
        <is>
          <t>ETHAN:96917D-XL</t>
        </is>
      </c>
      <c r="F1909" s="0" t="inlineStr">
        <is>
          <t>'000000000000</t>
        </is>
      </c>
      <c r="G1909" s="0" t="inlineStr">
        <is>
          <t>MENS</t>
        </is>
      </c>
      <c r="H1909" s="0" t="inlineStr">
        <is>
          <t>XL</t>
        </is>
      </c>
      <c r="I1909" s="0">
        <v>59.99</v>
      </c>
      <c r="J1909" s="0">
        <v>92</v>
      </c>
    </row>
    <row r="1910" spans="1:10" customHeight="0">
      <c r="A1910" s="0">
        <f>HYPERLINK("https://dl.dropboxusercontent.com/scl/fi/cn5hgzvkgjb7om41y17xz/96917af.jpg?rlkey=8it075s2ijexprl4g4lfmyeg4&amp;dl=0","Click to download Image")</f>
      </c>
      <c r="B1910" s="0">
        <f>HYPERLINK("https://dl.dropboxusercontent.com/scl/fi/d01ubb2e9izaufqts5od3/mens-d.jpg?rlkey=db8z63495kvrj575e9jmjldld&amp;dl=0","Click to download SizeChart")</f>
      </c>
      <c r="C1910" s="0" t="inlineStr">
        <is>
          <t>Ethan Men's Sweatshirt Jacket</t>
        </is>
      </c>
      <c r="D1910" s="0" t="inlineStr">
        <is>
          <t>'96917</t>
        </is>
      </c>
      <c r="E1910" s="0" t="inlineStr">
        <is>
          <t>ETHAN:96917E-2XL</t>
        </is>
      </c>
      <c r="F1910" s="0" t="inlineStr">
        <is>
          <t>'000000000000</t>
        </is>
      </c>
      <c r="G1910" s="0" t="inlineStr">
        <is>
          <t>MENS</t>
        </is>
      </c>
      <c r="H1910" s="0" t="inlineStr">
        <is>
          <t>2XL</t>
        </is>
      </c>
      <c r="I1910" s="0">
        <v>59.99</v>
      </c>
      <c r="J1910" s="0">
        <v>53</v>
      </c>
    </row>
    <row r="1911" spans="1:10" customHeight="0">
      <c r="A1911" s="0">
        <f>HYPERLINK("https://dl.dropboxusercontent.com/scl/fi/cn5hgzvkgjb7om41y17xz/96917af.jpg?rlkey=8it075s2ijexprl4g4lfmyeg4&amp;dl=0","Click to download Image")</f>
      </c>
      <c r="B1911" s="0">
        <f>HYPERLINK("https://dl.dropboxusercontent.com/scl/fi/d01ubb2e9izaufqts5od3/mens-d.jpg?rlkey=db8z63495kvrj575e9jmjldld&amp;dl=0","Click to download SizeChart")</f>
      </c>
      <c r="C1911" s="0" t="inlineStr">
        <is>
          <t>Ethan Men's Sweatshirt Jacket</t>
        </is>
      </c>
      <c r="D1911" s="0" t="inlineStr">
        <is>
          <t>'96917</t>
        </is>
      </c>
      <c r="E1911" s="0" t="inlineStr">
        <is>
          <t>ETHAN:96917F-3XL</t>
        </is>
      </c>
      <c r="F1911" s="0" t="inlineStr">
        <is>
          <t>'000000000000</t>
        </is>
      </c>
      <c r="G1911" s="0" t="inlineStr">
        <is>
          <t>MENS</t>
        </is>
      </c>
      <c r="H1911" s="0" t="inlineStr">
        <is>
          <t>3XL</t>
        </is>
      </c>
      <c r="I1911" s="0">
        <v>59.99</v>
      </c>
      <c r="J1911" s="0">
        <v>29</v>
      </c>
    </row>
    <row r="1912" spans="1:10" customHeight="0">
      <c r="A1912" s="0">
        <f>HYPERLINK("https://dl.dropboxusercontent.com/scl/fi/5y82anllhj7iwuyk12xy6/95982af.jpg?rlkey=7arllcy5qr8jn8l7u73mk9jk6&amp;dl=0","Click to download Image")</f>
      </c>
      <c r="B1912" s="0">
        <f>HYPERLINK("https://dl.dropboxusercontent.com/scl/fi/q3mnvqd690k5xmpoiwqj9/mens-d.jpg?rlkey=m1h6jstkzcll1reez2rm95rjh&amp;dl=0","Click to download SizeChart")</f>
      </c>
      <c r="C1912" s="0" t="inlineStr">
        <is>
          <t>Ben Men's Polar Fleece Jacket</t>
        </is>
      </c>
      <c r="D1912" s="0" t="inlineStr">
        <is>
          <t>'95982</t>
        </is>
      </c>
      <c r="E1912" s="0" t="inlineStr">
        <is>
          <t>BEN:95982A-S</t>
        </is>
      </c>
      <c r="F1912" s="0" t="inlineStr">
        <is>
          <t>'000000000000</t>
        </is>
      </c>
      <c r="G1912" s="0" t="inlineStr">
        <is>
          <t>MENS</t>
        </is>
      </c>
      <c r="H1912" s="0" t="inlineStr">
        <is>
          <t>S</t>
        </is>
      </c>
      <c r="I1912" s="0">
        <v>89.99</v>
      </c>
      <c r="J1912" s="0">
        <v>29</v>
      </c>
    </row>
    <row r="1913" spans="1:10" customHeight="0">
      <c r="A1913" s="0">
        <f>HYPERLINK("https://dl.dropboxusercontent.com/scl/fi/5y82anllhj7iwuyk12xy6/95982af.jpg?rlkey=7arllcy5qr8jn8l7u73mk9jk6&amp;dl=0","Click to download Image")</f>
      </c>
      <c r="B1913" s="0">
        <f>HYPERLINK("https://dl.dropboxusercontent.com/scl/fi/q3mnvqd690k5xmpoiwqj9/mens-d.jpg?rlkey=m1h6jstkzcll1reez2rm95rjh&amp;dl=0","Click to download SizeChart")</f>
      </c>
      <c r="C1913" s="0" t="inlineStr">
        <is>
          <t>Ben Men's Polar Fleece Jacket</t>
        </is>
      </c>
      <c r="D1913" s="0" t="inlineStr">
        <is>
          <t>'95982</t>
        </is>
      </c>
      <c r="E1913" s="0" t="inlineStr">
        <is>
          <t>BEN:95982B-M</t>
        </is>
      </c>
      <c r="F1913" s="0" t="inlineStr">
        <is>
          <t>'000000000000</t>
        </is>
      </c>
      <c r="G1913" s="0" t="inlineStr">
        <is>
          <t>MENS</t>
        </is>
      </c>
      <c r="H1913" s="0" t="inlineStr">
        <is>
          <t>M</t>
        </is>
      </c>
      <c r="I1913" s="0">
        <v>89.99</v>
      </c>
      <c r="J1913" s="0">
        <v>77</v>
      </c>
    </row>
    <row r="1914" spans="1:10" customHeight="0">
      <c r="A1914" s="0">
        <f>HYPERLINK("https://dl.dropboxusercontent.com/scl/fi/5y82anllhj7iwuyk12xy6/95982af.jpg?rlkey=7arllcy5qr8jn8l7u73mk9jk6&amp;dl=0","Click to download Image")</f>
      </c>
      <c r="B1914" s="0">
        <f>HYPERLINK("https://dl.dropboxusercontent.com/scl/fi/q3mnvqd690k5xmpoiwqj9/mens-d.jpg?rlkey=m1h6jstkzcll1reez2rm95rjh&amp;dl=0","Click to download SizeChart")</f>
      </c>
      <c r="C1914" s="0" t="inlineStr">
        <is>
          <t>Ben Men's Polar Fleece Jacket</t>
        </is>
      </c>
      <c r="D1914" s="0" t="inlineStr">
        <is>
          <t>'95982</t>
        </is>
      </c>
      <c r="E1914" s="0" t="inlineStr">
        <is>
          <t>BEN:95982C-L</t>
        </is>
      </c>
      <c r="F1914" s="0" t="inlineStr">
        <is>
          <t>'000000000000</t>
        </is>
      </c>
      <c r="G1914" s="0" t="inlineStr">
        <is>
          <t>MENS</t>
        </is>
      </c>
      <c r="H1914" s="0" t="inlineStr">
        <is>
          <t>L</t>
        </is>
      </c>
      <c r="I1914" s="0">
        <v>89.99</v>
      </c>
      <c r="J1914" s="0">
        <v>98</v>
      </c>
    </row>
    <row r="1915" spans="1:10" customHeight="0">
      <c r="A1915" s="0">
        <f>HYPERLINK("https://dl.dropboxusercontent.com/scl/fi/5y82anllhj7iwuyk12xy6/95982af.jpg?rlkey=7arllcy5qr8jn8l7u73mk9jk6&amp;dl=0","Click to download Image")</f>
      </c>
      <c r="B1915" s="0">
        <f>HYPERLINK("https://dl.dropboxusercontent.com/scl/fi/q3mnvqd690k5xmpoiwqj9/mens-d.jpg?rlkey=m1h6jstkzcll1reez2rm95rjh&amp;dl=0","Click to download SizeChart")</f>
      </c>
      <c r="C1915" s="0" t="inlineStr">
        <is>
          <t>Ben Men's Polar Fleece Jacket</t>
        </is>
      </c>
      <c r="D1915" s="0" t="inlineStr">
        <is>
          <t>'95982</t>
        </is>
      </c>
      <c r="E1915" s="0" t="inlineStr">
        <is>
          <t>BEN:95982D-XL</t>
        </is>
      </c>
      <c r="F1915" s="0" t="inlineStr">
        <is>
          <t>'000000000000</t>
        </is>
      </c>
      <c r="G1915" s="0" t="inlineStr">
        <is>
          <t>MENS</t>
        </is>
      </c>
      <c r="H1915" s="0" t="inlineStr">
        <is>
          <t>XL</t>
        </is>
      </c>
      <c r="I1915" s="0">
        <v>89.99</v>
      </c>
      <c r="J1915" s="0">
        <v>91</v>
      </c>
    </row>
    <row r="1916" spans="1:10" customHeight="0">
      <c r="A1916" s="0">
        <f>HYPERLINK("https://dl.dropboxusercontent.com/scl/fi/5y82anllhj7iwuyk12xy6/95982af.jpg?rlkey=7arllcy5qr8jn8l7u73mk9jk6&amp;dl=0","Click to download Image")</f>
      </c>
      <c r="B1916" s="0">
        <f>HYPERLINK("https://dl.dropboxusercontent.com/scl/fi/q3mnvqd690k5xmpoiwqj9/mens-d.jpg?rlkey=m1h6jstkzcll1reez2rm95rjh&amp;dl=0","Click to download SizeChart")</f>
      </c>
      <c r="C1916" s="0" t="inlineStr">
        <is>
          <t>Ben Men's Polar Fleece Jacket</t>
        </is>
      </c>
      <c r="D1916" s="0" t="inlineStr">
        <is>
          <t>'95982</t>
        </is>
      </c>
      <c r="E1916" s="0" t="inlineStr">
        <is>
          <t>BEN:95982E-2X</t>
        </is>
      </c>
      <c r="F1916" s="0" t="inlineStr">
        <is>
          <t>'000000000000</t>
        </is>
      </c>
      <c r="G1916" s="0" t="inlineStr">
        <is>
          <t>MENS</t>
        </is>
      </c>
      <c r="H1916" s="0" t="inlineStr">
        <is>
          <t>2XL</t>
        </is>
      </c>
      <c r="I1916" s="0">
        <v>89.99</v>
      </c>
      <c r="J1916" s="0">
        <v>52</v>
      </c>
    </row>
    <row r="1917" spans="1:10" customHeight="0">
      <c r="A1917" s="0">
        <f>HYPERLINK("https://dl.dropboxusercontent.com/scl/fi/5y82anllhj7iwuyk12xy6/95982af.jpg?rlkey=7arllcy5qr8jn8l7u73mk9jk6&amp;dl=0","Click to download Image")</f>
      </c>
      <c r="B1917" s="0">
        <f>HYPERLINK("https://dl.dropboxusercontent.com/scl/fi/q3mnvqd690k5xmpoiwqj9/mens-d.jpg?rlkey=m1h6jstkzcll1reez2rm95rjh&amp;dl=0","Click to download SizeChart")</f>
      </c>
      <c r="C1917" s="0" t="inlineStr">
        <is>
          <t>Ben Men's Polar Fleece Jacket</t>
        </is>
      </c>
      <c r="D1917" s="0" t="inlineStr">
        <is>
          <t>'95982</t>
        </is>
      </c>
      <c r="E1917" s="0" t="inlineStr">
        <is>
          <t>BEN:95982F-3X</t>
        </is>
      </c>
      <c r="F1917" s="0" t="inlineStr">
        <is>
          <t>'000000000000</t>
        </is>
      </c>
      <c r="G1917" s="0" t="inlineStr">
        <is>
          <t>MENS</t>
        </is>
      </c>
      <c r="H1917" s="0" t="inlineStr">
        <is>
          <t>3XL</t>
        </is>
      </c>
      <c r="I1917" s="0">
        <v>89.99</v>
      </c>
      <c r="J1917" s="0">
        <v>23</v>
      </c>
    </row>
    <row r="1918" spans="1:10" customHeight="0">
      <c r="A1918" s="0">
        <f>HYPERLINK("https://dl.dropboxusercontent.com/scl/fi/9qya3rp27cdwk7qycfglx/101429-f.jpg?rlkey=wewn5km9po63rhkl3rumhk0nk&amp;dl=0","Click to download Image")</f>
      </c>
      <c r="C1918" s="0" t="inlineStr">
        <is>
          <t>Nixon Men's Performance Polo</t>
        </is>
      </c>
      <c r="D1918" s="0" t="inlineStr">
        <is>
          <t>'101429</t>
        </is>
      </c>
      <c r="E1918" s="0" t="inlineStr">
        <is>
          <t>NIXON:101429A-S</t>
        </is>
      </c>
      <c r="F1918" s="0" t="inlineStr">
        <is>
          <t>'000000000000</t>
        </is>
      </c>
      <c r="G1918" s="0" t="inlineStr">
        <is>
          <t>MENS</t>
        </is>
      </c>
      <c r="H1918" s="0" t="inlineStr">
        <is>
          <t>S</t>
        </is>
      </c>
      <c r="I1918" s="0">
        <v>44.99</v>
      </c>
      <c r="J1918" s="0">
        <v>65</v>
      </c>
    </row>
    <row r="1919" spans="1:10" customHeight="0">
      <c r="A1919" s="0">
        <f>HYPERLINK("https://dl.dropboxusercontent.com/scl/fi/9qya3rp27cdwk7qycfglx/101429-f.jpg?rlkey=wewn5km9po63rhkl3rumhk0nk&amp;dl=0","Click to download Image")</f>
      </c>
      <c r="C1919" s="0" t="inlineStr">
        <is>
          <t>Nixon Men's Performance Polo</t>
        </is>
      </c>
      <c r="D1919" s="0" t="inlineStr">
        <is>
          <t>'101429</t>
        </is>
      </c>
      <c r="E1919" s="0" t="inlineStr">
        <is>
          <t>NIXON:101429B-M</t>
        </is>
      </c>
      <c r="F1919" s="0" t="inlineStr">
        <is>
          <t>'000000000000</t>
        </is>
      </c>
      <c r="G1919" s="0" t="inlineStr">
        <is>
          <t>MENS</t>
        </is>
      </c>
      <c r="H1919" s="0" t="inlineStr">
        <is>
          <t>M</t>
        </is>
      </c>
      <c r="I1919" s="0">
        <v>44.99</v>
      </c>
      <c r="J1919" s="0">
        <v>79</v>
      </c>
    </row>
    <row r="1920" spans="1:10" customHeight="0">
      <c r="A1920" s="0">
        <f>HYPERLINK("https://dl.dropboxusercontent.com/scl/fi/9qya3rp27cdwk7qycfglx/101429-f.jpg?rlkey=wewn5km9po63rhkl3rumhk0nk&amp;dl=0","Click to download Image")</f>
      </c>
      <c r="C1920" s="0" t="inlineStr">
        <is>
          <t>Nixon Men's Performance Polo</t>
        </is>
      </c>
      <c r="D1920" s="0" t="inlineStr">
        <is>
          <t>'101429</t>
        </is>
      </c>
      <c r="E1920" s="0" t="inlineStr">
        <is>
          <t>NIXON:101429C-L</t>
        </is>
      </c>
      <c r="F1920" s="0" t="inlineStr">
        <is>
          <t>'000000000000</t>
        </is>
      </c>
      <c r="G1920" s="0" t="inlineStr">
        <is>
          <t>MENS</t>
        </is>
      </c>
      <c r="H1920" s="0" t="inlineStr">
        <is>
          <t>L</t>
        </is>
      </c>
      <c r="I1920" s="0">
        <v>44.99</v>
      </c>
      <c r="J1920" s="0">
        <v>75</v>
      </c>
    </row>
    <row r="1921" spans="1:10" customHeight="0">
      <c r="A1921" s="0">
        <f>HYPERLINK("https://dl.dropboxusercontent.com/scl/fi/9qya3rp27cdwk7qycfglx/101429-f.jpg?rlkey=wewn5km9po63rhkl3rumhk0nk&amp;dl=0","Click to download Image")</f>
      </c>
      <c r="C1921" s="0" t="inlineStr">
        <is>
          <t>Nixon Men's Performance Polo</t>
        </is>
      </c>
      <c r="D1921" s="0" t="inlineStr">
        <is>
          <t>'101429</t>
        </is>
      </c>
      <c r="E1921" s="0" t="inlineStr">
        <is>
          <t>NIXON:101429D-XL</t>
        </is>
      </c>
      <c r="F1921" s="0" t="inlineStr">
        <is>
          <t>'000000000000</t>
        </is>
      </c>
      <c r="G1921" s="0" t="inlineStr">
        <is>
          <t>MENS</t>
        </is>
      </c>
      <c r="H1921" s="0" t="inlineStr">
        <is>
          <t>XL</t>
        </is>
      </c>
      <c r="I1921" s="0">
        <v>44.99</v>
      </c>
      <c r="J1921" s="0">
        <v>77</v>
      </c>
    </row>
    <row r="1922" spans="1:10" customHeight="0">
      <c r="A1922" s="0">
        <f>HYPERLINK("https://dl.dropboxusercontent.com/scl/fi/9qya3rp27cdwk7qycfglx/101429-f.jpg?rlkey=wewn5km9po63rhkl3rumhk0nk&amp;dl=0","Click to download Image")</f>
      </c>
      <c r="C1922" s="0" t="inlineStr">
        <is>
          <t>Nixon Men's Performance Polo</t>
        </is>
      </c>
      <c r="D1922" s="0" t="inlineStr">
        <is>
          <t>'101429</t>
        </is>
      </c>
      <c r="E1922" s="0" t="inlineStr">
        <is>
          <t>NIXON:101429E-2XL</t>
        </is>
      </c>
      <c r="F1922" s="0" t="inlineStr">
        <is>
          <t>'000000000000</t>
        </is>
      </c>
      <c r="G1922" s="0" t="inlineStr">
        <is>
          <t>MENS</t>
        </is>
      </c>
      <c r="H1922" s="0" t="inlineStr">
        <is>
          <t>2XL</t>
        </is>
      </c>
      <c r="I1922" s="0">
        <v>44.99</v>
      </c>
      <c r="J1922" s="0">
        <v>54</v>
      </c>
    </row>
    <row r="1923" spans="1:10" customHeight="0">
      <c r="A1923" s="0">
        <f>HYPERLINK("https://dl.dropboxusercontent.com/scl/fi/9qya3rp27cdwk7qycfglx/101429-f.jpg?rlkey=wewn5km9po63rhkl3rumhk0nk&amp;dl=0","Click to download Image")</f>
      </c>
      <c r="C1923" s="0" t="inlineStr">
        <is>
          <t>Nixon Men's Performance Polo</t>
        </is>
      </c>
      <c r="D1923" s="0" t="inlineStr">
        <is>
          <t>'101429</t>
        </is>
      </c>
      <c r="E1923" s="0" t="inlineStr">
        <is>
          <t>NIXON:101429F-3XL</t>
        </is>
      </c>
      <c r="F1923" s="0" t="inlineStr">
        <is>
          <t>'000000000000</t>
        </is>
      </c>
      <c r="G1923" s="0" t="inlineStr">
        <is>
          <t>MENS</t>
        </is>
      </c>
      <c r="H1923" s="0" t="inlineStr">
        <is>
          <t>3XL</t>
        </is>
      </c>
      <c r="I1923" s="0">
        <v>44.99</v>
      </c>
      <c r="J1923" s="0">
        <v>22</v>
      </c>
    </row>
    <row r="1924" spans="1:10" customHeight="0">
      <c r="A1924" s="0">
        <f>HYPERLINK("https://dl.dropboxusercontent.com/scl/fi/sw7hswb3m2kdotraxan81/112992-af.jpg?rlkey=4fgat34kfa9zbqt2sicjvh7bx&amp;dl=0","Click to download Image")</f>
      </c>
      <c r="B1924" s="0">
        <f>HYPERLINK("https://dl.dropboxusercontent.com/scl/fi/f7v0fkuouipuobnch6j2l/mens-pullover-size-chartssilas.jpg?rlkey=08tg7uymfgtsw5nre839tyoov&amp;dl=0","Click to download SizeChart")</f>
      </c>
      <c r="C1924" s="0" t="inlineStr">
        <is>
          <t>Silas Men's Lightweight 1/4 Pullover</t>
        </is>
      </c>
      <c r="D1924" s="0" t="inlineStr">
        <is>
          <t>'112992</t>
        </is>
      </c>
      <c r="E1924" s="0" t="inlineStr">
        <is>
          <t>ISU SILAS M CARDINAL:112992A-S</t>
        </is>
      </c>
      <c r="F1924" s="0" t="inlineStr">
        <is>
          <t>'801112992043</t>
        </is>
      </c>
      <c r="G1924" s="0" t="inlineStr">
        <is>
          <t>MENS</t>
        </is>
      </c>
      <c r="H1924" s="0" t="inlineStr">
        <is>
          <t>S</t>
        </is>
      </c>
      <c r="I1924" s="0">
        <v>39.99</v>
      </c>
      <c r="J1924" s="0">
        <v>7</v>
      </c>
    </row>
    <row r="1925" spans="1:10" customHeight="0">
      <c r="A1925" s="0">
        <f>HYPERLINK("https://dl.dropboxusercontent.com/scl/fi/sw7hswb3m2kdotraxan81/112992-af.jpg?rlkey=4fgat34kfa9zbqt2sicjvh7bx&amp;dl=0","Click to download Image")</f>
      </c>
      <c r="B1925" s="0">
        <f>HYPERLINK("https://dl.dropboxusercontent.com/scl/fi/f7v0fkuouipuobnch6j2l/mens-pullover-size-chartssilas.jpg?rlkey=08tg7uymfgtsw5nre839tyoov&amp;dl=0","Click to download SizeChart")</f>
      </c>
      <c r="C1925" s="0" t="inlineStr">
        <is>
          <t>Silas Men's Lightweight 1/4 Pullover</t>
        </is>
      </c>
      <c r="D1925" s="0" t="inlineStr">
        <is>
          <t>'112992</t>
        </is>
      </c>
      <c r="E1925" s="0" t="inlineStr">
        <is>
          <t>ISU SILAS M CARDINAL:112992B-M</t>
        </is>
      </c>
      <c r="F1925" s="0" t="inlineStr">
        <is>
          <t>'801112992050</t>
        </is>
      </c>
      <c r="G1925" s="0" t="inlineStr">
        <is>
          <t>MENS</t>
        </is>
      </c>
      <c r="H1925" s="0" t="inlineStr">
        <is>
          <t>M</t>
        </is>
      </c>
      <c r="I1925" s="0">
        <v>39.99</v>
      </c>
      <c r="J1925" s="0">
        <v>6</v>
      </c>
    </row>
    <row r="1926" spans="1:10" customHeight="0">
      <c r="A1926" s="0">
        <f>HYPERLINK("https://dl.dropboxusercontent.com/scl/fi/sw7hswb3m2kdotraxan81/112992-af.jpg?rlkey=4fgat34kfa9zbqt2sicjvh7bx&amp;dl=0","Click to download Image")</f>
      </c>
      <c r="B1926" s="0">
        <f>HYPERLINK("https://dl.dropboxusercontent.com/scl/fi/f7v0fkuouipuobnch6j2l/mens-pullover-size-chartssilas.jpg?rlkey=08tg7uymfgtsw5nre839tyoov&amp;dl=0","Click to download SizeChart")</f>
      </c>
      <c r="C1926" s="0" t="inlineStr">
        <is>
          <t>Silas Men's Lightweight 1/4 Pullover</t>
        </is>
      </c>
      <c r="D1926" s="0" t="inlineStr">
        <is>
          <t>'112992</t>
        </is>
      </c>
      <c r="E1926" s="0" t="inlineStr">
        <is>
          <t>ISU SILAS M CARDINAL:112992C-L</t>
        </is>
      </c>
      <c r="F1926" s="0" t="inlineStr">
        <is>
          <t>'801112992067</t>
        </is>
      </c>
      <c r="G1926" s="0" t="inlineStr">
        <is>
          <t>MENS</t>
        </is>
      </c>
      <c r="H1926" s="0" t="inlineStr">
        <is>
          <t>L</t>
        </is>
      </c>
      <c r="I1926" s="0">
        <v>39.99</v>
      </c>
      <c r="J1926" s="0">
        <v>0</v>
      </c>
    </row>
    <row r="1927" spans="1:10" customHeight="0">
      <c r="A1927" s="0">
        <f>HYPERLINK("https://dl.dropboxusercontent.com/scl/fi/sw7hswb3m2kdotraxan81/112992-af.jpg?rlkey=4fgat34kfa9zbqt2sicjvh7bx&amp;dl=0","Click to download Image")</f>
      </c>
      <c r="B1927" s="0">
        <f>HYPERLINK("https://dl.dropboxusercontent.com/scl/fi/f7v0fkuouipuobnch6j2l/mens-pullover-size-chartssilas.jpg?rlkey=08tg7uymfgtsw5nre839tyoov&amp;dl=0","Click to download SizeChart")</f>
      </c>
      <c r="C1927" s="0" t="inlineStr">
        <is>
          <t>Silas Men's Lightweight 1/4 Pullover</t>
        </is>
      </c>
      <c r="D1927" s="0" t="inlineStr">
        <is>
          <t>'112992</t>
        </is>
      </c>
      <c r="E1927" s="0" t="inlineStr">
        <is>
          <t>ISU SILAS M CARDINAL:112992D-XL</t>
        </is>
      </c>
      <c r="F1927" s="0" t="inlineStr">
        <is>
          <t>'801112992074</t>
        </is>
      </c>
      <c r="G1927" s="0" t="inlineStr">
        <is>
          <t>MENS</t>
        </is>
      </c>
      <c r="H1927" s="0" t="inlineStr">
        <is>
          <t>XL</t>
        </is>
      </c>
      <c r="I1927" s="0">
        <v>39.99</v>
      </c>
      <c r="J1927" s="0">
        <v>0</v>
      </c>
    </row>
    <row r="1928" spans="1:10" customHeight="0">
      <c r="A1928" s="0">
        <f>HYPERLINK("https://dl.dropboxusercontent.com/scl/fi/sw7hswb3m2kdotraxan81/112992-af.jpg?rlkey=4fgat34kfa9zbqt2sicjvh7bx&amp;dl=0","Click to download Image")</f>
      </c>
      <c r="B1928" s="0">
        <f>HYPERLINK("https://dl.dropboxusercontent.com/scl/fi/f7v0fkuouipuobnch6j2l/mens-pullover-size-chartssilas.jpg?rlkey=08tg7uymfgtsw5nre839tyoov&amp;dl=0","Click to download SizeChart")</f>
      </c>
      <c r="C1928" s="0" t="inlineStr">
        <is>
          <t>Silas Men's Lightweight 1/4 Pullover</t>
        </is>
      </c>
      <c r="D1928" s="0" t="inlineStr">
        <is>
          <t>'112992</t>
        </is>
      </c>
      <c r="E1928" s="0" t="inlineStr">
        <is>
          <t>ISU SILAS M CARDINAL:112992E-2XL</t>
        </is>
      </c>
      <c r="F1928" s="0" t="inlineStr">
        <is>
          <t>'801112992081</t>
        </is>
      </c>
      <c r="G1928" s="0" t="inlineStr">
        <is>
          <t>MENS</t>
        </is>
      </c>
      <c r="H1928" s="0" t="inlineStr">
        <is>
          <t>2XL</t>
        </is>
      </c>
      <c r="I1928" s="0">
        <v>41.99</v>
      </c>
      <c r="J1928" s="0">
        <v>0</v>
      </c>
    </row>
    <row r="1929" spans="1:10" customHeight="0">
      <c r="A1929" s="0">
        <f>HYPERLINK("https://dl.dropboxusercontent.com/scl/fi/sw7hswb3m2kdotraxan81/112992-af.jpg?rlkey=4fgat34kfa9zbqt2sicjvh7bx&amp;dl=0","Click to download Image")</f>
      </c>
      <c r="B1929" s="0">
        <f>HYPERLINK("https://dl.dropboxusercontent.com/scl/fi/f7v0fkuouipuobnch6j2l/mens-pullover-size-chartssilas.jpg?rlkey=08tg7uymfgtsw5nre839tyoov&amp;dl=0","Click to download SizeChart")</f>
      </c>
      <c r="C1929" s="0" t="inlineStr">
        <is>
          <t>Silas Men's Lightweight 1/4 Pullover</t>
        </is>
      </c>
      <c r="D1929" s="0" t="inlineStr">
        <is>
          <t>'112992</t>
        </is>
      </c>
      <c r="E1929" s="0" t="inlineStr">
        <is>
          <t>ISU SILAS M CARDINAL:112992F-3XL</t>
        </is>
      </c>
      <c r="F1929" s="0" t="inlineStr">
        <is>
          <t>'801112992098</t>
        </is>
      </c>
      <c r="G1929" s="0" t="inlineStr">
        <is>
          <t>MENS</t>
        </is>
      </c>
      <c r="H1929" s="0" t="inlineStr">
        <is>
          <t>3XL</t>
        </is>
      </c>
      <c r="I1929" s="0">
        <v>41.99</v>
      </c>
      <c r="J1929" s="0">
        <v>5</v>
      </c>
    </row>
    <row r="1930" spans="1:10" customHeight="0">
      <c r="A1930" s="0">
        <f>HYPERLINK("https://dl.dropboxusercontent.com/scl/fi/sw7hswb3m2kdotraxan81/112992-af.jpg?rlkey=4fgat34kfa9zbqt2sicjvh7bx&amp;dl=0","Click to download Image")</f>
      </c>
      <c r="B1930" s="0">
        <f>HYPERLINK("https://dl.dropboxusercontent.com/scl/fi/f7v0fkuouipuobnch6j2l/mens-pullover-size-chartssilas.jpg?rlkey=08tg7uymfgtsw5nre839tyoov&amp;dl=0","Click to download SizeChart")</f>
      </c>
      <c r="C1930" s="0" t="inlineStr">
        <is>
          <t>Silas Men's Lightweight 1/4 Pullover</t>
        </is>
      </c>
      <c r="D1930" s="0" t="inlineStr">
        <is>
          <t>'112992</t>
        </is>
      </c>
      <c r="E1930" s="0" t="inlineStr">
        <is>
          <t>ISU SILAS M CARDINAL 12 PACK:112992Z-12PK</t>
        </is>
      </c>
      <c r="F1930" s="0" t="inlineStr">
        <is>
          <t>'801112992999</t>
        </is>
      </c>
      <c r="G1930" s="0" t="inlineStr">
        <is>
          <t>MENS</t>
        </is>
      </c>
      <c r="H1930" s="0" t="inlineStr">
        <is>
          <t>12 PACK</t>
        </is>
      </c>
      <c r="I1930" s="0">
        <v>390</v>
      </c>
      <c r="J1930" s="0">
        <v>0</v>
      </c>
    </row>
    <row r="1931" spans="1:10" customHeight="0">
      <c r="A1931" s="0">
        <f>HYPERLINK("https://dl.dropboxusercontent.com/scl/fi/b43fdkfw8m31zjhc6843g/112991-af.jpg?rlkey=7s13scfygm3nlk3j403nq6d4e&amp;dl=0","Click to download Image")</f>
      </c>
      <c r="B1931" s="0">
        <f>HYPERLINK("https://dl.dropboxusercontent.com/scl/fi/f7v0fkuouipuobnch6j2l/mens-pullover-size-chartssilas.jpg?rlkey=08tg7uymfgtsw5nre839tyoov&amp;dl=0","Click to download SizeChart")</f>
      </c>
      <c r="C1931" s="0" t="inlineStr">
        <is>
          <t>Silas Men's Lightweight 1/4 Pullover</t>
        </is>
      </c>
      <c r="D1931" s="0" t="inlineStr">
        <is>
          <t>'112991</t>
        </is>
      </c>
      <c r="E1931" s="0" t="inlineStr">
        <is>
          <t>IOWA SILAS M BLACK:112991A-S</t>
        </is>
      </c>
      <c r="F1931" s="0" t="inlineStr">
        <is>
          <t>'800112991049</t>
        </is>
      </c>
      <c r="G1931" s="0" t="inlineStr">
        <is>
          <t>MENS</t>
        </is>
      </c>
      <c r="H1931" s="0" t="inlineStr">
        <is>
          <t>S</t>
        </is>
      </c>
      <c r="I1931" s="0">
        <v>39.99</v>
      </c>
      <c r="J1931" s="0">
        <v>7</v>
      </c>
    </row>
    <row r="1932" spans="1:10" customHeight="0">
      <c r="A1932" s="0">
        <f>HYPERLINK("https://dl.dropboxusercontent.com/scl/fi/b43fdkfw8m31zjhc6843g/112991-af.jpg?rlkey=7s13scfygm3nlk3j403nq6d4e&amp;dl=0","Click to download Image")</f>
      </c>
      <c r="B1932" s="0">
        <f>HYPERLINK("https://dl.dropboxusercontent.com/scl/fi/f7v0fkuouipuobnch6j2l/mens-pullover-size-chartssilas.jpg?rlkey=08tg7uymfgtsw5nre839tyoov&amp;dl=0","Click to download SizeChart")</f>
      </c>
      <c r="C1932" s="0" t="inlineStr">
        <is>
          <t>Silas Men's Lightweight 1/4 Pullover</t>
        </is>
      </c>
      <c r="D1932" s="0" t="inlineStr">
        <is>
          <t>'112991</t>
        </is>
      </c>
      <c r="E1932" s="0" t="inlineStr">
        <is>
          <t>IOWA SILAS M BLACK:112991B-M</t>
        </is>
      </c>
      <c r="F1932" s="0" t="inlineStr">
        <is>
          <t>'800112991056</t>
        </is>
      </c>
      <c r="G1932" s="0" t="inlineStr">
        <is>
          <t>MENS</t>
        </is>
      </c>
      <c r="H1932" s="0" t="inlineStr">
        <is>
          <t>M</t>
        </is>
      </c>
      <c r="I1932" s="0">
        <v>39.99</v>
      </c>
      <c r="J1932" s="0">
        <v>5</v>
      </c>
    </row>
    <row r="1933" spans="1:10" customHeight="0">
      <c r="A1933" s="0">
        <f>HYPERLINK("https://dl.dropboxusercontent.com/scl/fi/b43fdkfw8m31zjhc6843g/112991-af.jpg?rlkey=7s13scfygm3nlk3j403nq6d4e&amp;dl=0","Click to download Image")</f>
      </c>
      <c r="B1933" s="0">
        <f>HYPERLINK("https://dl.dropboxusercontent.com/scl/fi/f7v0fkuouipuobnch6j2l/mens-pullover-size-chartssilas.jpg?rlkey=08tg7uymfgtsw5nre839tyoov&amp;dl=0","Click to download SizeChart")</f>
      </c>
      <c r="C1933" s="0" t="inlineStr">
        <is>
          <t>Silas Men's Lightweight 1/4 Pullover</t>
        </is>
      </c>
      <c r="D1933" s="0" t="inlineStr">
        <is>
          <t>'112991</t>
        </is>
      </c>
      <c r="E1933" s="0" t="inlineStr">
        <is>
          <t>IOWA SILAS M BLACK:112991C-L</t>
        </is>
      </c>
      <c r="F1933" s="0" t="inlineStr">
        <is>
          <t>'800112991063</t>
        </is>
      </c>
      <c r="G1933" s="0" t="inlineStr">
        <is>
          <t>MENS</t>
        </is>
      </c>
      <c r="H1933" s="0" t="inlineStr">
        <is>
          <t>L</t>
        </is>
      </c>
      <c r="I1933" s="0">
        <v>39.99</v>
      </c>
      <c r="J1933" s="0">
        <v>0</v>
      </c>
    </row>
    <row r="1934" spans="1:10" customHeight="0">
      <c r="A1934" s="0">
        <f>HYPERLINK("https://dl.dropboxusercontent.com/scl/fi/b43fdkfw8m31zjhc6843g/112991-af.jpg?rlkey=7s13scfygm3nlk3j403nq6d4e&amp;dl=0","Click to download Image")</f>
      </c>
      <c r="B1934" s="0">
        <f>HYPERLINK("https://dl.dropboxusercontent.com/scl/fi/f7v0fkuouipuobnch6j2l/mens-pullover-size-chartssilas.jpg?rlkey=08tg7uymfgtsw5nre839tyoov&amp;dl=0","Click to download SizeChart")</f>
      </c>
      <c r="C1934" s="0" t="inlineStr">
        <is>
          <t>Silas Men's Lightweight 1/4 Pullover</t>
        </is>
      </c>
      <c r="D1934" s="0" t="inlineStr">
        <is>
          <t>'112991</t>
        </is>
      </c>
      <c r="E1934" s="0" t="inlineStr">
        <is>
          <t>IOWA SILAS M BLACK:112991D-XL</t>
        </is>
      </c>
      <c r="F1934" s="0" t="inlineStr">
        <is>
          <t>'800112991070</t>
        </is>
      </c>
      <c r="G1934" s="0" t="inlineStr">
        <is>
          <t>MENS</t>
        </is>
      </c>
      <c r="H1934" s="0" t="inlineStr">
        <is>
          <t>XL</t>
        </is>
      </c>
      <c r="I1934" s="0">
        <v>39.99</v>
      </c>
      <c r="J1934" s="0">
        <v>0</v>
      </c>
    </row>
    <row r="1935" spans="1:10" customHeight="0">
      <c r="A1935" s="0">
        <f>HYPERLINK("https://dl.dropboxusercontent.com/scl/fi/b43fdkfw8m31zjhc6843g/112991-af.jpg?rlkey=7s13scfygm3nlk3j403nq6d4e&amp;dl=0","Click to download Image")</f>
      </c>
      <c r="B1935" s="0">
        <f>HYPERLINK("https://dl.dropboxusercontent.com/scl/fi/f7v0fkuouipuobnch6j2l/mens-pullover-size-chartssilas.jpg?rlkey=08tg7uymfgtsw5nre839tyoov&amp;dl=0","Click to download SizeChart")</f>
      </c>
      <c r="C1935" s="0" t="inlineStr">
        <is>
          <t>Silas Men's Lightweight 1/4 Pullover</t>
        </is>
      </c>
      <c r="D1935" s="0" t="inlineStr">
        <is>
          <t>'112991</t>
        </is>
      </c>
      <c r="E1935" s="0" t="inlineStr">
        <is>
          <t>IOWA SILAS M BLACK:112991E-2XL</t>
        </is>
      </c>
      <c r="F1935" s="0" t="inlineStr">
        <is>
          <t>'800112991087</t>
        </is>
      </c>
      <c r="G1935" s="0" t="inlineStr">
        <is>
          <t>MENS</t>
        </is>
      </c>
      <c r="H1935" s="0" t="inlineStr">
        <is>
          <t>2XL</t>
        </is>
      </c>
      <c r="I1935" s="0">
        <v>41.99</v>
      </c>
      <c r="J1935" s="0">
        <v>0</v>
      </c>
    </row>
    <row r="1936" spans="1:10" customHeight="0">
      <c r="A1936" s="0">
        <f>HYPERLINK("https://dl.dropboxusercontent.com/scl/fi/b43fdkfw8m31zjhc6843g/112991-af.jpg?rlkey=7s13scfygm3nlk3j403nq6d4e&amp;dl=0","Click to download Image")</f>
      </c>
      <c r="B1936" s="0">
        <f>HYPERLINK("https://dl.dropboxusercontent.com/scl/fi/f7v0fkuouipuobnch6j2l/mens-pullover-size-chartssilas.jpg?rlkey=08tg7uymfgtsw5nre839tyoov&amp;dl=0","Click to download SizeChart")</f>
      </c>
      <c r="C1936" s="0" t="inlineStr">
        <is>
          <t>Silas Men's Lightweight 1/4 Pullover</t>
        </is>
      </c>
      <c r="D1936" s="0" t="inlineStr">
        <is>
          <t>'112991</t>
        </is>
      </c>
      <c r="E1936" s="0" t="inlineStr">
        <is>
          <t>IOWA SILAS M BLACK:112991F-3XL</t>
        </is>
      </c>
      <c r="F1936" s="0" t="inlineStr">
        <is>
          <t>'800112991094</t>
        </is>
      </c>
      <c r="G1936" s="0" t="inlineStr">
        <is>
          <t>MENS</t>
        </is>
      </c>
      <c r="H1936" s="0" t="inlineStr">
        <is>
          <t>3XL</t>
        </is>
      </c>
      <c r="I1936" s="0">
        <v>41.99</v>
      </c>
      <c r="J1936" s="0">
        <v>0</v>
      </c>
    </row>
    <row r="1937" spans="1:10" customHeight="0">
      <c r="A1937" s="0">
        <f>HYPERLINK("https://dl.dropboxusercontent.com/scl/fi/b43fdkfw8m31zjhc6843g/112991-af.jpg?rlkey=7s13scfygm3nlk3j403nq6d4e&amp;dl=0","Click to download Image")</f>
      </c>
      <c r="B1937" s="0">
        <f>HYPERLINK("https://dl.dropboxusercontent.com/scl/fi/f7v0fkuouipuobnch6j2l/mens-pullover-size-chartssilas.jpg?rlkey=08tg7uymfgtsw5nre839tyoov&amp;dl=0","Click to download SizeChart")</f>
      </c>
      <c r="C1937" s="0" t="inlineStr">
        <is>
          <t>Silas Men's Lightweight 1/4 Pullover</t>
        </is>
      </c>
      <c r="D1937" s="0" t="inlineStr">
        <is>
          <t>'112991</t>
        </is>
      </c>
      <c r="E1937" s="0" t="inlineStr">
        <is>
          <t>IOWA SILAS M BLACK 12 PACK:112991Z-12PK</t>
        </is>
      </c>
      <c r="F1937" s="0" t="inlineStr">
        <is>
          <t>'800112991995</t>
        </is>
      </c>
      <c r="G1937" s="0" t="inlineStr">
        <is>
          <t>MENS</t>
        </is>
      </c>
      <c r="H1937" s="0" t="inlineStr">
        <is>
          <t>12 PACK</t>
        </is>
      </c>
      <c r="I1937" s="0">
        <v>390</v>
      </c>
      <c r="J1937" s="0">
        <v>0</v>
      </c>
    </row>
    <row r="1938" spans="1:10" customHeight="0">
      <c r="A1938" s="0">
        <f>HYPERLINK("https://dl.dropboxusercontent.com/scl/fi/w8y59z0wq1vd84eb7o90m/114427-af.jpg?rlkey=tif1szscqcu2hjh8cj21s8f3j&amp;dl=0","Click to download Image")</f>
      </c>
      <c r="B1938" s="0">
        <f>HYPERLINK("https://dl.dropboxusercontent.com/scl/fi/f7v0fkuouipuobnch6j2l/mens-pullover-size-chartssilas.jpg?rlkey=08tg7uymfgtsw5nre839tyoov&amp;dl=0","Click to download SizeChart")</f>
      </c>
      <c r="C1938" s="0" t="inlineStr">
        <is>
          <t>Silas Men's Lightweight 1/4 Pullover</t>
        </is>
      </c>
      <c r="D1938" s="0" t="inlineStr">
        <is>
          <t>'114427</t>
        </is>
      </c>
      <c r="E1938" s="0" t="inlineStr">
        <is>
          <t>PURDUE SILAS M BLACK:114427A-S</t>
        </is>
      </c>
      <c r="F1938" s="0" t="inlineStr">
        <is>
          <t>'804114427049</t>
        </is>
      </c>
      <c r="G1938" s="0" t="inlineStr">
        <is>
          <t>MENS</t>
        </is>
      </c>
      <c r="H1938" s="0" t="inlineStr">
        <is>
          <t>S</t>
        </is>
      </c>
      <c r="I1938" s="0">
        <v>39.99</v>
      </c>
      <c r="J1938" s="0">
        <v>2</v>
      </c>
    </row>
    <row r="1939" spans="1:10" customHeight="0">
      <c r="A1939" s="0">
        <f>HYPERLINK("https://dl.dropboxusercontent.com/scl/fi/w8y59z0wq1vd84eb7o90m/114427-af.jpg?rlkey=tif1szscqcu2hjh8cj21s8f3j&amp;dl=0","Click to download Image")</f>
      </c>
      <c r="B1939" s="0">
        <f>HYPERLINK("https://dl.dropboxusercontent.com/scl/fi/f7v0fkuouipuobnch6j2l/mens-pullover-size-chartssilas.jpg?rlkey=08tg7uymfgtsw5nre839tyoov&amp;dl=0","Click to download SizeChart")</f>
      </c>
      <c r="C1939" s="0" t="inlineStr">
        <is>
          <t>Silas Men's Lightweight 1/4 Pullover</t>
        </is>
      </c>
      <c r="D1939" s="0" t="inlineStr">
        <is>
          <t>'114427</t>
        </is>
      </c>
      <c r="E1939" s="0" t="inlineStr">
        <is>
          <t>PURDUE SILAS M BLACK:114427B-M</t>
        </is>
      </c>
      <c r="F1939" s="0" t="inlineStr">
        <is>
          <t>'804114427056</t>
        </is>
      </c>
      <c r="G1939" s="0" t="inlineStr">
        <is>
          <t>MENS</t>
        </is>
      </c>
      <c r="H1939" s="0" t="inlineStr">
        <is>
          <t>M</t>
        </is>
      </c>
      <c r="I1939" s="0">
        <v>39.99</v>
      </c>
      <c r="J1939" s="0">
        <v>3</v>
      </c>
    </row>
    <row r="1940" spans="1:10" customHeight="0">
      <c r="A1940" s="0">
        <f>HYPERLINK("https://dl.dropboxusercontent.com/scl/fi/w8y59z0wq1vd84eb7o90m/114427-af.jpg?rlkey=tif1szscqcu2hjh8cj21s8f3j&amp;dl=0","Click to download Image")</f>
      </c>
      <c r="B1940" s="0">
        <f>HYPERLINK("https://dl.dropboxusercontent.com/scl/fi/f7v0fkuouipuobnch6j2l/mens-pullover-size-chartssilas.jpg?rlkey=08tg7uymfgtsw5nre839tyoov&amp;dl=0","Click to download SizeChart")</f>
      </c>
      <c r="C1940" s="0" t="inlineStr">
        <is>
          <t>Silas Men's Lightweight 1/4 Pullover</t>
        </is>
      </c>
      <c r="D1940" s="0" t="inlineStr">
        <is>
          <t>'114427</t>
        </is>
      </c>
      <c r="E1940" s="0" t="inlineStr">
        <is>
          <t>PURDUE SILAS M BLACK:114427C-L</t>
        </is>
      </c>
      <c r="F1940" s="0" t="inlineStr">
        <is>
          <t>'804114427063</t>
        </is>
      </c>
      <c r="G1940" s="0" t="inlineStr">
        <is>
          <t>MENS</t>
        </is>
      </c>
      <c r="H1940" s="0" t="inlineStr">
        <is>
          <t>L</t>
        </is>
      </c>
      <c r="I1940" s="0">
        <v>39.99</v>
      </c>
      <c r="J1940" s="0">
        <v>6</v>
      </c>
    </row>
    <row r="1941" spans="1:10" customHeight="0">
      <c r="A1941" s="0">
        <f>HYPERLINK("https://dl.dropboxusercontent.com/scl/fi/w8y59z0wq1vd84eb7o90m/114427-af.jpg?rlkey=tif1szscqcu2hjh8cj21s8f3j&amp;dl=0","Click to download Image")</f>
      </c>
      <c r="B1941" s="0">
        <f>HYPERLINK("https://dl.dropboxusercontent.com/scl/fi/f7v0fkuouipuobnch6j2l/mens-pullover-size-chartssilas.jpg?rlkey=08tg7uymfgtsw5nre839tyoov&amp;dl=0","Click to download SizeChart")</f>
      </c>
      <c r="C1941" s="0" t="inlineStr">
        <is>
          <t>Silas Men's Lightweight 1/4 Pullover</t>
        </is>
      </c>
      <c r="D1941" s="0" t="inlineStr">
        <is>
          <t>'114427</t>
        </is>
      </c>
      <c r="E1941" s="0" t="inlineStr">
        <is>
          <t>PURDUE SILAS M BLACK:114427D-XL</t>
        </is>
      </c>
      <c r="F1941" s="0" t="inlineStr">
        <is>
          <t>'804114427070</t>
        </is>
      </c>
      <c r="G1941" s="0" t="inlineStr">
        <is>
          <t>MENS</t>
        </is>
      </c>
      <c r="H1941" s="0" t="inlineStr">
        <is>
          <t>XL</t>
        </is>
      </c>
      <c r="I1941" s="0">
        <v>39.99</v>
      </c>
      <c r="J1941" s="0">
        <v>6</v>
      </c>
    </row>
    <row r="1942" spans="1:10" customHeight="0">
      <c r="A1942" s="0">
        <f>HYPERLINK("https://dl.dropboxusercontent.com/scl/fi/w8y59z0wq1vd84eb7o90m/114427-af.jpg?rlkey=tif1szscqcu2hjh8cj21s8f3j&amp;dl=0","Click to download Image")</f>
      </c>
      <c r="B1942" s="0">
        <f>HYPERLINK("https://dl.dropboxusercontent.com/scl/fi/f7v0fkuouipuobnch6j2l/mens-pullover-size-chartssilas.jpg?rlkey=08tg7uymfgtsw5nre839tyoov&amp;dl=0","Click to download SizeChart")</f>
      </c>
      <c r="C1942" s="0" t="inlineStr">
        <is>
          <t>Silas Men's Lightweight 1/4 Pullover</t>
        </is>
      </c>
      <c r="D1942" s="0" t="inlineStr">
        <is>
          <t>'114427</t>
        </is>
      </c>
      <c r="E1942" s="0" t="inlineStr">
        <is>
          <t>PURDUE SILAS M BLACK:114427E-2XL</t>
        </is>
      </c>
      <c r="F1942" s="0" t="inlineStr">
        <is>
          <t>'804114427087</t>
        </is>
      </c>
      <c r="G1942" s="0" t="inlineStr">
        <is>
          <t>MENS</t>
        </is>
      </c>
      <c r="H1942" s="0" t="inlineStr">
        <is>
          <t>2XL</t>
        </is>
      </c>
      <c r="I1942" s="0">
        <v>41.99</v>
      </c>
      <c r="J1942" s="0">
        <v>0</v>
      </c>
    </row>
    <row r="1943" spans="1:10" customHeight="0">
      <c r="A1943" s="0">
        <f>HYPERLINK("https://dl.dropboxusercontent.com/scl/fi/w8y59z0wq1vd84eb7o90m/114427-af.jpg?rlkey=tif1szscqcu2hjh8cj21s8f3j&amp;dl=0","Click to download Image")</f>
      </c>
      <c r="B1943" s="0">
        <f>HYPERLINK("https://dl.dropboxusercontent.com/scl/fi/f7v0fkuouipuobnch6j2l/mens-pullover-size-chartssilas.jpg?rlkey=08tg7uymfgtsw5nre839tyoov&amp;dl=0","Click to download SizeChart")</f>
      </c>
      <c r="C1943" s="0" t="inlineStr">
        <is>
          <t>Silas Men's Lightweight 1/4 Pullover</t>
        </is>
      </c>
      <c r="D1943" s="0" t="inlineStr">
        <is>
          <t>'114427</t>
        </is>
      </c>
      <c r="E1943" s="0" t="inlineStr">
        <is>
          <t>PURDUE SILAS M BLACK:114427F-3XL</t>
        </is>
      </c>
      <c r="F1943" s="0" t="inlineStr">
        <is>
          <t>'804114427094</t>
        </is>
      </c>
      <c r="G1943" s="0" t="inlineStr">
        <is>
          <t>MENS</t>
        </is>
      </c>
      <c r="H1943" s="0" t="inlineStr">
        <is>
          <t>3XL</t>
        </is>
      </c>
      <c r="I1943" s="0">
        <v>41.99</v>
      </c>
      <c r="J1943" s="0">
        <v>1</v>
      </c>
    </row>
    <row r="1944" spans="1:10" customHeight="0">
      <c r="A1944" s="0">
        <f>HYPERLINK("https://dl.dropboxusercontent.com/scl/fi/w8y59z0wq1vd84eb7o90m/114427-af.jpg?rlkey=tif1szscqcu2hjh8cj21s8f3j&amp;dl=0","Click to download Image")</f>
      </c>
      <c r="B1944" s="0">
        <f>HYPERLINK("https://dl.dropboxusercontent.com/scl/fi/f7v0fkuouipuobnch6j2l/mens-pullover-size-chartssilas.jpg?rlkey=08tg7uymfgtsw5nre839tyoov&amp;dl=0","Click to download SizeChart")</f>
      </c>
      <c r="C1944" s="0" t="inlineStr">
        <is>
          <t>Silas Men's Lightweight 1/4 Pullover</t>
        </is>
      </c>
      <c r="D1944" s="0" t="inlineStr">
        <is>
          <t>'114427</t>
        </is>
      </c>
      <c r="E1944" s="0" t="inlineStr">
        <is>
          <t>PURDUE SILAS M BLACK 12 PACK:114427Z-12PK</t>
        </is>
      </c>
      <c r="F1944" s="0" t="inlineStr">
        <is>
          <t>'804114427995</t>
        </is>
      </c>
      <c r="G1944" s="0" t="inlineStr">
        <is>
          <t>MENS</t>
        </is>
      </c>
      <c r="H1944" s="0" t="inlineStr">
        <is>
          <t>12 PACK</t>
        </is>
      </c>
      <c r="I1944" s="0">
        <v>390</v>
      </c>
      <c r="J1944" s="0">
        <v>0</v>
      </c>
    </row>
    <row r="1945" spans="1:10" customHeight="0">
      <c r="A1945" s="0">
        <f>HYPERLINK("https://dl.dropboxusercontent.com/scl/fi/z4a5d7qagz0yof4hl0r7k/114426-af.jpg?rlkey=1mk2bw4ghax14mp190y2hqcxg&amp;dl=0","Click to download Image")</f>
      </c>
      <c r="B1945" s="0">
        <f>HYPERLINK("https://dl.dropboxusercontent.com/scl/fi/f7v0fkuouipuobnch6j2l/mens-pullover-size-chartssilas.jpg?rlkey=08tg7uymfgtsw5nre839tyoov&amp;dl=0","Click to download SizeChart")</f>
      </c>
      <c r="C1945" s="0" t="inlineStr">
        <is>
          <t>Silas Men's Lightweight 1/4 Pullover</t>
        </is>
      </c>
      <c r="D1945" s="0" t="inlineStr">
        <is>
          <t>'114426</t>
        </is>
      </c>
      <c r="E1945" s="0" t="inlineStr">
        <is>
          <t>UNI SILAS M PURPLE:114426A-S</t>
        </is>
      </c>
      <c r="F1945" s="0" t="inlineStr">
        <is>
          <t>'802114426048</t>
        </is>
      </c>
      <c r="G1945" s="0" t="inlineStr">
        <is>
          <t>MENS</t>
        </is>
      </c>
      <c r="H1945" s="0" t="inlineStr">
        <is>
          <t>S</t>
        </is>
      </c>
      <c r="I1945" s="0">
        <v>39.99</v>
      </c>
      <c r="J1945" s="0">
        <v>3</v>
      </c>
    </row>
    <row r="1946" spans="1:10" customHeight="0">
      <c r="A1946" s="0">
        <f>HYPERLINK("https://dl.dropboxusercontent.com/scl/fi/z4a5d7qagz0yof4hl0r7k/114426-af.jpg?rlkey=1mk2bw4ghax14mp190y2hqcxg&amp;dl=0","Click to download Image")</f>
      </c>
      <c r="B1946" s="0">
        <f>HYPERLINK("https://dl.dropboxusercontent.com/scl/fi/f7v0fkuouipuobnch6j2l/mens-pullover-size-chartssilas.jpg?rlkey=08tg7uymfgtsw5nre839tyoov&amp;dl=0","Click to download SizeChart")</f>
      </c>
      <c r="C1946" s="0" t="inlineStr">
        <is>
          <t>Silas Men's Lightweight 1/4 Pullover</t>
        </is>
      </c>
      <c r="D1946" s="0" t="inlineStr">
        <is>
          <t>'114426</t>
        </is>
      </c>
      <c r="E1946" s="0" t="inlineStr">
        <is>
          <t>UNI SILAS M PURPLE:114426B-M</t>
        </is>
      </c>
      <c r="F1946" s="0" t="inlineStr">
        <is>
          <t>'802114426055</t>
        </is>
      </c>
      <c r="G1946" s="0" t="inlineStr">
        <is>
          <t>MENS</t>
        </is>
      </c>
      <c r="H1946" s="0" t="inlineStr">
        <is>
          <t>M</t>
        </is>
      </c>
      <c r="I1946" s="0">
        <v>39.99</v>
      </c>
      <c r="J1946" s="0">
        <v>8</v>
      </c>
    </row>
    <row r="1947" spans="1:10" customHeight="0">
      <c r="A1947" s="0">
        <f>HYPERLINK("https://dl.dropboxusercontent.com/scl/fi/z4a5d7qagz0yof4hl0r7k/114426-af.jpg?rlkey=1mk2bw4ghax14mp190y2hqcxg&amp;dl=0","Click to download Image")</f>
      </c>
      <c r="B1947" s="0">
        <f>HYPERLINK("https://dl.dropboxusercontent.com/scl/fi/f7v0fkuouipuobnch6j2l/mens-pullover-size-chartssilas.jpg?rlkey=08tg7uymfgtsw5nre839tyoov&amp;dl=0","Click to download SizeChart")</f>
      </c>
      <c r="C1947" s="0" t="inlineStr">
        <is>
          <t>Silas Men's Lightweight 1/4 Pullover</t>
        </is>
      </c>
      <c r="D1947" s="0" t="inlineStr">
        <is>
          <t>'114426</t>
        </is>
      </c>
      <c r="E1947" s="0" t="inlineStr">
        <is>
          <t>UNI SILAS M PURPLE:114426C-L</t>
        </is>
      </c>
      <c r="F1947" s="0" t="inlineStr">
        <is>
          <t>'802114426062</t>
        </is>
      </c>
      <c r="G1947" s="0" t="inlineStr">
        <is>
          <t>MENS</t>
        </is>
      </c>
      <c r="H1947" s="0" t="inlineStr">
        <is>
          <t>L</t>
        </is>
      </c>
      <c r="I1947" s="0">
        <v>39.99</v>
      </c>
      <c r="J1947" s="0">
        <v>3</v>
      </c>
    </row>
    <row r="1948" spans="1:10" customHeight="0">
      <c r="A1948" s="0">
        <f>HYPERLINK("https://dl.dropboxusercontent.com/scl/fi/z4a5d7qagz0yof4hl0r7k/114426-af.jpg?rlkey=1mk2bw4ghax14mp190y2hqcxg&amp;dl=0","Click to download Image")</f>
      </c>
      <c r="B1948" s="0">
        <f>HYPERLINK("https://dl.dropboxusercontent.com/scl/fi/f7v0fkuouipuobnch6j2l/mens-pullover-size-chartssilas.jpg?rlkey=08tg7uymfgtsw5nre839tyoov&amp;dl=0","Click to download SizeChart")</f>
      </c>
      <c r="C1948" s="0" t="inlineStr">
        <is>
          <t>Silas Men's Lightweight 1/4 Pullover</t>
        </is>
      </c>
      <c r="D1948" s="0" t="inlineStr">
        <is>
          <t>'114426</t>
        </is>
      </c>
      <c r="E1948" s="0" t="inlineStr">
        <is>
          <t>UNI SILAS M PURPLE:114426D-XL</t>
        </is>
      </c>
      <c r="F1948" s="0" t="inlineStr">
        <is>
          <t>'802114426079</t>
        </is>
      </c>
      <c r="G1948" s="0" t="inlineStr">
        <is>
          <t>MENS</t>
        </is>
      </c>
      <c r="H1948" s="0" t="inlineStr">
        <is>
          <t>XL</t>
        </is>
      </c>
      <c r="I1948" s="0">
        <v>39.99</v>
      </c>
      <c r="J1948" s="0">
        <v>2</v>
      </c>
    </row>
    <row r="1949" spans="1:10" customHeight="0">
      <c r="A1949" s="0">
        <f>HYPERLINK("https://dl.dropboxusercontent.com/scl/fi/z4a5d7qagz0yof4hl0r7k/114426-af.jpg?rlkey=1mk2bw4ghax14mp190y2hqcxg&amp;dl=0","Click to download Image")</f>
      </c>
      <c r="B1949" s="0">
        <f>HYPERLINK("https://dl.dropboxusercontent.com/scl/fi/f7v0fkuouipuobnch6j2l/mens-pullover-size-chartssilas.jpg?rlkey=08tg7uymfgtsw5nre839tyoov&amp;dl=0","Click to download SizeChart")</f>
      </c>
      <c r="C1949" s="0" t="inlineStr">
        <is>
          <t>Silas Men's Lightweight 1/4 Pullover</t>
        </is>
      </c>
      <c r="D1949" s="0" t="inlineStr">
        <is>
          <t>'114426</t>
        </is>
      </c>
      <c r="E1949" s="0" t="inlineStr">
        <is>
          <t>UNI SILAS M PURPLE:114426E-2XL</t>
        </is>
      </c>
      <c r="F1949" s="0" t="inlineStr">
        <is>
          <t>'802114426086</t>
        </is>
      </c>
      <c r="G1949" s="0" t="inlineStr">
        <is>
          <t>MENS</t>
        </is>
      </c>
      <c r="H1949" s="0" t="inlineStr">
        <is>
          <t>2XL</t>
        </is>
      </c>
      <c r="I1949" s="0">
        <v>41.99</v>
      </c>
      <c r="J1949" s="0">
        <v>0</v>
      </c>
    </row>
    <row r="1950" spans="1:10" customHeight="0">
      <c r="A1950" s="0">
        <f>HYPERLINK("https://dl.dropboxusercontent.com/scl/fi/z4a5d7qagz0yof4hl0r7k/114426-af.jpg?rlkey=1mk2bw4ghax14mp190y2hqcxg&amp;dl=0","Click to download Image")</f>
      </c>
      <c r="B1950" s="0">
        <f>HYPERLINK("https://dl.dropboxusercontent.com/scl/fi/f7v0fkuouipuobnch6j2l/mens-pullover-size-chartssilas.jpg?rlkey=08tg7uymfgtsw5nre839tyoov&amp;dl=0","Click to download SizeChart")</f>
      </c>
      <c r="C1950" s="0" t="inlineStr">
        <is>
          <t>Silas Men's Lightweight 1/4 Pullover</t>
        </is>
      </c>
      <c r="D1950" s="0" t="inlineStr">
        <is>
          <t>'114426</t>
        </is>
      </c>
      <c r="E1950" s="0" t="inlineStr">
        <is>
          <t>UNI SILAS M PURPLE:114426F-3XL</t>
        </is>
      </c>
      <c r="F1950" s="0" t="inlineStr">
        <is>
          <t>'802114426093</t>
        </is>
      </c>
      <c r="G1950" s="0" t="inlineStr">
        <is>
          <t>MENS</t>
        </is>
      </c>
      <c r="H1950" s="0" t="inlineStr">
        <is>
          <t>3XL</t>
        </is>
      </c>
      <c r="I1950" s="0">
        <v>41.99</v>
      </c>
      <c r="J1950" s="0">
        <v>0</v>
      </c>
    </row>
    <row r="1951" spans="1:10" customHeight="0">
      <c r="A1951" s="0">
        <f>HYPERLINK("https://dl.dropboxusercontent.com/scl/fi/z4a5d7qagz0yof4hl0r7k/114426-af.jpg?rlkey=1mk2bw4ghax14mp190y2hqcxg&amp;dl=0","Click to download Image")</f>
      </c>
      <c r="B1951" s="0">
        <f>HYPERLINK("https://dl.dropboxusercontent.com/scl/fi/f7v0fkuouipuobnch6j2l/mens-pullover-size-chartssilas.jpg?rlkey=08tg7uymfgtsw5nre839tyoov&amp;dl=0","Click to download SizeChart")</f>
      </c>
      <c r="C1951" s="0" t="inlineStr">
        <is>
          <t>Silas Men's Lightweight 1/4 Pullover</t>
        </is>
      </c>
      <c r="D1951" s="0" t="inlineStr">
        <is>
          <t>'114426</t>
        </is>
      </c>
      <c r="E1951" s="0" t="inlineStr">
        <is>
          <t>UNI SILAS M PURPLE 12 PACK:114426Z-12PK</t>
        </is>
      </c>
      <c r="F1951" s="0" t="inlineStr">
        <is>
          <t>'802114426994</t>
        </is>
      </c>
      <c r="G1951" s="0" t="inlineStr">
        <is>
          <t>MENS</t>
        </is>
      </c>
      <c r="H1951" s="0" t="inlineStr">
        <is>
          <t>12 PACK</t>
        </is>
      </c>
      <c r="I1951" s="0">
        <v>390</v>
      </c>
      <c r="J1951" s="0">
        <v>0</v>
      </c>
    </row>
    <row r="1952" spans="1:10" customHeight="0">
      <c r="A1952" s="0">
        <f>HYPERLINK("https://dl.dropboxusercontent.com/scl/fi/q0iq98i7hmvr4g4cdjxjx/123535-af.jpg?rlkey=9ns71pxd9j04v11yfq5c4xs9j&amp;dl=0","Click to download Image")</f>
      </c>
      <c r="B1952" s="0">
        <f>HYPERLINK("https://dl.dropboxusercontent.com/scl/fi/f7v0fkuouipuobnch6j2l/mens-pullover-size-chartssilas.jpg?rlkey=08tg7uymfgtsw5nre839tyoov&amp;dl=0","Click to download SizeChart")</f>
      </c>
      <c r="C1952" s="0" t="inlineStr">
        <is>
          <t>Silas Men's Lightweight 1/4 Pullover</t>
        </is>
      </c>
      <c r="D1952" s="0" t="inlineStr">
        <is>
          <t>'123535</t>
        </is>
      </c>
      <c r="E1952" s="0" t="inlineStr">
        <is>
          <t>NDSU SILAS M BK:123535A-S</t>
        </is>
      </c>
      <c r="F1952" s="0" t="inlineStr">
        <is>
          <t>'813123535041</t>
        </is>
      </c>
      <c r="G1952" s="0" t="inlineStr">
        <is>
          <t>MENS</t>
        </is>
      </c>
      <c r="H1952" s="0" t="inlineStr">
        <is>
          <t>S</t>
        </is>
      </c>
      <c r="I1952" s="0">
        <v>39.99</v>
      </c>
      <c r="J1952" s="0">
        <v>2</v>
      </c>
    </row>
    <row r="1953" spans="1:10" customHeight="0">
      <c r="A1953" s="0">
        <f>HYPERLINK("https://dl.dropboxusercontent.com/scl/fi/q0iq98i7hmvr4g4cdjxjx/123535-af.jpg?rlkey=9ns71pxd9j04v11yfq5c4xs9j&amp;dl=0","Click to download Image")</f>
      </c>
      <c r="B1953" s="0">
        <f>HYPERLINK("https://dl.dropboxusercontent.com/scl/fi/f7v0fkuouipuobnch6j2l/mens-pullover-size-chartssilas.jpg?rlkey=08tg7uymfgtsw5nre839tyoov&amp;dl=0","Click to download SizeChart")</f>
      </c>
      <c r="C1953" s="0" t="inlineStr">
        <is>
          <t>Silas Men's Lightweight 1/4 Pullover</t>
        </is>
      </c>
      <c r="D1953" s="0" t="inlineStr">
        <is>
          <t>'123535</t>
        </is>
      </c>
      <c r="E1953" s="0" t="inlineStr">
        <is>
          <t>NDSU SILAS M BK:123535B-M</t>
        </is>
      </c>
      <c r="F1953" s="0" t="inlineStr">
        <is>
          <t>'813123535058</t>
        </is>
      </c>
      <c r="G1953" s="0" t="inlineStr">
        <is>
          <t>MENS</t>
        </is>
      </c>
      <c r="H1953" s="0" t="inlineStr">
        <is>
          <t>M</t>
        </is>
      </c>
      <c r="I1953" s="0">
        <v>39.99</v>
      </c>
      <c r="J1953" s="0">
        <v>4</v>
      </c>
    </row>
    <row r="1954" spans="1:10" customHeight="0">
      <c r="A1954" s="0">
        <f>HYPERLINK("https://dl.dropboxusercontent.com/scl/fi/q0iq98i7hmvr4g4cdjxjx/123535-af.jpg?rlkey=9ns71pxd9j04v11yfq5c4xs9j&amp;dl=0","Click to download Image")</f>
      </c>
      <c r="B1954" s="0">
        <f>HYPERLINK("https://dl.dropboxusercontent.com/scl/fi/f7v0fkuouipuobnch6j2l/mens-pullover-size-chartssilas.jpg?rlkey=08tg7uymfgtsw5nre839tyoov&amp;dl=0","Click to download SizeChart")</f>
      </c>
      <c r="C1954" s="0" t="inlineStr">
        <is>
          <t>Silas Men's Lightweight 1/4 Pullover</t>
        </is>
      </c>
      <c r="D1954" s="0" t="inlineStr">
        <is>
          <t>'123535</t>
        </is>
      </c>
      <c r="E1954" s="0" t="inlineStr">
        <is>
          <t>NDSU SILAS M BK:123535C-L</t>
        </is>
      </c>
      <c r="F1954" s="0" t="inlineStr">
        <is>
          <t>'813123535065</t>
        </is>
      </c>
      <c r="G1954" s="0" t="inlineStr">
        <is>
          <t>MENS</t>
        </is>
      </c>
      <c r="H1954" s="0" t="inlineStr">
        <is>
          <t>L</t>
        </is>
      </c>
      <c r="I1954" s="0">
        <v>39.99</v>
      </c>
      <c r="J1954" s="0">
        <v>4</v>
      </c>
    </row>
    <row r="1955" spans="1:10" customHeight="0">
      <c r="A1955" s="0">
        <f>HYPERLINK("https://dl.dropboxusercontent.com/scl/fi/q0iq98i7hmvr4g4cdjxjx/123535-af.jpg?rlkey=9ns71pxd9j04v11yfq5c4xs9j&amp;dl=0","Click to download Image")</f>
      </c>
      <c r="B1955" s="0">
        <f>HYPERLINK("https://dl.dropboxusercontent.com/scl/fi/f7v0fkuouipuobnch6j2l/mens-pullover-size-chartssilas.jpg?rlkey=08tg7uymfgtsw5nre839tyoov&amp;dl=0","Click to download SizeChart")</f>
      </c>
      <c r="C1955" s="0" t="inlineStr">
        <is>
          <t>Silas Men's Lightweight 1/4 Pullover</t>
        </is>
      </c>
      <c r="D1955" s="0" t="inlineStr">
        <is>
          <t>'123535</t>
        </is>
      </c>
      <c r="E1955" s="0" t="inlineStr">
        <is>
          <t>NDSU SILAS M BK:123535D-XL</t>
        </is>
      </c>
      <c r="F1955" s="0" t="inlineStr">
        <is>
          <t>'813123535072</t>
        </is>
      </c>
      <c r="G1955" s="0" t="inlineStr">
        <is>
          <t>MENS</t>
        </is>
      </c>
      <c r="H1955" s="0" t="inlineStr">
        <is>
          <t>XL</t>
        </is>
      </c>
      <c r="I1955" s="0">
        <v>39.99</v>
      </c>
      <c r="J1955" s="0">
        <v>0</v>
      </c>
    </row>
    <row r="1956" spans="1:10" customHeight="0">
      <c r="A1956" s="0">
        <f>HYPERLINK("https://dl.dropboxusercontent.com/scl/fi/q0iq98i7hmvr4g4cdjxjx/123535-af.jpg?rlkey=9ns71pxd9j04v11yfq5c4xs9j&amp;dl=0","Click to download Image")</f>
      </c>
      <c r="B1956" s="0">
        <f>HYPERLINK("https://dl.dropboxusercontent.com/scl/fi/f7v0fkuouipuobnch6j2l/mens-pullover-size-chartssilas.jpg?rlkey=08tg7uymfgtsw5nre839tyoov&amp;dl=0","Click to download SizeChart")</f>
      </c>
      <c r="C1956" s="0" t="inlineStr">
        <is>
          <t>Silas Men's Lightweight 1/4 Pullover</t>
        </is>
      </c>
      <c r="D1956" s="0" t="inlineStr">
        <is>
          <t>'123535</t>
        </is>
      </c>
      <c r="E1956" s="0" t="inlineStr">
        <is>
          <t>NDSU SILAS M BK:123535E-2XL</t>
        </is>
      </c>
      <c r="F1956" s="0" t="inlineStr">
        <is>
          <t>'813123535089</t>
        </is>
      </c>
      <c r="G1956" s="0" t="inlineStr">
        <is>
          <t>MENS</t>
        </is>
      </c>
      <c r="H1956" s="0" t="inlineStr">
        <is>
          <t>2XL</t>
        </is>
      </c>
      <c r="I1956" s="0">
        <v>41.99</v>
      </c>
      <c r="J1956" s="0">
        <v>0</v>
      </c>
    </row>
    <row r="1957" spans="1:10" customHeight="0">
      <c r="A1957" s="0">
        <f>HYPERLINK("https://dl.dropboxusercontent.com/scl/fi/q0iq98i7hmvr4g4cdjxjx/123535-af.jpg?rlkey=9ns71pxd9j04v11yfq5c4xs9j&amp;dl=0","Click to download Image")</f>
      </c>
      <c r="B1957" s="0">
        <f>HYPERLINK("https://dl.dropboxusercontent.com/scl/fi/f7v0fkuouipuobnch6j2l/mens-pullover-size-chartssilas.jpg?rlkey=08tg7uymfgtsw5nre839tyoov&amp;dl=0","Click to download SizeChart")</f>
      </c>
      <c r="C1957" s="0" t="inlineStr">
        <is>
          <t>Silas Men's Lightweight 1/4 Pullover</t>
        </is>
      </c>
      <c r="D1957" s="0" t="inlineStr">
        <is>
          <t>'123535</t>
        </is>
      </c>
      <c r="E1957" s="0" t="inlineStr">
        <is>
          <t>NDSU SILAS M BK:123535F-3XL</t>
        </is>
      </c>
      <c r="F1957" s="0" t="inlineStr">
        <is>
          <t>'813123535096</t>
        </is>
      </c>
      <c r="G1957" s="0" t="inlineStr">
        <is>
          <t>MENS</t>
        </is>
      </c>
      <c r="H1957" s="0" t="inlineStr">
        <is>
          <t>3XL</t>
        </is>
      </c>
      <c r="I1957" s="0">
        <v>41.99</v>
      </c>
      <c r="J1957" s="0">
        <v>0</v>
      </c>
    </row>
    <row r="1958" spans="1:10" customHeight="0">
      <c r="A1958" s="0">
        <f>HYPERLINK("https://dl.dropboxusercontent.com/scl/fi/q0iq98i7hmvr4g4cdjxjx/123535-af.jpg?rlkey=9ns71pxd9j04v11yfq5c4xs9j&amp;dl=0","Click to download Image")</f>
      </c>
      <c r="B1958" s="0">
        <f>HYPERLINK("https://dl.dropboxusercontent.com/scl/fi/f7v0fkuouipuobnch6j2l/mens-pullover-size-chartssilas.jpg?rlkey=08tg7uymfgtsw5nre839tyoov&amp;dl=0","Click to download SizeChart")</f>
      </c>
      <c r="C1958" s="0" t="inlineStr">
        <is>
          <t>Silas Men's Lightweight 1/4 Pullover</t>
        </is>
      </c>
      <c r="D1958" s="0" t="inlineStr">
        <is>
          <t>'123535</t>
        </is>
      </c>
      <c r="E1958" s="0" t="inlineStr">
        <is>
          <t>NDSU SILAS M BK 12PK:123535Z-12PK</t>
        </is>
      </c>
      <c r="F1958" s="0" t="inlineStr">
        <is>
          <t>'813123535997</t>
        </is>
      </c>
      <c r="G1958" s="0" t="inlineStr">
        <is>
          <t>MENS</t>
        </is>
      </c>
      <c r="H1958" s="0" t="inlineStr">
        <is>
          <t>12 PACK</t>
        </is>
      </c>
      <c r="I1958" s="0">
        <v>390</v>
      </c>
      <c r="J1958" s="0">
        <v>0</v>
      </c>
    </row>
    <row r="1959" spans="1:10" customHeight="0">
      <c r="A1959" s="0">
        <f>HYPERLINK("https://dl.dropboxusercontent.com/scl/fi/ctwcf60jx6gi47y3upuen/123977-af.jpg?rlkey=cd62xbelu6fdl9ymey7ryh8u4&amp;dl=0","Click to download Image")</f>
      </c>
      <c r="B1959" s="0">
        <f>HYPERLINK("https://dl.dropboxusercontent.com/scl/fi/f7v0fkuouipuobnch6j2l/mens-pullover-size-chartssilas.jpg?rlkey=08tg7uymfgtsw5nre839tyoov&amp;dl=0","Click to download SizeChart")</f>
      </c>
      <c r="C1959" s="0" t="inlineStr">
        <is>
          <t>Silas Men's Lightweight 1/4 Pullover</t>
        </is>
      </c>
      <c r="D1959" s="0" t="inlineStr">
        <is>
          <t>'123977</t>
        </is>
      </c>
      <c r="E1959" s="0" t="inlineStr">
        <is>
          <t>CU SILAS M WE:123977A-S</t>
        </is>
      </c>
      <c r="F1959" s="0" t="inlineStr">
        <is>
          <t>'810123977048</t>
        </is>
      </c>
      <c r="G1959" s="0" t="inlineStr">
        <is>
          <t>MENS</t>
        </is>
      </c>
      <c r="H1959" s="0" t="inlineStr">
        <is>
          <t>S</t>
        </is>
      </c>
      <c r="I1959" s="0">
        <v>39.99</v>
      </c>
      <c r="J1959" s="0">
        <v>0</v>
      </c>
    </row>
    <row r="1960" spans="1:10" customHeight="0">
      <c r="A1960" s="0">
        <f>HYPERLINK("https://dl.dropboxusercontent.com/scl/fi/ctwcf60jx6gi47y3upuen/123977-af.jpg?rlkey=cd62xbelu6fdl9ymey7ryh8u4&amp;dl=0","Click to download Image")</f>
      </c>
      <c r="B1960" s="0">
        <f>HYPERLINK("https://dl.dropboxusercontent.com/scl/fi/f7v0fkuouipuobnch6j2l/mens-pullover-size-chartssilas.jpg?rlkey=08tg7uymfgtsw5nre839tyoov&amp;dl=0","Click to download SizeChart")</f>
      </c>
      <c r="C1960" s="0" t="inlineStr">
        <is>
          <t>Silas Men's Lightweight 1/4 Pullover</t>
        </is>
      </c>
      <c r="D1960" s="0" t="inlineStr">
        <is>
          <t>'123977</t>
        </is>
      </c>
      <c r="E1960" s="0" t="inlineStr">
        <is>
          <t>CU SILAS M WE:123977B-M</t>
        </is>
      </c>
      <c r="F1960" s="0" t="inlineStr">
        <is>
          <t>'810123977055</t>
        </is>
      </c>
      <c r="G1960" s="0" t="inlineStr">
        <is>
          <t>MENS</t>
        </is>
      </c>
      <c r="H1960" s="0" t="inlineStr">
        <is>
          <t>M</t>
        </is>
      </c>
      <c r="I1960" s="0">
        <v>39.99</v>
      </c>
      <c r="J1960" s="0">
        <v>0</v>
      </c>
    </row>
    <row r="1961" spans="1:10" customHeight="0">
      <c r="A1961" s="0">
        <f>HYPERLINK("https://dl.dropboxusercontent.com/scl/fi/ctwcf60jx6gi47y3upuen/123977-af.jpg?rlkey=cd62xbelu6fdl9ymey7ryh8u4&amp;dl=0","Click to download Image")</f>
      </c>
      <c r="B1961" s="0">
        <f>HYPERLINK("https://dl.dropboxusercontent.com/scl/fi/f7v0fkuouipuobnch6j2l/mens-pullover-size-chartssilas.jpg?rlkey=08tg7uymfgtsw5nre839tyoov&amp;dl=0","Click to download SizeChart")</f>
      </c>
      <c r="C1961" s="0" t="inlineStr">
        <is>
          <t>Silas Men's Lightweight 1/4 Pullover</t>
        </is>
      </c>
      <c r="D1961" s="0" t="inlineStr">
        <is>
          <t>'123977</t>
        </is>
      </c>
      <c r="E1961" s="0" t="inlineStr">
        <is>
          <t>CU SILAS M WE:123977C-L</t>
        </is>
      </c>
      <c r="F1961" s="0" t="inlineStr">
        <is>
          <t>'810123977062</t>
        </is>
      </c>
      <c r="G1961" s="0" t="inlineStr">
        <is>
          <t>MENS</t>
        </is>
      </c>
      <c r="H1961" s="0" t="inlineStr">
        <is>
          <t>L</t>
        </is>
      </c>
      <c r="I1961" s="0">
        <v>39.99</v>
      </c>
      <c r="J1961" s="0">
        <v>0</v>
      </c>
    </row>
    <row r="1962" spans="1:10" customHeight="0">
      <c r="A1962" s="0">
        <f>HYPERLINK("https://dl.dropboxusercontent.com/scl/fi/ctwcf60jx6gi47y3upuen/123977-af.jpg?rlkey=cd62xbelu6fdl9ymey7ryh8u4&amp;dl=0","Click to download Image")</f>
      </c>
      <c r="B1962" s="0">
        <f>HYPERLINK("https://dl.dropboxusercontent.com/scl/fi/f7v0fkuouipuobnch6j2l/mens-pullover-size-chartssilas.jpg?rlkey=08tg7uymfgtsw5nre839tyoov&amp;dl=0","Click to download SizeChart")</f>
      </c>
      <c r="C1962" s="0" t="inlineStr">
        <is>
          <t>Silas Men's Lightweight 1/4 Pullover</t>
        </is>
      </c>
      <c r="D1962" s="0" t="inlineStr">
        <is>
          <t>'123977</t>
        </is>
      </c>
      <c r="E1962" s="0" t="inlineStr">
        <is>
          <t>CU SILAS M WE:123977D-XL</t>
        </is>
      </c>
      <c r="F1962" s="0" t="inlineStr">
        <is>
          <t>'810123977079</t>
        </is>
      </c>
      <c r="G1962" s="0" t="inlineStr">
        <is>
          <t>MENS</t>
        </is>
      </c>
      <c r="H1962" s="0" t="inlineStr">
        <is>
          <t>XL</t>
        </is>
      </c>
      <c r="I1962" s="0">
        <v>39.99</v>
      </c>
      <c r="J1962" s="0">
        <v>0</v>
      </c>
    </row>
    <row r="1963" spans="1:10" customHeight="0">
      <c r="A1963" s="0">
        <f>HYPERLINK("https://dl.dropboxusercontent.com/scl/fi/ctwcf60jx6gi47y3upuen/123977-af.jpg?rlkey=cd62xbelu6fdl9ymey7ryh8u4&amp;dl=0","Click to download Image")</f>
      </c>
      <c r="B1963" s="0">
        <f>HYPERLINK("https://dl.dropboxusercontent.com/scl/fi/f7v0fkuouipuobnch6j2l/mens-pullover-size-chartssilas.jpg?rlkey=08tg7uymfgtsw5nre839tyoov&amp;dl=0","Click to download SizeChart")</f>
      </c>
      <c r="C1963" s="0" t="inlineStr">
        <is>
          <t>Silas Men's Lightweight 1/4 Pullover</t>
        </is>
      </c>
      <c r="D1963" s="0" t="inlineStr">
        <is>
          <t>'123977</t>
        </is>
      </c>
      <c r="E1963" s="0" t="inlineStr">
        <is>
          <t>CU SILAS M WE:123977E-2XL</t>
        </is>
      </c>
      <c r="F1963" s="0" t="inlineStr">
        <is>
          <t>'810123977086</t>
        </is>
      </c>
      <c r="G1963" s="0" t="inlineStr">
        <is>
          <t>MENS</t>
        </is>
      </c>
      <c r="H1963" s="0" t="inlineStr">
        <is>
          <t>2XL</t>
        </is>
      </c>
      <c r="I1963" s="0">
        <v>41.99</v>
      </c>
      <c r="J1963" s="0">
        <v>3</v>
      </c>
    </row>
    <row r="1964" spans="1:10" customHeight="0">
      <c r="A1964" s="0">
        <f>HYPERLINK("https://dl.dropboxusercontent.com/scl/fi/ctwcf60jx6gi47y3upuen/123977-af.jpg?rlkey=cd62xbelu6fdl9ymey7ryh8u4&amp;dl=0","Click to download Image")</f>
      </c>
      <c r="B1964" s="0">
        <f>HYPERLINK("https://dl.dropboxusercontent.com/scl/fi/f7v0fkuouipuobnch6j2l/mens-pullover-size-chartssilas.jpg?rlkey=08tg7uymfgtsw5nre839tyoov&amp;dl=0","Click to download SizeChart")</f>
      </c>
      <c r="C1964" s="0" t="inlineStr">
        <is>
          <t>Silas Men's Lightweight 1/4 Pullover</t>
        </is>
      </c>
      <c r="D1964" s="0" t="inlineStr">
        <is>
          <t>'123977</t>
        </is>
      </c>
      <c r="E1964" s="0" t="inlineStr">
        <is>
          <t>CU SILAS M WE:123977F-3XL</t>
        </is>
      </c>
      <c r="F1964" s="0" t="inlineStr">
        <is>
          <t>'810123977093</t>
        </is>
      </c>
      <c r="G1964" s="0" t="inlineStr">
        <is>
          <t>MENS</t>
        </is>
      </c>
      <c r="H1964" s="0" t="inlineStr">
        <is>
          <t>3XL</t>
        </is>
      </c>
      <c r="I1964" s="0">
        <v>41.99</v>
      </c>
      <c r="J1964" s="0">
        <v>0</v>
      </c>
    </row>
    <row r="1965" spans="1:10" customHeight="0">
      <c r="A1965" s="0">
        <f>HYPERLINK("https://dl.dropboxusercontent.com/scl/fi/ctwcf60jx6gi47y3upuen/123977-af.jpg?rlkey=cd62xbelu6fdl9ymey7ryh8u4&amp;dl=0","Click to download Image")</f>
      </c>
      <c r="B1965" s="0">
        <f>HYPERLINK("https://dl.dropboxusercontent.com/scl/fi/f7v0fkuouipuobnch6j2l/mens-pullover-size-chartssilas.jpg?rlkey=08tg7uymfgtsw5nre839tyoov&amp;dl=0","Click to download SizeChart")</f>
      </c>
      <c r="C1965" s="0" t="inlineStr">
        <is>
          <t>Silas Men's Lightweight 1/4 Pullover</t>
        </is>
      </c>
      <c r="D1965" s="0" t="inlineStr">
        <is>
          <t>'123977</t>
        </is>
      </c>
      <c r="E1965" s="0" t="inlineStr">
        <is>
          <t>CU SILAS M WE 12PK:123977Z-12PK</t>
        </is>
      </c>
      <c r="F1965" s="0" t="inlineStr">
        <is>
          <t>'810123977994</t>
        </is>
      </c>
      <c r="G1965" s="0" t="inlineStr">
        <is>
          <t>MENS</t>
        </is>
      </c>
      <c r="H1965" s="0" t="inlineStr">
        <is>
          <t>12 PACK</t>
        </is>
      </c>
      <c r="I1965" s="0">
        <v>390</v>
      </c>
      <c r="J1965" s="0">
        <v>5</v>
      </c>
    </row>
    <row r="1966" spans="1:10" customHeight="0">
      <c r="A1966" s="0">
        <f>HYPERLINK("https://dl.dropboxusercontent.com/scl/fi/l5l7us8y04yynh7v2zifa/uni-silas-2.0-af.jpg?rlkey=b3k45lrddmzrgosbp7x2os579&amp;dl=0","Click to download Image")</f>
      </c>
      <c r="B1966" s="0">
        <f>HYPERLINK("https://dl.dropboxusercontent.com/scl/fi/f7v0fkuouipuobnch6j2l/mens-pullover-size-chartssilas.jpg?rlkey=08tg7uymfgtsw5nre839tyoov&amp;dl=0","Click to download SizeChart")</f>
      </c>
      <c r="C1966" s="0" t="inlineStr">
        <is>
          <t>Silas Men's Lightweight 1/4 Pullover</t>
        </is>
      </c>
      <c r="D1966" s="0" t="inlineStr">
        <is>
          <t>'131471</t>
        </is>
      </c>
      <c r="E1966" s="0" t="inlineStr">
        <is>
          <t>UNI SILAS2 M PE:131471A-S</t>
        </is>
      </c>
      <c r="F1966" s="0" t="inlineStr">
        <is>
          <t>'802131471045</t>
        </is>
      </c>
      <c r="G1966" s="0" t="inlineStr">
        <is>
          <t>MENS</t>
        </is>
      </c>
      <c r="H1966" s="0" t="inlineStr">
        <is>
          <t>S</t>
        </is>
      </c>
      <c r="I1966" s="0">
        <v>39.99</v>
      </c>
      <c r="J1966" s="0">
        <v>2</v>
      </c>
    </row>
    <row r="1967" spans="1:10" customHeight="0">
      <c r="A1967" s="0">
        <f>HYPERLINK("https://dl.dropboxusercontent.com/scl/fi/l5l7us8y04yynh7v2zifa/uni-silas-2.0-af.jpg?rlkey=b3k45lrddmzrgosbp7x2os579&amp;dl=0","Click to download Image")</f>
      </c>
      <c r="B1967" s="0">
        <f>HYPERLINK("https://dl.dropboxusercontent.com/scl/fi/f7v0fkuouipuobnch6j2l/mens-pullover-size-chartssilas.jpg?rlkey=08tg7uymfgtsw5nre839tyoov&amp;dl=0","Click to download SizeChart")</f>
      </c>
      <c r="C1967" s="0" t="inlineStr">
        <is>
          <t>Silas Men's Lightweight 1/4 Pullover</t>
        </is>
      </c>
      <c r="D1967" s="0" t="inlineStr">
        <is>
          <t>'131471</t>
        </is>
      </c>
      <c r="E1967" s="0" t="inlineStr">
        <is>
          <t>UNI SILAS2 M PE:131471B-M</t>
        </is>
      </c>
      <c r="F1967" s="0" t="inlineStr">
        <is>
          <t>'802131471052</t>
        </is>
      </c>
      <c r="G1967" s="0" t="inlineStr">
        <is>
          <t>MENS</t>
        </is>
      </c>
      <c r="H1967" s="0" t="inlineStr">
        <is>
          <t>M</t>
        </is>
      </c>
      <c r="I1967" s="0">
        <v>39.99</v>
      </c>
      <c r="J1967" s="0">
        <v>4</v>
      </c>
    </row>
    <row r="1968" spans="1:10" customHeight="0">
      <c r="A1968" s="0">
        <f>HYPERLINK("https://dl.dropboxusercontent.com/scl/fi/l5l7us8y04yynh7v2zifa/uni-silas-2.0-af.jpg?rlkey=b3k45lrddmzrgosbp7x2os579&amp;dl=0","Click to download Image")</f>
      </c>
      <c r="B1968" s="0">
        <f>HYPERLINK("https://dl.dropboxusercontent.com/scl/fi/f7v0fkuouipuobnch6j2l/mens-pullover-size-chartssilas.jpg?rlkey=08tg7uymfgtsw5nre839tyoov&amp;dl=0","Click to download SizeChart")</f>
      </c>
      <c r="C1968" s="0" t="inlineStr">
        <is>
          <t>Silas Men's Lightweight 1/4 Pullover</t>
        </is>
      </c>
      <c r="D1968" s="0" t="inlineStr">
        <is>
          <t>'131471</t>
        </is>
      </c>
      <c r="E1968" s="0" t="inlineStr">
        <is>
          <t>UNI SILAS2 M PE:131471C-L</t>
        </is>
      </c>
      <c r="F1968" s="0" t="inlineStr">
        <is>
          <t>'802131471069</t>
        </is>
      </c>
      <c r="G1968" s="0" t="inlineStr">
        <is>
          <t>MENS</t>
        </is>
      </c>
      <c r="H1968" s="0" t="inlineStr">
        <is>
          <t>L</t>
        </is>
      </c>
      <c r="I1968" s="0">
        <v>39.99</v>
      </c>
      <c r="J1968" s="0">
        <v>6</v>
      </c>
    </row>
    <row r="1969" spans="1:10" customHeight="0">
      <c r="A1969" s="0">
        <f>HYPERLINK("https://dl.dropboxusercontent.com/scl/fi/l5l7us8y04yynh7v2zifa/uni-silas-2.0-af.jpg?rlkey=b3k45lrddmzrgosbp7x2os579&amp;dl=0","Click to download Image")</f>
      </c>
      <c r="B1969" s="0">
        <f>HYPERLINK("https://dl.dropboxusercontent.com/scl/fi/f7v0fkuouipuobnch6j2l/mens-pullover-size-chartssilas.jpg?rlkey=08tg7uymfgtsw5nre839tyoov&amp;dl=0","Click to download SizeChart")</f>
      </c>
      <c r="C1969" s="0" t="inlineStr">
        <is>
          <t>Silas Men's Lightweight 1/4 Pullover</t>
        </is>
      </c>
      <c r="D1969" s="0" t="inlineStr">
        <is>
          <t>'131471</t>
        </is>
      </c>
      <c r="E1969" s="0" t="inlineStr">
        <is>
          <t>UNI SILAS2 M PE:131471D-XL</t>
        </is>
      </c>
      <c r="F1969" s="0" t="inlineStr">
        <is>
          <t>'802131471076</t>
        </is>
      </c>
      <c r="G1969" s="0" t="inlineStr">
        <is>
          <t>MENS</t>
        </is>
      </c>
      <c r="H1969" s="0" t="inlineStr">
        <is>
          <t>XL</t>
        </is>
      </c>
      <c r="I1969" s="0">
        <v>39.99</v>
      </c>
      <c r="J1969" s="0">
        <v>5</v>
      </c>
    </row>
    <row r="1970" spans="1:10" customHeight="0">
      <c r="A1970" s="0">
        <f>HYPERLINK("https://dl.dropboxusercontent.com/scl/fi/l5l7us8y04yynh7v2zifa/uni-silas-2.0-af.jpg?rlkey=b3k45lrddmzrgosbp7x2os579&amp;dl=0","Click to download Image")</f>
      </c>
      <c r="B1970" s="0">
        <f>HYPERLINK("https://dl.dropboxusercontent.com/scl/fi/f7v0fkuouipuobnch6j2l/mens-pullover-size-chartssilas.jpg?rlkey=08tg7uymfgtsw5nre839tyoov&amp;dl=0","Click to download SizeChart")</f>
      </c>
      <c r="C1970" s="0" t="inlineStr">
        <is>
          <t>Silas Men's Lightweight 1/4 Pullover</t>
        </is>
      </c>
      <c r="D1970" s="0" t="inlineStr">
        <is>
          <t>'131471</t>
        </is>
      </c>
      <c r="E1970" s="0" t="inlineStr">
        <is>
          <t>UNI SILAS2 M PE:131471E-2XL</t>
        </is>
      </c>
      <c r="F1970" s="0" t="inlineStr">
        <is>
          <t>'802131471083</t>
        </is>
      </c>
      <c r="G1970" s="0" t="inlineStr">
        <is>
          <t>MENS</t>
        </is>
      </c>
      <c r="H1970" s="0" t="inlineStr">
        <is>
          <t>2XL</t>
        </is>
      </c>
      <c r="I1970" s="0">
        <v>41.99</v>
      </c>
      <c r="J1970" s="0">
        <v>4</v>
      </c>
    </row>
    <row r="1971" spans="1:10" customHeight="0">
      <c r="A1971" s="0">
        <f>HYPERLINK("https://dl.dropboxusercontent.com/scl/fi/l5l7us8y04yynh7v2zifa/uni-silas-2.0-af.jpg?rlkey=b3k45lrddmzrgosbp7x2os579&amp;dl=0","Click to download Image")</f>
      </c>
      <c r="B1971" s="0">
        <f>HYPERLINK("https://dl.dropboxusercontent.com/scl/fi/f7v0fkuouipuobnch6j2l/mens-pullover-size-chartssilas.jpg?rlkey=08tg7uymfgtsw5nre839tyoov&amp;dl=0","Click to download SizeChart")</f>
      </c>
      <c r="C1971" s="0" t="inlineStr">
        <is>
          <t>Silas Men's Lightweight 1/4 Pullover</t>
        </is>
      </c>
      <c r="D1971" s="0" t="inlineStr">
        <is>
          <t>'131471</t>
        </is>
      </c>
      <c r="E1971" s="0" t="inlineStr">
        <is>
          <t>UNI SILAS2 M PE:131471F-3XL</t>
        </is>
      </c>
      <c r="F1971" s="0" t="inlineStr">
        <is>
          <t>'802131471090</t>
        </is>
      </c>
      <c r="G1971" s="0" t="inlineStr">
        <is>
          <t>MENS</t>
        </is>
      </c>
      <c r="H1971" s="0" t="inlineStr">
        <is>
          <t>3XL</t>
        </is>
      </c>
      <c r="I1971" s="0">
        <v>41.99</v>
      </c>
      <c r="J1971" s="0">
        <v>2</v>
      </c>
    </row>
    <row r="1972" spans="1:10" customHeight="0">
      <c r="A1972" s="0">
        <f>HYPERLINK("https://dl.dropboxusercontent.com/scl/fi/7mog9odr3odq8524xcs2a/98665f.jpg?rlkey=er6zqrathx19ood4f1wbjqs1c&amp;dl=0","Click to download Image")</f>
      </c>
      <c r="B1972" s="0">
        <f>HYPERLINK("https://dl.dropboxusercontent.com/scl/fi/wdg4vkfg1q4y1444cjh9a/graphic-update2022-mens.jpg?rlkey=qr7viz187c69oz7tl90uj469u&amp;dl=0","Click to download SizeChart")</f>
      </c>
      <c r="C1972" s="0" t="inlineStr">
        <is>
          <t>Andrew Men's Full Zip Hoodie</t>
        </is>
      </c>
      <c r="D1972" s="0" t="inlineStr">
        <is>
          <t>'98665</t>
        </is>
      </c>
      <c r="E1972" s="0" t="inlineStr">
        <is>
          <t>ANDREW:98665A-S</t>
        </is>
      </c>
      <c r="F1972" s="0" t="inlineStr">
        <is>
          <t>'000000000000</t>
        </is>
      </c>
      <c r="G1972" s="0" t="inlineStr">
        <is>
          <t>MENS</t>
        </is>
      </c>
      <c r="H1972" s="0" t="inlineStr">
        <is>
          <t>S</t>
        </is>
      </c>
      <c r="I1972" s="0">
        <v>49.99</v>
      </c>
      <c r="J1972" s="0">
        <v>23</v>
      </c>
    </row>
    <row r="1973" spans="1:10" customHeight="0">
      <c r="A1973" s="0">
        <f>HYPERLINK("https://dl.dropboxusercontent.com/scl/fi/7mog9odr3odq8524xcs2a/98665f.jpg?rlkey=er6zqrathx19ood4f1wbjqs1c&amp;dl=0","Click to download Image")</f>
      </c>
      <c r="B1973" s="0">
        <f>HYPERLINK("https://dl.dropboxusercontent.com/scl/fi/wdg4vkfg1q4y1444cjh9a/graphic-update2022-mens.jpg?rlkey=qr7viz187c69oz7tl90uj469u&amp;dl=0","Click to download SizeChart")</f>
      </c>
      <c r="C1973" s="0" t="inlineStr">
        <is>
          <t>Andrew Men's Full Zip Hoodie</t>
        </is>
      </c>
      <c r="D1973" s="0" t="inlineStr">
        <is>
          <t>'98665</t>
        </is>
      </c>
      <c r="E1973" s="0" t="inlineStr">
        <is>
          <t>ANDREW:98665B-M</t>
        </is>
      </c>
      <c r="F1973" s="0" t="inlineStr">
        <is>
          <t>'000000000000</t>
        </is>
      </c>
      <c r="G1973" s="0" t="inlineStr">
        <is>
          <t>MENS</t>
        </is>
      </c>
      <c r="H1973" s="0" t="inlineStr">
        <is>
          <t>M</t>
        </is>
      </c>
      <c r="I1973" s="0">
        <v>49.99</v>
      </c>
      <c r="J1973" s="0">
        <v>22</v>
      </c>
    </row>
    <row r="1974" spans="1:10" customHeight="0">
      <c r="A1974" s="0">
        <f>HYPERLINK("https://dl.dropboxusercontent.com/scl/fi/7mog9odr3odq8524xcs2a/98665f.jpg?rlkey=er6zqrathx19ood4f1wbjqs1c&amp;dl=0","Click to download Image")</f>
      </c>
      <c r="B1974" s="0">
        <f>HYPERLINK("https://dl.dropboxusercontent.com/scl/fi/wdg4vkfg1q4y1444cjh9a/graphic-update2022-mens.jpg?rlkey=qr7viz187c69oz7tl90uj469u&amp;dl=0","Click to download SizeChart")</f>
      </c>
      <c r="C1974" s="0" t="inlineStr">
        <is>
          <t>Andrew Men's Full Zip Hoodie</t>
        </is>
      </c>
      <c r="D1974" s="0" t="inlineStr">
        <is>
          <t>'98665</t>
        </is>
      </c>
      <c r="E1974" s="0" t="inlineStr">
        <is>
          <t>ANDREW:98665C-L</t>
        </is>
      </c>
      <c r="F1974" s="0" t="inlineStr">
        <is>
          <t>'000000000000</t>
        </is>
      </c>
      <c r="G1974" s="0" t="inlineStr">
        <is>
          <t>MENS</t>
        </is>
      </c>
      <c r="H1974" s="0" t="inlineStr">
        <is>
          <t>L</t>
        </is>
      </c>
      <c r="I1974" s="0">
        <v>49.99</v>
      </c>
      <c r="J1974" s="0">
        <v>0</v>
      </c>
    </row>
    <row r="1975" spans="1:10" customHeight="0">
      <c r="A1975" s="0">
        <f>HYPERLINK("https://dl.dropboxusercontent.com/scl/fi/7mog9odr3odq8524xcs2a/98665f.jpg?rlkey=er6zqrathx19ood4f1wbjqs1c&amp;dl=0","Click to download Image")</f>
      </c>
      <c r="B1975" s="0">
        <f>HYPERLINK("https://dl.dropboxusercontent.com/scl/fi/wdg4vkfg1q4y1444cjh9a/graphic-update2022-mens.jpg?rlkey=qr7viz187c69oz7tl90uj469u&amp;dl=0","Click to download SizeChart")</f>
      </c>
      <c r="C1975" s="0" t="inlineStr">
        <is>
          <t>Andrew Men's Full Zip Hoodie</t>
        </is>
      </c>
      <c r="D1975" s="0" t="inlineStr">
        <is>
          <t>'98665</t>
        </is>
      </c>
      <c r="E1975" s="0" t="inlineStr">
        <is>
          <t>ANDREW:98665D-XL</t>
        </is>
      </c>
      <c r="F1975" s="0" t="inlineStr">
        <is>
          <t>'000000000000</t>
        </is>
      </c>
      <c r="G1975" s="0" t="inlineStr">
        <is>
          <t>MENS</t>
        </is>
      </c>
      <c r="H1975" s="0" t="inlineStr">
        <is>
          <t>XL</t>
        </is>
      </c>
      <c r="I1975" s="0">
        <v>49.99</v>
      </c>
      <c r="J1975" s="0">
        <v>0</v>
      </c>
    </row>
    <row r="1976" spans="1:10" customHeight="0">
      <c r="A1976" s="0">
        <f>HYPERLINK("https://dl.dropboxusercontent.com/scl/fi/7mog9odr3odq8524xcs2a/98665f.jpg?rlkey=er6zqrathx19ood4f1wbjqs1c&amp;dl=0","Click to download Image")</f>
      </c>
      <c r="B1976" s="0">
        <f>HYPERLINK("https://dl.dropboxusercontent.com/scl/fi/wdg4vkfg1q4y1444cjh9a/graphic-update2022-mens.jpg?rlkey=qr7viz187c69oz7tl90uj469u&amp;dl=0","Click to download SizeChart")</f>
      </c>
      <c r="C1976" s="0" t="inlineStr">
        <is>
          <t>Andrew Men's Full Zip Hoodie</t>
        </is>
      </c>
      <c r="D1976" s="0" t="inlineStr">
        <is>
          <t>'98665</t>
        </is>
      </c>
      <c r="E1976" s="0" t="inlineStr">
        <is>
          <t>ANDREW:98665E-2XL</t>
        </is>
      </c>
      <c r="F1976" s="0" t="inlineStr">
        <is>
          <t>'000000000000</t>
        </is>
      </c>
      <c r="G1976" s="0" t="inlineStr">
        <is>
          <t>MENS</t>
        </is>
      </c>
      <c r="H1976" s="0" t="inlineStr">
        <is>
          <t>2XL</t>
        </is>
      </c>
      <c r="I1976" s="0">
        <v>49.99</v>
      </c>
      <c r="J1976" s="0">
        <v>0</v>
      </c>
    </row>
    <row r="1977" spans="1:10" customHeight="0">
      <c r="A1977" s="0">
        <f>HYPERLINK("https://dl.dropboxusercontent.com/scl/fi/7mog9odr3odq8524xcs2a/98665f.jpg?rlkey=er6zqrathx19ood4f1wbjqs1c&amp;dl=0","Click to download Image")</f>
      </c>
      <c r="B1977" s="0">
        <f>HYPERLINK("https://dl.dropboxusercontent.com/scl/fi/wdg4vkfg1q4y1444cjh9a/graphic-update2022-mens.jpg?rlkey=qr7viz187c69oz7tl90uj469u&amp;dl=0","Click to download SizeChart")</f>
      </c>
      <c r="C1977" s="0" t="inlineStr">
        <is>
          <t>Andrew Men's Full Zip Hoodie</t>
        </is>
      </c>
      <c r="D1977" s="0" t="inlineStr">
        <is>
          <t>'98665</t>
        </is>
      </c>
      <c r="E1977" s="0" t="inlineStr">
        <is>
          <t>ANDREW:98665F-3XL</t>
        </is>
      </c>
      <c r="F1977" s="0" t="inlineStr">
        <is>
          <t>'000000000000</t>
        </is>
      </c>
      <c r="G1977" s="0" t="inlineStr">
        <is>
          <t>MENS</t>
        </is>
      </c>
      <c r="H1977" s="0" t="inlineStr">
        <is>
          <t>3XL</t>
        </is>
      </c>
      <c r="I1977" s="0">
        <v>49.99</v>
      </c>
      <c r="J1977" s="0">
        <v>0</v>
      </c>
    </row>
    <row r="1978" spans="1:10" customHeight="0">
      <c r="A1978" s="0">
        <f>HYPERLINK("https://dl.dropboxusercontent.com/scl/fi/5hl4emp55yv29d056d193/99692af.jpg?rlkey=cpp1y5i7glquqnxs7rqpxw5v5&amp;dl=0","Click to download Image")</f>
      </c>
      <c r="B1978" s="0">
        <f>HYPERLINK("https://dl.dropboxusercontent.com/scl/fi/xlyp0u396gyg64p6s1z2r/graphic-update2022-womens.jpg?rlkey=h9vcfoty6d3msuk59utram24y&amp;dl=0","Click to download SizeChart")</f>
      </c>
      <c r="C1978" s="0" t="inlineStr">
        <is>
          <t>Maggie Women's Polo</t>
        </is>
      </c>
      <c r="D1978" s="0" t="inlineStr">
        <is>
          <t>'99692</t>
        </is>
      </c>
      <c r="E1978" s="0" t="inlineStr">
        <is>
          <t>MAGGIE:99692A-S</t>
        </is>
      </c>
      <c r="F1978" s="0" t="inlineStr">
        <is>
          <t>'000000000000</t>
        </is>
      </c>
      <c r="G1978" s="0" t="inlineStr">
        <is>
          <t>WOMENS</t>
        </is>
      </c>
      <c r="H1978" s="0" t="inlineStr">
        <is>
          <t>S</t>
        </is>
      </c>
      <c r="I1978" s="0">
        <v>44.99</v>
      </c>
      <c r="J1978" s="0">
        <v>155</v>
      </c>
    </row>
    <row r="1979" spans="1:10" customHeight="0">
      <c r="A1979" s="0">
        <f>HYPERLINK("https://dl.dropboxusercontent.com/scl/fi/5hl4emp55yv29d056d193/99692af.jpg?rlkey=cpp1y5i7glquqnxs7rqpxw5v5&amp;dl=0","Click to download Image")</f>
      </c>
      <c r="B1979" s="0">
        <f>HYPERLINK("https://dl.dropboxusercontent.com/scl/fi/xlyp0u396gyg64p6s1z2r/graphic-update2022-womens.jpg?rlkey=h9vcfoty6d3msuk59utram24y&amp;dl=0","Click to download SizeChart")</f>
      </c>
      <c r="C1979" s="0" t="inlineStr">
        <is>
          <t>Maggie Women's Polo</t>
        </is>
      </c>
      <c r="D1979" s="0" t="inlineStr">
        <is>
          <t>'99692</t>
        </is>
      </c>
      <c r="E1979" s="0" t="inlineStr">
        <is>
          <t>MAGGIE:99692B-M</t>
        </is>
      </c>
      <c r="F1979" s="0" t="inlineStr">
        <is>
          <t>'000000000000</t>
        </is>
      </c>
      <c r="G1979" s="0" t="inlineStr">
        <is>
          <t>WOMENS</t>
        </is>
      </c>
      <c r="H1979" s="0" t="inlineStr">
        <is>
          <t>M</t>
        </is>
      </c>
      <c r="I1979" s="0">
        <v>44.99</v>
      </c>
      <c r="J1979" s="0">
        <v>187</v>
      </c>
    </row>
    <row r="1980" spans="1:10" customHeight="0">
      <c r="A1980" s="0">
        <f>HYPERLINK("https://dl.dropboxusercontent.com/scl/fi/5hl4emp55yv29d056d193/99692af.jpg?rlkey=cpp1y5i7glquqnxs7rqpxw5v5&amp;dl=0","Click to download Image")</f>
      </c>
      <c r="B1980" s="0">
        <f>HYPERLINK("https://dl.dropboxusercontent.com/scl/fi/xlyp0u396gyg64p6s1z2r/graphic-update2022-womens.jpg?rlkey=h9vcfoty6d3msuk59utram24y&amp;dl=0","Click to download SizeChart")</f>
      </c>
      <c r="C1980" s="0" t="inlineStr">
        <is>
          <t>Maggie Women's Polo</t>
        </is>
      </c>
      <c r="D1980" s="0" t="inlineStr">
        <is>
          <t>'99692</t>
        </is>
      </c>
      <c r="E1980" s="0" t="inlineStr">
        <is>
          <t>MAGGIE:99692C-L</t>
        </is>
      </c>
      <c r="F1980" s="0" t="inlineStr">
        <is>
          <t>'000000000000</t>
        </is>
      </c>
      <c r="G1980" s="0" t="inlineStr">
        <is>
          <t>WOMENS</t>
        </is>
      </c>
      <c r="H1980" s="0" t="inlineStr">
        <is>
          <t>L</t>
        </is>
      </c>
      <c r="I1980" s="0">
        <v>44.99</v>
      </c>
      <c r="J1980" s="0">
        <v>201</v>
      </c>
    </row>
    <row r="1981" spans="1:10" customHeight="0">
      <c r="A1981" s="0">
        <f>HYPERLINK("https://dl.dropboxusercontent.com/scl/fi/5hl4emp55yv29d056d193/99692af.jpg?rlkey=cpp1y5i7glquqnxs7rqpxw5v5&amp;dl=0","Click to download Image")</f>
      </c>
      <c r="B1981" s="0">
        <f>HYPERLINK("https://dl.dropboxusercontent.com/scl/fi/xlyp0u396gyg64p6s1z2r/graphic-update2022-womens.jpg?rlkey=h9vcfoty6d3msuk59utram24y&amp;dl=0","Click to download SizeChart")</f>
      </c>
      <c r="C1981" s="0" t="inlineStr">
        <is>
          <t>Maggie Women's Polo</t>
        </is>
      </c>
      <c r="D1981" s="0" t="inlineStr">
        <is>
          <t>'99692</t>
        </is>
      </c>
      <c r="E1981" s="0" t="inlineStr">
        <is>
          <t>MAGGIE:99692D-XL</t>
        </is>
      </c>
      <c r="F1981" s="0" t="inlineStr">
        <is>
          <t>'000000000000</t>
        </is>
      </c>
      <c r="G1981" s="0" t="inlineStr">
        <is>
          <t>WOMENS</t>
        </is>
      </c>
      <c r="H1981" s="0" t="inlineStr">
        <is>
          <t>XL</t>
        </is>
      </c>
      <c r="I1981" s="0">
        <v>44.99</v>
      </c>
      <c r="J1981" s="0">
        <v>206</v>
      </c>
    </row>
    <row r="1982" spans="1:10" customHeight="0">
      <c r="A1982" s="0">
        <f>HYPERLINK("https://dl.dropboxusercontent.com/scl/fi/5hl4emp55yv29d056d193/99692af.jpg?rlkey=cpp1y5i7glquqnxs7rqpxw5v5&amp;dl=0","Click to download Image")</f>
      </c>
      <c r="B1982" s="0">
        <f>HYPERLINK("https://dl.dropboxusercontent.com/scl/fi/xlyp0u396gyg64p6s1z2r/graphic-update2022-womens.jpg?rlkey=h9vcfoty6d3msuk59utram24y&amp;dl=0","Click to download SizeChart")</f>
      </c>
      <c r="C1982" s="0" t="inlineStr">
        <is>
          <t>Maggie Women's Polo</t>
        </is>
      </c>
      <c r="D1982" s="0" t="inlineStr">
        <is>
          <t>'99692</t>
        </is>
      </c>
      <c r="E1982" s="0" t="inlineStr">
        <is>
          <t>MAGGIE:99692E-2XL</t>
        </is>
      </c>
      <c r="F1982" s="0" t="inlineStr">
        <is>
          <t>'000000000000</t>
        </is>
      </c>
      <c r="G1982" s="0" t="inlineStr">
        <is>
          <t>WOMENS</t>
        </is>
      </c>
      <c r="H1982" s="0" t="inlineStr">
        <is>
          <t>2XL</t>
        </is>
      </c>
      <c r="I1982" s="0">
        <v>44.99</v>
      </c>
      <c r="J1982" s="0">
        <v>152</v>
      </c>
    </row>
    <row r="1983" spans="1:10" customHeight="0">
      <c r="A1983" s="0">
        <f>HYPERLINK("https://dl.dropboxusercontent.com/scl/fi/5hl4emp55yv29d056d193/99692af.jpg?rlkey=cpp1y5i7glquqnxs7rqpxw5v5&amp;dl=0","Click to download Image")</f>
      </c>
      <c r="B1983" s="0">
        <f>HYPERLINK("https://dl.dropboxusercontent.com/scl/fi/xlyp0u396gyg64p6s1z2r/graphic-update2022-womens.jpg?rlkey=h9vcfoty6d3msuk59utram24y&amp;dl=0","Click to download SizeChart")</f>
      </c>
      <c r="C1983" s="0" t="inlineStr">
        <is>
          <t>Maggie Women's Polo</t>
        </is>
      </c>
      <c r="D1983" s="0" t="inlineStr">
        <is>
          <t>'99692</t>
        </is>
      </c>
      <c r="E1983" s="0" t="inlineStr">
        <is>
          <t>MAGGIE:99692F-3XL</t>
        </is>
      </c>
      <c r="F1983" s="0" t="inlineStr">
        <is>
          <t>'000000000000</t>
        </is>
      </c>
      <c r="G1983" s="0" t="inlineStr">
        <is>
          <t>WOMENS</t>
        </is>
      </c>
      <c r="H1983" s="0" t="inlineStr">
        <is>
          <t>3XL</t>
        </is>
      </c>
      <c r="I1983" s="0">
        <v>44.99</v>
      </c>
      <c r="J1983" s="0">
        <v>33</v>
      </c>
    </row>
    <row r="1984" spans="1:10" customHeight="0">
      <c r="A1984" s="0">
        <f>HYPERLINK("https://dl.dropboxusercontent.com/scl/fi/gqpjolocytseiqgsxt7if/100003af.jpg?rlkey=3gvm7gujo2mrckwwhh4muowjc&amp;dl=0","Click to download Image")</f>
      </c>
      <c r="B1984" s="0">
        <f>HYPERLINK("https://dl.dropboxusercontent.com/scl/fi/xlyp0u396gyg64p6s1z2r/graphic-update2022-womens.jpg?rlkey=h9vcfoty6d3msuk59utram24y&amp;dl=0","Click to download SizeChart")</f>
      </c>
      <c r="C1984" s="0" t="inlineStr">
        <is>
          <t>Maggie Women's Polo</t>
        </is>
      </c>
      <c r="D1984" s="0" t="inlineStr">
        <is>
          <t>'100003</t>
        </is>
      </c>
      <c r="E1984" s="0" t="inlineStr">
        <is>
          <t>MAGGIE:100003A-S</t>
        </is>
      </c>
      <c r="F1984" s="0" t="inlineStr">
        <is>
          <t>'000000000000</t>
        </is>
      </c>
      <c r="G1984" s="0" t="inlineStr">
        <is>
          <t>WOMENS</t>
        </is>
      </c>
      <c r="H1984" s="0" t="inlineStr">
        <is>
          <t>S</t>
        </is>
      </c>
      <c r="I1984" s="0">
        <v>44.99</v>
      </c>
      <c r="J1984" s="0">
        <v>48</v>
      </c>
    </row>
    <row r="1985" spans="1:10" customHeight="0">
      <c r="A1985" s="0">
        <f>HYPERLINK("https://dl.dropboxusercontent.com/scl/fi/gqpjolocytseiqgsxt7if/100003af.jpg?rlkey=3gvm7gujo2mrckwwhh4muowjc&amp;dl=0","Click to download Image")</f>
      </c>
      <c r="B1985" s="0">
        <f>HYPERLINK("https://dl.dropboxusercontent.com/scl/fi/xlyp0u396gyg64p6s1z2r/graphic-update2022-womens.jpg?rlkey=h9vcfoty6d3msuk59utram24y&amp;dl=0","Click to download SizeChart")</f>
      </c>
      <c r="C1985" s="0" t="inlineStr">
        <is>
          <t>Maggie Women's Polo</t>
        </is>
      </c>
      <c r="D1985" s="0" t="inlineStr">
        <is>
          <t>'100003</t>
        </is>
      </c>
      <c r="E1985" s="0" t="inlineStr">
        <is>
          <t>MAGGIE:100003B-M</t>
        </is>
      </c>
      <c r="F1985" s="0" t="inlineStr">
        <is>
          <t>'000000000000</t>
        </is>
      </c>
      <c r="G1985" s="0" t="inlineStr">
        <is>
          <t>WOMENS</t>
        </is>
      </c>
      <c r="H1985" s="0" t="inlineStr">
        <is>
          <t>M</t>
        </is>
      </c>
      <c r="I1985" s="0">
        <v>44.99</v>
      </c>
      <c r="J1985" s="0">
        <v>47</v>
      </c>
    </row>
    <row r="1986" spans="1:10" customHeight="0">
      <c r="A1986" s="0">
        <f>HYPERLINK("https://dl.dropboxusercontent.com/scl/fi/gqpjolocytseiqgsxt7if/100003af.jpg?rlkey=3gvm7gujo2mrckwwhh4muowjc&amp;dl=0","Click to download Image")</f>
      </c>
      <c r="B1986" s="0">
        <f>HYPERLINK("https://dl.dropboxusercontent.com/scl/fi/xlyp0u396gyg64p6s1z2r/graphic-update2022-womens.jpg?rlkey=h9vcfoty6d3msuk59utram24y&amp;dl=0","Click to download SizeChart")</f>
      </c>
      <c r="C1986" s="0" t="inlineStr">
        <is>
          <t>Maggie Women's Polo</t>
        </is>
      </c>
      <c r="D1986" s="0" t="inlineStr">
        <is>
          <t>'100003</t>
        </is>
      </c>
      <c r="E1986" s="0" t="inlineStr">
        <is>
          <t>MAGGIE:100003C-L</t>
        </is>
      </c>
      <c r="F1986" s="0" t="inlineStr">
        <is>
          <t>'000000000000</t>
        </is>
      </c>
      <c r="G1986" s="0" t="inlineStr">
        <is>
          <t>WOMENS</t>
        </is>
      </c>
      <c r="H1986" s="0" t="inlineStr">
        <is>
          <t>L</t>
        </is>
      </c>
      <c r="I1986" s="0">
        <v>44.99</v>
      </c>
      <c r="J1986" s="0">
        <v>46</v>
      </c>
    </row>
    <row r="1987" spans="1:10" customHeight="0">
      <c r="A1987" s="0">
        <f>HYPERLINK("https://dl.dropboxusercontent.com/scl/fi/gqpjolocytseiqgsxt7if/100003af.jpg?rlkey=3gvm7gujo2mrckwwhh4muowjc&amp;dl=0","Click to download Image")</f>
      </c>
      <c r="B1987" s="0">
        <f>HYPERLINK("https://dl.dropboxusercontent.com/scl/fi/xlyp0u396gyg64p6s1z2r/graphic-update2022-womens.jpg?rlkey=h9vcfoty6d3msuk59utram24y&amp;dl=0","Click to download SizeChart")</f>
      </c>
      <c r="C1987" s="0" t="inlineStr">
        <is>
          <t>Maggie Women's Polo</t>
        </is>
      </c>
      <c r="D1987" s="0" t="inlineStr">
        <is>
          <t>'100003</t>
        </is>
      </c>
      <c r="E1987" s="0" t="inlineStr">
        <is>
          <t>MAGGIE:100003D-XL</t>
        </is>
      </c>
      <c r="F1987" s="0" t="inlineStr">
        <is>
          <t>'000000000000</t>
        </is>
      </c>
      <c r="G1987" s="0" t="inlineStr">
        <is>
          <t>WOMENS</t>
        </is>
      </c>
      <c r="H1987" s="0" t="inlineStr">
        <is>
          <t>XL</t>
        </is>
      </c>
      <c r="I1987" s="0">
        <v>44.99</v>
      </c>
      <c r="J1987" s="0">
        <v>51</v>
      </c>
    </row>
    <row r="1988" spans="1:10" customHeight="0">
      <c r="A1988" s="0">
        <f>HYPERLINK("https://dl.dropboxusercontent.com/scl/fi/gqpjolocytseiqgsxt7if/100003af.jpg?rlkey=3gvm7gujo2mrckwwhh4muowjc&amp;dl=0","Click to download Image")</f>
      </c>
      <c r="B1988" s="0">
        <f>HYPERLINK("https://dl.dropboxusercontent.com/scl/fi/xlyp0u396gyg64p6s1z2r/graphic-update2022-womens.jpg?rlkey=h9vcfoty6d3msuk59utram24y&amp;dl=0","Click to download SizeChart")</f>
      </c>
      <c r="C1988" s="0" t="inlineStr">
        <is>
          <t>Maggie Women's Polo</t>
        </is>
      </c>
      <c r="D1988" s="0" t="inlineStr">
        <is>
          <t>'100003</t>
        </is>
      </c>
      <c r="E1988" s="0" t="inlineStr">
        <is>
          <t>MAGGIE:100003E-2XL</t>
        </is>
      </c>
      <c r="F1988" s="0" t="inlineStr">
        <is>
          <t>'000000000000</t>
        </is>
      </c>
      <c r="G1988" s="0" t="inlineStr">
        <is>
          <t>WOMENS</t>
        </is>
      </c>
      <c r="H1988" s="0" t="inlineStr">
        <is>
          <t>2XL</t>
        </is>
      </c>
      <c r="I1988" s="0">
        <v>44.99</v>
      </c>
      <c r="J1988" s="0">
        <v>43</v>
      </c>
    </row>
    <row r="1989" spans="1:10" customHeight="0">
      <c r="A1989" s="0">
        <f>HYPERLINK("https://dl.dropboxusercontent.com/scl/fi/gqpjolocytseiqgsxt7if/100003af.jpg?rlkey=3gvm7gujo2mrckwwhh4muowjc&amp;dl=0","Click to download Image")</f>
      </c>
      <c r="B1989" s="0">
        <f>HYPERLINK("https://dl.dropboxusercontent.com/scl/fi/xlyp0u396gyg64p6s1z2r/graphic-update2022-womens.jpg?rlkey=h9vcfoty6d3msuk59utram24y&amp;dl=0","Click to download SizeChart")</f>
      </c>
      <c r="C1989" s="0" t="inlineStr">
        <is>
          <t>Maggie Women's Polo</t>
        </is>
      </c>
      <c r="D1989" s="0" t="inlineStr">
        <is>
          <t>'100003</t>
        </is>
      </c>
      <c r="E1989" s="0" t="inlineStr">
        <is>
          <t>MAGGIE:100003F-3XL</t>
        </is>
      </c>
      <c r="F1989" s="0" t="inlineStr">
        <is>
          <t>'000000000000</t>
        </is>
      </c>
      <c r="G1989" s="0" t="inlineStr">
        <is>
          <t>WOMENS</t>
        </is>
      </c>
      <c r="H1989" s="0" t="inlineStr">
        <is>
          <t>3XL</t>
        </is>
      </c>
      <c r="I1989" s="0">
        <v>44.99</v>
      </c>
      <c r="J1989" s="0">
        <v>46</v>
      </c>
    </row>
    <row r="1990" spans="1:10" customHeight="0">
      <c r="A1990" s="0">
        <f>HYPERLINK("https://dl.dropboxusercontent.com/scl/fi/n8vl1as04htuzjvdomx5l/104375-af.jpg?rlkey=ohxeoonolq8bl4kswgivirv90&amp;dl=0","Click to download Image")</f>
      </c>
      <c r="B1990" s="0">
        <f>HYPERLINK("https://dl.dropboxusercontent.com/scl/fi/d1g3mfsuufqx1vka54nqn/graphic-update2022-womens.jpg?rlkey=7bac57f5i2qh9ztiksto4ncs4&amp;dl=0","Click to download SizeChart")</f>
      </c>
      <c r="C1990" s="0" t="inlineStr">
        <is>
          <t>Miranda Women's Snap Pullover</t>
        </is>
      </c>
      <c r="D1990" s="0" t="inlineStr">
        <is>
          <t>'104375</t>
        </is>
      </c>
      <c r="E1990" s="0" t="inlineStr">
        <is>
          <t>MIRANDA:104375A-S</t>
        </is>
      </c>
      <c r="F1990" s="0" t="inlineStr">
        <is>
          <t>'000000000000</t>
        </is>
      </c>
      <c r="G1990" s="0" t="inlineStr">
        <is>
          <t>WOMENS</t>
        </is>
      </c>
      <c r="H1990" s="0" t="inlineStr">
        <is>
          <t>S</t>
        </is>
      </c>
      <c r="I1990" s="0">
        <v>54.99</v>
      </c>
      <c r="J1990" s="0">
        <v>85</v>
      </c>
    </row>
    <row r="1991" spans="1:10" customHeight="0">
      <c r="A1991" s="0">
        <f>HYPERLINK("https://dl.dropboxusercontent.com/scl/fi/n8vl1as04htuzjvdomx5l/104375-af.jpg?rlkey=ohxeoonolq8bl4kswgivirv90&amp;dl=0","Click to download Image")</f>
      </c>
      <c r="B1991" s="0">
        <f>HYPERLINK("https://dl.dropboxusercontent.com/scl/fi/d1g3mfsuufqx1vka54nqn/graphic-update2022-womens.jpg?rlkey=7bac57f5i2qh9ztiksto4ncs4&amp;dl=0","Click to download SizeChart")</f>
      </c>
      <c r="C1991" s="0" t="inlineStr">
        <is>
          <t>Miranda Women's Snap Pullover</t>
        </is>
      </c>
      <c r="D1991" s="0" t="inlineStr">
        <is>
          <t>'104375</t>
        </is>
      </c>
      <c r="E1991" s="0" t="inlineStr">
        <is>
          <t>MIRANDA:104375B-M</t>
        </is>
      </c>
      <c r="F1991" s="0" t="inlineStr">
        <is>
          <t>'000000000000</t>
        </is>
      </c>
      <c r="G1991" s="0" t="inlineStr">
        <is>
          <t>WOMENS</t>
        </is>
      </c>
      <c r="H1991" s="0" t="inlineStr">
        <is>
          <t>M</t>
        </is>
      </c>
      <c r="I1991" s="0">
        <v>54.99</v>
      </c>
      <c r="J1991" s="0">
        <v>73</v>
      </c>
    </row>
    <row r="1992" spans="1:10" customHeight="0">
      <c r="A1992" s="0">
        <f>HYPERLINK("https://dl.dropboxusercontent.com/scl/fi/n8vl1as04htuzjvdomx5l/104375-af.jpg?rlkey=ohxeoonolq8bl4kswgivirv90&amp;dl=0","Click to download Image")</f>
      </c>
      <c r="B1992" s="0">
        <f>HYPERLINK("https://dl.dropboxusercontent.com/scl/fi/d1g3mfsuufqx1vka54nqn/graphic-update2022-womens.jpg?rlkey=7bac57f5i2qh9ztiksto4ncs4&amp;dl=0","Click to download SizeChart")</f>
      </c>
      <c r="C1992" s="0" t="inlineStr">
        <is>
          <t>Miranda Women's Snap Pullover</t>
        </is>
      </c>
      <c r="D1992" s="0" t="inlineStr">
        <is>
          <t>'104375</t>
        </is>
      </c>
      <c r="E1992" s="0" t="inlineStr">
        <is>
          <t>MIRANDA:104375C-L</t>
        </is>
      </c>
      <c r="F1992" s="0" t="inlineStr">
        <is>
          <t>'000000000000</t>
        </is>
      </c>
      <c r="G1992" s="0" t="inlineStr">
        <is>
          <t>WOMENS</t>
        </is>
      </c>
      <c r="H1992" s="0" t="inlineStr">
        <is>
          <t>L</t>
        </is>
      </c>
      <c r="I1992" s="0">
        <v>54.99</v>
      </c>
      <c r="J1992" s="0">
        <v>69</v>
      </c>
    </row>
    <row r="1993" spans="1:10" customHeight="0">
      <c r="A1993" s="0">
        <f>HYPERLINK("https://dl.dropboxusercontent.com/scl/fi/n8vl1as04htuzjvdomx5l/104375-af.jpg?rlkey=ohxeoonolq8bl4kswgivirv90&amp;dl=0","Click to download Image")</f>
      </c>
      <c r="B1993" s="0">
        <f>HYPERLINK("https://dl.dropboxusercontent.com/scl/fi/d1g3mfsuufqx1vka54nqn/graphic-update2022-womens.jpg?rlkey=7bac57f5i2qh9ztiksto4ncs4&amp;dl=0","Click to download SizeChart")</f>
      </c>
      <c r="C1993" s="0" t="inlineStr">
        <is>
          <t>Miranda Women's Snap Pullover</t>
        </is>
      </c>
      <c r="D1993" s="0" t="inlineStr">
        <is>
          <t>'104375</t>
        </is>
      </c>
      <c r="E1993" s="0" t="inlineStr">
        <is>
          <t>MIRANDA:104375D-XL</t>
        </is>
      </c>
      <c r="F1993" s="0" t="inlineStr">
        <is>
          <t>'000000000000</t>
        </is>
      </c>
      <c r="G1993" s="0" t="inlineStr">
        <is>
          <t>WOMENS</t>
        </is>
      </c>
      <c r="H1993" s="0" t="inlineStr">
        <is>
          <t>XL</t>
        </is>
      </c>
      <c r="I1993" s="0">
        <v>54.99</v>
      </c>
      <c r="J1993" s="0">
        <v>81</v>
      </c>
    </row>
    <row r="1994" spans="1:10" customHeight="0">
      <c r="A1994" s="0">
        <f>HYPERLINK("https://dl.dropboxusercontent.com/scl/fi/n8vl1as04htuzjvdomx5l/104375-af.jpg?rlkey=ohxeoonolq8bl4kswgivirv90&amp;dl=0","Click to download Image")</f>
      </c>
      <c r="B1994" s="0">
        <f>HYPERLINK("https://dl.dropboxusercontent.com/scl/fi/d1g3mfsuufqx1vka54nqn/graphic-update2022-womens.jpg?rlkey=7bac57f5i2qh9ztiksto4ncs4&amp;dl=0","Click to download SizeChart")</f>
      </c>
      <c r="C1994" s="0" t="inlineStr">
        <is>
          <t>Miranda Women's Snap Pullover</t>
        </is>
      </c>
      <c r="D1994" s="0" t="inlineStr">
        <is>
          <t>'104375</t>
        </is>
      </c>
      <c r="E1994" s="0" t="inlineStr">
        <is>
          <t>MIRANDA:104375E-2XL</t>
        </is>
      </c>
      <c r="F1994" s="0" t="inlineStr">
        <is>
          <t>'000000000000</t>
        </is>
      </c>
      <c r="G1994" s="0" t="inlineStr">
        <is>
          <t>WOMENS</t>
        </is>
      </c>
      <c r="H1994" s="0" t="inlineStr">
        <is>
          <t>2XL</t>
        </is>
      </c>
      <c r="I1994" s="0">
        <v>54.99</v>
      </c>
      <c r="J1994" s="0">
        <v>70</v>
      </c>
    </row>
    <row r="1995" spans="1:10" customHeight="0">
      <c r="A1995" s="0">
        <f>HYPERLINK("https://dl.dropboxusercontent.com/scl/fi/n8vl1as04htuzjvdomx5l/104375-af.jpg?rlkey=ohxeoonolq8bl4kswgivirv90&amp;dl=0","Click to download Image")</f>
      </c>
      <c r="B1995" s="0">
        <f>HYPERLINK("https://dl.dropboxusercontent.com/scl/fi/d1g3mfsuufqx1vka54nqn/graphic-update2022-womens.jpg?rlkey=7bac57f5i2qh9ztiksto4ncs4&amp;dl=0","Click to download SizeChart")</f>
      </c>
      <c r="C1995" s="0" t="inlineStr">
        <is>
          <t>Miranda Women's Snap Pullover</t>
        </is>
      </c>
      <c r="D1995" s="0" t="inlineStr">
        <is>
          <t>'104375</t>
        </is>
      </c>
      <c r="E1995" s="0" t="inlineStr">
        <is>
          <t>MIRANDA:104375F-3XL</t>
        </is>
      </c>
      <c r="F1995" s="0" t="inlineStr">
        <is>
          <t>'000000000000</t>
        </is>
      </c>
      <c r="G1995" s="0" t="inlineStr">
        <is>
          <t>WOMENS</t>
        </is>
      </c>
      <c r="H1995" s="0" t="inlineStr">
        <is>
          <t>3XL</t>
        </is>
      </c>
      <c r="I1995" s="0">
        <v>54.99</v>
      </c>
      <c r="J1995" s="0">
        <v>4</v>
      </c>
    </row>
    <row r="1996" spans="1:10" customHeight="0">
      <c r="A1996" s="0">
        <f>HYPERLINK("https://dl.dropboxusercontent.com/scl/fi/s2ma7wjvoz7hg5bn7qjv7/104376-af.jpg?rlkey=u6r0izp5q7oxfuyx722p3dhon&amp;dl=0","Click to download Image")</f>
      </c>
      <c r="B1996" s="0">
        <f>HYPERLINK("https://dl.dropboxusercontent.com/scl/fi/d1g3mfsuufqx1vka54nqn/graphic-update2022-womens.jpg?rlkey=7bac57f5i2qh9ztiksto4ncs4&amp;dl=0","Click to download SizeChart")</f>
      </c>
      <c r="C1996" s="0" t="inlineStr">
        <is>
          <t>Miranda Women's Snap Pullover</t>
        </is>
      </c>
      <c r="D1996" s="0" t="inlineStr">
        <is>
          <t>'104376</t>
        </is>
      </c>
      <c r="E1996" s="0" t="inlineStr">
        <is>
          <t>MIRANDA:104376A-S</t>
        </is>
      </c>
      <c r="F1996" s="0" t="inlineStr">
        <is>
          <t>'000000000000</t>
        </is>
      </c>
      <c r="G1996" s="0" t="inlineStr">
        <is>
          <t>WOMENS</t>
        </is>
      </c>
      <c r="H1996" s="0" t="inlineStr">
        <is>
          <t>S</t>
        </is>
      </c>
      <c r="I1996" s="0">
        <v>54.99</v>
      </c>
      <c r="J1996" s="0">
        <v>43</v>
      </c>
    </row>
    <row r="1997" spans="1:10" customHeight="0">
      <c r="A1997" s="0">
        <f>HYPERLINK("https://dl.dropboxusercontent.com/scl/fi/s2ma7wjvoz7hg5bn7qjv7/104376-af.jpg?rlkey=u6r0izp5q7oxfuyx722p3dhon&amp;dl=0","Click to download Image")</f>
      </c>
      <c r="B1997" s="0">
        <f>HYPERLINK("https://dl.dropboxusercontent.com/scl/fi/d1g3mfsuufqx1vka54nqn/graphic-update2022-womens.jpg?rlkey=7bac57f5i2qh9ztiksto4ncs4&amp;dl=0","Click to download SizeChart")</f>
      </c>
      <c r="C1997" s="0" t="inlineStr">
        <is>
          <t>Miranda Women's Snap Pullover</t>
        </is>
      </c>
      <c r="D1997" s="0" t="inlineStr">
        <is>
          <t>'104376</t>
        </is>
      </c>
      <c r="E1997" s="0" t="inlineStr">
        <is>
          <t>MIRANDA:104376B-M</t>
        </is>
      </c>
      <c r="F1997" s="0" t="inlineStr">
        <is>
          <t>'000000000000</t>
        </is>
      </c>
      <c r="G1997" s="0" t="inlineStr">
        <is>
          <t>WOMENS</t>
        </is>
      </c>
      <c r="H1997" s="0" t="inlineStr">
        <is>
          <t>M</t>
        </is>
      </c>
      <c r="I1997" s="0">
        <v>54.99</v>
      </c>
      <c r="J1997" s="0">
        <v>4</v>
      </c>
    </row>
    <row r="1998" spans="1:10" customHeight="0">
      <c r="A1998" s="0">
        <f>HYPERLINK("https://dl.dropboxusercontent.com/scl/fi/s2ma7wjvoz7hg5bn7qjv7/104376-af.jpg?rlkey=u6r0izp5q7oxfuyx722p3dhon&amp;dl=0","Click to download Image")</f>
      </c>
      <c r="B1998" s="0">
        <f>HYPERLINK("https://dl.dropboxusercontent.com/scl/fi/d1g3mfsuufqx1vka54nqn/graphic-update2022-womens.jpg?rlkey=7bac57f5i2qh9ztiksto4ncs4&amp;dl=0","Click to download SizeChart")</f>
      </c>
      <c r="C1998" s="0" t="inlineStr">
        <is>
          <t>Miranda Women's Snap Pullover</t>
        </is>
      </c>
      <c r="D1998" s="0" t="inlineStr">
        <is>
          <t>'104376</t>
        </is>
      </c>
      <c r="E1998" s="0" t="inlineStr">
        <is>
          <t>MIRANDA:104376C-L</t>
        </is>
      </c>
      <c r="F1998" s="0" t="inlineStr">
        <is>
          <t>'000000000000</t>
        </is>
      </c>
      <c r="G1998" s="0" t="inlineStr">
        <is>
          <t>WOMENS</t>
        </is>
      </c>
      <c r="H1998" s="0" t="inlineStr">
        <is>
          <t>L</t>
        </is>
      </c>
      <c r="I1998" s="0">
        <v>54.99</v>
      </c>
      <c r="J1998" s="0">
        <v>25</v>
      </c>
    </row>
    <row r="1999" spans="1:10" customHeight="0">
      <c r="A1999" s="0">
        <f>HYPERLINK("https://dl.dropboxusercontent.com/scl/fi/s2ma7wjvoz7hg5bn7qjv7/104376-af.jpg?rlkey=u6r0izp5q7oxfuyx722p3dhon&amp;dl=0","Click to download Image")</f>
      </c>
      <c r="B1999" s="0">
        <f>HYPERLINK("https://dl.dropboxusercontent.com/scl/fi/d1g3mfsuufqx1vka54nqn/graphic-update2022-womens.jpg?rlkey=7bac57f5i2qh9ztiksto4ncs4&amp;dl=0","Click to download SizeChart")</f>
      </c>
      <c r="C1999" s="0" t="inlineStr">
        <is>
          <t>Miranda Women's Snap Pullover</t>
        </is>
      </c>
      <c r="D1999" s="0" t="inlineStr">
        <is>
          <t>'104376</t>
        </is>
      </c>
      <c r="E1999" s="0" t="inlineStr">
        <is>
          <t>MIRANDA:104376D-XL</t>
        </is>
      </c>
      <c r="F1999" s="0" t="inlineStr">
        <is>
          <t>'000000000000</t>
        </is>
      </c>
      <c r="G1999" s="0" t="inlineStr">
        <is>
          <t>WOMENS</t>
        </is>
      </c>
      <c r="H1999" s="0" t="inlineStr">
        <is>
          <t>XL</t>
        </is>
      </c>
      <c r="I1999" s="0">
        <v>54.99</v>
      </c>
      <c r="J1999" s="0">
        <v>34</v>
      </c>
    </row>
    <row r="2000" spans="1:10" customHeight="0">
      <c r="A2000" s="0">
        <f>HYPERLINK("https://dl.dropboxusercontent.com/scl/fi/s2ma7wjvoz7hg5bn7qjv7/104376-af.jpg?rlkey=u6r0izp5q7oxfuyx722p3dhon&amp;dl=0","Click to download Image")</f>
      </c>
      <c r="B2000" s="0">
        <f>HYPERLINK("https://dl.dropboxusercontent.com/scl/fi/d1g3mfsuufqx1vka54nqn/graphic-update2022-womens.jpg?rlkey=7bac57f5i2qh9ztiksto4ncs4&amp;dl=0","Click to download SizeChart")</f>
      </c>
      <c r="C2000" s="0" t="inlineStr">
        <is>
          <t>Miranda Women's Snap Pullover</t>
        </is>
      </c>
      <c r="D2000" s="0" t="inlineStr">
        <is>
          <t>'104376</t>
        </is>
      </c>
      <c r="E2000" s="0" t="inlineStr">
        <is>
          <t>MIRANDA:104376E-2XL</t>
        </is>
      </c>
      <c r="F2000" s="0" t="inlineStr">
        <is>
          <t>'000000000000</t>
        </is>
      </c>
      <c r="G2000" s="0" t="inlineStr">
        <is>
          <t>WOMENS</t>
        </is>
      </c>
      <c r="H2000" s="0" t="inlineStr">
        <is>
          <t>2XL</t>
        </is>
      </c>
      <c r="I2000" s="0">
        <v>54.99</v>
      </c>
      <c r="J2000" s="0">
        <v>38</v>
      </c>
    </row>
    <row r="2001" spans="1:10" customHeight="0">
      <c r="A2001" s="0">
        <f>HYPERLINK("https://dl.dropboxusercontent.com/scl/fi/s2ma7wjvoz7hg5bn7qjv7/104376-af.jpg?rlkey=u6r0izp5q7oxfuyx722p3dhon&amp;dl=0","Click to download Image")</f>
      </c>
      <c r="B2001" s="0">
        <f>HYPERLINK("https://dl.dropboxusercontent.com/scl/fi/d1g3mfsuufqx1vka54nqn/graphic-update2022-womens.jpg?rlkey=7bac57f5i2qh9ztiksto4ncs4&amp;dl=0","Click to download SizeChart")</f>
      </c>
      <c r="C2001" s="0" t="inlineStr">
        <is>
          <t>Miranda Women's Snap Pullover</t>
        </is>
      </c>
      <c r="D2001" s="0" t="inlineStr">
        <is>
          <t>'104376</t>
        </is>
      </c>
      <c r="E2001" s="0" t="inlineStr">
        <is>
          <t>MIRANDA:104376F-3XL</t>
        </is>
      </c>
      <c r="F2001" s="0" t="inlineStr">
        <is>
          <t>'000000000000</t>
        </is>
      </c>
      <c r="G2001" s="0" t="inlineStr">
        <is>
          <t>WOMENS</t>
        </is>
      </c>
      <c r="H2001" s="0" t="inlineStr">
        <is>
          <t>3XL</t>
        </is>
      </c>
      <c r="I2001" s="0">
        <v>54.99</v>
      </c>
      <c r="J2001" s="0">
        <v>24</v>
      </c>
    </row>
    <row r="2002" spans="1:10" customHeight="0">
      <c r="A2002" s="0">
        <f>HYPERLINK("https://dl.dropboxusercontent.com/scl/fi/9lpzt5v9h4n8aalwy6dmk/114022-af.jpg?rlkey=kaqisp3j31hk9jdux7291jpoa&amp;dl=0","Click to download Image")</f>
      </c>
      <c r="B2002" s="0">
        <f>HYPERLINK("https://dl.dropboxusercontent.com/scl/fi/g9w3ke4ykxpcina89452v/womens-jersey-size-chartsjordyn.jpg?rlkey=rnduxuhjhgm2vccqpphosgxl9&amp;dl=0","Click to download SizeChart")</f>
      </c>
      <c r="C2002" s="0" t="inlineStr">
        <is>
          <t>Ariel Women's Semi-Fitted Bike Jersey</t>
        </is>
      </c>
      <c r="D2002" s="0" t="inlineStr">
        <is>
          <t>'114022</t>
        </is>
      </c>
      <c r="E2002" s="0" t="inlineStr">
        <is>
          <t>ISU ARIEL CARDINAL:114022A-S</t>
        </is>
      </c>
      <c r="F2002" s="0" t="inlineStr">
        <is>
          <t>'801114022045</t>
        </is>
      </c>
      <c r="G2002" s="0" t="inlineStr">
        <is>
          <t>WOMENS</t>
        </is>
      </c>
      <c r="H2002" s="0" t="inlineStr">
        <is>
          <t>S</t>
        </is>
      </c>
      <c r="I2002" s="0">
        <v>64.99</v>
      </c>
      <c r="J2002" s="0">
        <v>2</v>
      </c>
    </row>
    <row r="2003" spans="1:10" customHeight="0">
      <c r="A2003" s="0">
        <f>HYPERLINK("https://dl.dropboxusercontent.com/scl/fi/9lpzt5v9h4n8aalwy6dmk/114022-af.jpg?rlkey=kaqisp3j31hk9jdux7291jpoa&amp;dl=0","Click to download Image")</f>
      </c>
      <c r="B2003" s="0">
        <f>HYPERLINK("https://dl.dropboxusercontent.com/scl/fi/g9w3ke4ykxpcina89452v/womens-jersey-size-chartsjordyn.jpg?rlkey=rnduxuhjhgm2vccqpphosgxl9&amp;dl=0","Click to download SizeChart")</f>
      </c>
      <c r="C2003" s="0" t="inlineStr">
        <is>
          <t>Ariel Women's Semi-Fitted Bike Jersey</t>
        </is>
      </c>
      <c r="D2003" s="0" t="inlineStr">
        <is>
          <t>'114022</t>
        </is>
      </c>
      <c r="E2003" s="0" t="inlineStr">
        <is>
          <t>ISU ARIEL CARDINAL:114022B-M</t>
        </is>
      </c>
      <c r="F2003" s="0" t="inlineStr">
        <is>
          <t>'801114022052</t>
        </is>
      </c>
      <c r="G2003" s="0" t="inlineStr">
        <is>
          <t>WOMENS</t>
        </is>
      </c>
      <c r="H2003" s="0" t="inlineStr">
        <is>
          <t>M</t>
        </is>
      </c>
      <c r="I2003" s="0">
        <v>64.99</v>
      </c>
      <c r="J2003" s="0">
        <v>0</v>
      </c>
    </row>
    <row r="2004" spans="1:10" customHeight="0">
      <c r="A2004" s="0">
        <f>HYPERLINK("https://dl.dropboxusercontent.com/scl/fi/9lpzt5v9h4n8aalwy6dmk/114022-af.jpg?rlkey=kaqisp3j31hk9jdux7291jpoa&amp;dl=0","Click to download Image")</f>
      </c>
      <c r="B2004" s="0">
        <f>HYPERLINK("https://dl.dropboxusercontent.com/scl/fi/g9w3ke4ykxpcina89452v/womens-jersey-size-chartsjordyn.jpg?rlkey=rnduxuhjhgm2vccqpphosgxl9&amp;dl=0","Click to download SizeChart")</f>
      </c>
      <c r="C2004" s="0" t="inlineStr">
        <is>
          <t>Ariel Women's Semi-Fitted Bike Jersey</t>
        </is>
      </c>
      <c r="D2004" s="0" t="inlineStr">
        <is>
          <t>'114022</t>
        </is>
      </c>
      <c r="E2004" s="0" t="inlineStr">
        <is>
          <t>ISU ARIEL CARDINAL:114022C-L</t>
        </is>
      </c>
      <c r="F2004" s="0" t="inlineStr">
        <is>
          <t>'801114022069</t>
        </is>
      </c>
      <c r="G2004" s="0" t="inlineStr">
        <is>
          <t>WOMENS</t>
        </is>
      </c>
      <c r="H2004" s="0" t="inlineStr">
        <is>
          <t>L</t>
        </is>
      </c>
      <c r="I2004" s="0">
        <v>64.99</v>
      </c>
      <c r="J2004" s="0">
        <v>0</v>
      </c>
    </row>
    <row r="2005" spans="1:10" customHeight="0">
      <c r="A2005" s="0">
        <f>HYPERLINK("https://dl.dropboxusercontent.com/scl/fi/9lpzt5v9h4n8aalwy6dmk/114022-af.jpg?rlkey=kaqisp3j31hk9jdux7291jpoa&amp;dl=0","Click to download Image")</f>
      </c>
      <c r="B2005" s="0">
        <f>HYPERLINK("https://dl.dropboxusercontent.com/scl/fi/g9w3ke4ykxpcina89452v/womens-jersey-size-chartsjordyn.jpg?rlkey=rnduxuhjhgm2vccqpphosgxl9&amp;dl=0","Click to download SizeChart")</f>
      </c>
      <c r="C2005" s="0" t="inlineStr">
        <is>
          <t>Ariel Women's Semi-Fitted Bike Jersey</t>
        </is>
      </c>
      <c r="D2005" s="0" t="inlineStr">
        <is>
          <t>'114022</t>
        </is>
      </c>
      <c r="E2005" s="0" t="inlineStr">
        <is>
          <t>ISU ARIEL CARDINAL:114022D-XL</t>
        </is>
      </c>
      <c r="F2005" s="0" t="inlineStr">
        <is>
          <t>'801114022076</t>
        </is>
      </c>
      <c r="G2005" s="0" t="inlineStr">
        <is>
          <t>WOMENS</t>
        </is>
      </c>
      <c r="H2005" s="0" t="inlineStr">
        <is>
          <t>XL</t>
        </is>
      </c>
      <c r="I2005" s="0">
        <v>64.99</v>
      </c>
      <c r="J2005" s="0">
        <v>3</v>
      </c>
    </row>
    <row r="2006" spans="1:10" customHeight="0">
      <c r="A2006" s="0">
        <f>HYPERLINK("https://dl.dropboxusercontent.com/scl/fi/9lpzt5v9h4n8aalwy6dmk/114022-af.jpg?rlkey=kaqisp3j31hk9jdux7291jpoa&amp;dl=0","Click to download Image")</f>
      </c>
      <c r="B2006" s="0">
        <f>HYPERLINK("https://dl.dropboxusercontent.com/scl/fi/g9w3ke4ykxpcina89452v/womens-jersey-size-chartsjordyn.jpg?rlkey=rnduxuhjhgm2vccqpphosgxl9&amp;dl=0","Click to download SizeChart")</f>
      </c>
      <c r="C2006" s="0" t="inlineStr">
        <is>
          <t>Ariel Women's Semi-Fitted Bike Jersey</t>
        </is>
      </c>
      <c r="D2006" s="0" t="inlineStr">
        <is>
          <t>'114022</t>
        </is>
      </c>
      <c r="E2006" s="0" t="inlineStr">
        <is>
          <t>ISU ARIEL CARDINAL:114022E-2XL</t>
        </is>
      </c>
      <c r="F2006" s="0" t="inlineStr">
        <is>
          <t>'801114022083</t>
        </is>
      </c>
      <c r="G2006" s="0" t="inlineStr">
        <is>
          <t>WOMENS</t>
        </is>
      </c>
      <c r="H2006" s="0" t="inlineStr">
        <is>
          <t>2XL</t>
        </is>
      </c>
      <c r="I2006" s="0">
        <v>64.99</v>
      </c>
      <c r="J2006" s="0">
        <v>2</v>
      </c>
    </row>
    <row r="2007" spans="1:10" customHeight="0">
      <c r="A2007" s="0">
        <f>HYPERLINK("https://dl.dropboxusercontent.com/scl/fi/9lpzt5v9h4n8aalwy6dmk/114022-af.jpg?rlkey=kaqisp3j31hk9jdux7291jpoa&amp;dl=0","Click to download Image")</f>
      </c>
      <c r="B2007" s="0">
        <f>HYPERLINK("https://dl.dropboxusercontent.com/scl/fi/g9w3ke4ykxpcina89452v/womens-jersey-size-chartsjordyn.jpg?rlkey=rnduxuhjhgm2vccqpphosgxl9&amp;dl=0","Click to download SizeChart")</f>
      </c>
      <c r="C2007" s="0" t="inlineStr">
        <is>
          <t>Ariel Women's Semi-Fitted Bike Jersey</t>
        </is>
      </c>
      <c r="D2007" s="0" t="inlineStr">
        <is>
          <t>'114022</t>
        </is>
      </c>
      <c r="E2007" s="0" t="inlineStr">
        <is>
          <t>ISU ARIEL CARDINAL:114022F-3XL</t>
        </is>
      </c>
      <c r="F2007" s="0" t="inlineStr">
        <is>
          <t>'801114022090</t>
        </is>
      </c>
      <c r="G2007" s="0" t="inlineStr">
        <is>
          <t>WOMENS</t>
        </is>
      </c>
      <c r="H2007" s="0" t="inlineStr">
        <is>
          <t>3XL</t>
        </is>
      </c>
      <c r="I2007" s="0">
        <v>64.99</v>
      </c>
      <c r="J2007" s="0">
        <v>4</v>
      </c>
    </row>
    <row r="2008" spans="1:10" customHeight="0">
      <c r="A2008" s="0">
        <f>HYPERLINK("https://dl.dropboxusercontent.com/scl/fi/9lpzt5v9h4n8aalwy6dmk/114022-af.jpg?rlkey=kaqisp3j31hk9jdux7291jpoa&amp;dl=0","Click to download Image")</f>
      </c>
      <c r="B2008" s="0">
        <f>HYPERLINK("https://dl.dropboxusercontent.com/scl/fi/g9w3ke4ykxpcina89452v/womens-jersey-size-chartsjordyn.jpg?rlkey=rnduxuhjhgm2vccqpphosgxl9&amp;dl=0","Click to download SizeChart")</f>
      </c>
      <c r="C2008" s="0" t="inlineStr">
        <is>
          <t>Ariel Women's Semi-Fitted Bike Jersey</t>
        </is>
      </c>
      <c r="D2008" s="0" t="inlineStr">
        <is>
          <t>'114022</t>
        </is>
      </c>
      <c r="E2008" s="0" t="inlineStr">
        <is>
          <t>ISU ARIEL CARDINAL 12 PACK:114022Z-12PK</t>
        </is>
      </c>
      <c r="F2008" s="0" t="inlineStr">
        <is>
          <t>'801114022991</t>
        </is>
      </c>
      <c r="G2008" s="0" t="inlineStr">
        <is>
          <t>WOMENS</t>
        </is>
      </c>
      <c r="H2008" s="0" t="inlineStr">
        <is>
          <t>12 PACK</t>
        </is>
      </c>
      <c r="I2008" s="0">
        <v>64.99</v>
      </c>
      <c r="J2008" s="0">
        <v>0</v>
      </c>
    </row>
    <row r="2009" spans="1:10" customHeight="0">
      <c r="A2009" s="0">
        <f>HYPERLINK("https://dl.dropboxusercontent.com/scl/fi/q5s86464ekqvyivl394fm/113290-f.jpg?rlkey=44ccmn4f30qvlfoezyqzlmhmf&amp;dl=0","Click to download Image")</f>
      </c>
      <c r="B2009" s="0">
        <f>HYPERLINK("https://dl.dropboxusercontent.com/scl/fi/kh014be67fh5lntz4b4p6/graphic-update22022-youth.jpg?rlkey=xmal0n30p4c7lwm33yyz2dazy&amp;dl=0","Click to download SizeChart")</f>
      </c>
      <c r="C2009" s="0" t="inlineStr">
        <is>
          <t>Saylor Youth Girls Military Jacket</t>
        </is>
      </c>
      <c r="D2009" s="0" t="inlineStr">
        <is>
          <t>'113290</t>
        </is>
      </c>
      <c r="E2009" s="0" t="inlineStr">
        <is>
          <t>ISU SAYLOR Y CARDINAL:113290B-YS</t>
        </is>
      </c>
      <c r="F2009" s="0" t="inlineStr">
        <is>
          <t>'801113290018</t>
        </is>
      </c>
      <c r="G2009" s="0" t="inlineStr">
        <is>
          <t>YOUTH</t>
        </is>
      </c>
      <c r="H2009" s="0" t="inlineStr">
        <is>
          <t>YS</t>
        </is>
      </c>
      <c r="I2009" s="0">
        <v>49.99</v>
      </c>
      <c r="J2009" s="0">
        <v>4</v>
      </c>
    </row>
    <row r="2010" spans="1:10" customHeight="0">
      <c r="A2010" s="0">
        <f>HYPERLINK("https://dl.dropboxusercontent.com/scl/fi/q5s86464ekqvyivl394fm/113290-f.jpg?rlkey=44ccmn4f30qvlfoezyqzlmhmf&amp;dl=0","Click to download Image")</f>
      </c>
      <c r="B2010" s="0">
        <f>HYPERLINK("https://dl.dropboxusercontent.com/scl/fi/kh014be67fh5lntz4b4p6/graphic-update22022-youth.jpg?rlkey=xmal0n30p4c7lwm33yyz2dazy&amp;dl=0","Click to download SizeChart")</f>
      </c>
      <c r="C2010" s="0" t="inlineStr">
        <is>
          <t>Saylor Youth Girls Military Jacket</t>
        </is>
      </c>
      <c r="D2010" s="0" t="inlineStr">
        <is>
          <t>'113290</t>
        </is>
      </c>
      <c r="E2010" s="0" t="inlineStr">
        <is>
          <t>ISU SAYLOR Y CARDINAL:113290C-YM</t>
        </is>
      </c>
      <c r="F2010" s="0" t="inlineStr">
        <is>
          <t>'801113290025</t>
        </is>
      </c>
      <c r="G2010" s="0" t="inlineStr">
        <is>
          <t>YOUTH</t>
        </is>
      </c>
      <c r="H2010" s="0" t="inlineStr">
        <is>
          <t>YM</t>
        </is>
      </c>
      <c r="I2010" s="0">
        <v>49.99</v>
      </c>
      <c r="J2010" s="0">
        <v>5</v>
      </c>
    </row>
    <row r="2011" spans="1:10" customHeight="0">
      <c r="A2011" s="0">
        <f>HYPERLINK("https://dl.dropboxusercontent.com/scl/fi/q5s86464ekqvyivl394fm/113290-f.jpg?rlkey=44ccmn4f30qvlfoezyqzlmhmf&amp;dl=0","Click to download Image")</f>
      </c>
      <c r="B2011" s="0">
        <f>HYPERLINK("https://dl.dropboxusercontent.com/scl/fi/kh014be67fh5lntz4b4p6/graphic-update22022-youth.jpg?rlkey=xmal0n30p4c7lwm33yyz2dazy&amp;dl=0","Click to download SizeChart")</f>
      </c>
      <c r="C2011" s="0" t="inlineStr">
        <is>
          <t>Saylor Youth Girls Military Jacket</t>
        </is>
      </c>
      <c r="D2011" s="0" t="inlineStr">
        <is>
          <t>'113290</t>
        </is>
      </c>
      <c r="E2011" s="0" t="inlineStr">
        <is>
          <t>ISU SAYLOR Y CARDINAL:113290D-YL</t>
        </is>
      </c>
      <c r="F2011" s="0" t="inlineStr">
        <is>
          <t>'801113290032</t>
        </is>
      </c>
      <c r="G2011" s="0" t="inlineStr">
        <is>
          <t>YOUTH</t>
        </is>
      </c>
      <c r="H2011" s="0" t="inlineStr">
        <is>
          <t>YL</t>
        </is>
      </c>
      <c r="I2011" s="0">
        <v>49.99</v>
      </c>
      <c r="J2011" s="0">
        <v>5</v>
      </c>
    </row>
    <row r="2012" spans="1:10" customHeight="0">
      <c r="A2012" s="0">
        <f>HYPERLINK("https://dl.dropboxusercontent.com/scl/fi/q5s86464ekqvyivl394fm/113290-f.jpg?rlkey=44ccmn4f30qvlfoezyqzlmhmf&amp;dl=0","Click to download Image")</f>
      </c>
      <c r="B2012" s="0">
        <f>HYPERLINK("https://dl.dropboxusercontent.com/scl/fi/kh014be67fh5lntz4b4p6/graphic-update22022-youth.jpg?rlkey=xmal0n30p4c7lwm33yyz2dazy&amp;dl=0","Click to download SizeChart")</f>
      </c>
      <c r="C2012" s="0" t="inlineStr">
        <is>
          <t>Saylor Youth Girls Military Jacket</t>
        </is>
      </c>
      <c r="D2012" s="0" t="inlineStr">
        <is>
          <t>'113290</t>
        </is>
      </c>
      <c r="E2012" s="0" t="inlineStr">
        <is>
          <t>ISU SAYLOR Y CARDINAL:113290E-YXL</t>
        </is>
      </c>
      <c r="F2012" s="0" t="inlineStr">
        <is>
          <t>'801113290049</t>
        </is>
      </c>
      <c r="G2012" s="0" t="inlineStr">
        <is>
          <t>YOUTH</t>
        </is>
      </c>
      <c r="H2012" s="0" t="inlineStr">
        <is>
          <t>YXL</t>
        </is>
      </c>
      <c r="I2012" s="0">
        <v>49.99</v>
      </c>
      <c r="J2012" s="0">
        <v>5</v>
      </c>
    </row>
    <row r="2013" spans="1:10" customHeight="0">
      <c r="A2013" s="0">
        <f>HYPERLINK("https://dl.dropboxusercontent.com/scl/fi/q5s86464ekqvyivl394fm/113290-f.jpg?rlkey=44ccmn4f30qvlfoezyqzlmhmf&amp;dl=0","Click to download Image")</f>
      </c>
      <c r="B2013" s="0">
        <f>HYPERLINK("https://dl.dropboxusercontent.com/scl/fi/kh014be67fh5lntz4b4p6/graphic-update22022-youth.jpg?rlkey=xmal0n30p4c7lwm33yyz2dazy&amp;dl=0","Click to download SizeChart")</f>
      </c>
      <c r="C2013" s="0" t="inlineStr">
        <is>
          <t>Saylor Youth Girls Military Jacket</t>
        </is>
      </c>
      <c r="D2013" s="0" t="inlineStr">
        <is>
          <t>'113290</t>
        </is>
      </c>
      <c r="E2013" s="0" t="inlineStr">
        <is>
          <t>ISU SAYLOR Y CARDINAL 12PK:113290Z-12PK</t>
        </is>
      </c>
      <c r="F2013" s="0" t="inlineStr">
        <is>
          <t>'801113290995</t>
        </is>
      </c>
      <c r="G2013" s="0" t="inlineStr">
        <is>
          <t>YOUTH</t>
        </is>
      </c>
      <c r="H2013" s="0" t="inlineStr">
        <is>
          <t>12 PACK</t>
        </is>
      </c>
      <c r="I2013" s="0">
        <v>480</v>
      </c>
      <c r="J2013" s="0">
        <v>1</v>
      </c>
    </row>
    <row r="2014" spans="1:10" customHeight="0">
      <c r="A2014" s="0">
        <f>HYPERLINK("https://dl.dropboxusercontent.com/scl/fi/wfca1afdl27yw6tt0hka9/113289-f.jpg?rlkey=vt1c8a6hh52js7q35nmdu7s80&amp;dl=0","Click to download Image")</f>
      </c>
      <c r="B2014" s="0">
        <f>HYPERLINK("https://dl.dropboxusercontent.com/scl/fi/kh014be67fh5lntz4b4p6/graphic-update22022-youth.jpg?rlkey=xmal0n30p4c7lwm33yyz2dazy&amp;dl=0","Click to download SizeChart")</f>
      </c>
      <c r="C2014" s="0" t="inlineStr">
        <is>
          <t>Saylor Youth Girls Military Jacket</t>
        </is>
      </c>
      <c r="D2014" s="0" t="inlineStr">
        <is>
          <t>'113289</t>
        </is>
      </c>
      <c r="E2014" s="0" t="inlineStr">
        <is>
          <t>IOWA SAYLOR Y GOLD:113289B-YS</t>
        </is>
      </c>
      <c r="F2014" s="0" t="inlineStr">
        <is>
          <t>'800113289015</t>
        </is>
      </c>
      <c r="G2014" s="0" t="inlineStr">
        <is>
          <t>YOUTH</t>
        </is>
      </c>
      <c r="H2014" s="0" t="inlineStr">
        <is>
          <t>YS</t>
        </is>
      </c>
      <c r="I2014" s="0">
        <v>49.99</v>
      </c>
      <c r="J2014" s="0">
        <v>12</v>
      </c>
    </row>
    <row r="2015" spans="1:10" customHeight="0">
      <c r="A2015" s="0">
        <f>HYPERLINK("https://dl.dropboxusercontent.com/scl/fi/wfca1afdl27yw6tt0hka9/113289-f.jpg?rlkey=vt1c8a6hh52js7q35nmdu7s80&amp;dl=0","Click to download Image")</f>
      </c>
      <c r="B2015" s="0">
        <f>HYPERLINK("https://dl.dropboxusercontent.com/scl/fi/kh014be67fh5lntz4b4p6/graphic-update22022-youth.jpg?rlkey=xmal0n30p4c7lwm33yyz2dazy&amp;dl=0","Click to download SizeChart")</f>
      </c>
      <c r="C2015" s="0" t="inlineStr">
        <is>
          <t>Saylor Youth Girls Military Jacket</t>
        </is>
      </c>
      <c r="D2015" s="0" t="inlineStr">
        <is>
          <t>'113289</t>
        </is>
      </c>
      <c r="E2015" s="0" t="inlineStr">
        <is>
          <t>IOWA SAYLOR Y GOLD:113289C-YM</t>
        </is>
      </c>
      <c r="F2015" s="0" t="inlineStr">
        <is>
          <t>'800113289022</t>
        </is>
      </c>
      <c r="G2015" s="0" t="inlineStr">
        <is>
          <t>YOUTH</t>
        </is>
      </c>
      <c r="H2015" s="0" t="inlineStr">
        <is>
          <t>YM</t>
        </is>
      </c>
      <c r="I2015" s="0">
        <v>49.99</v>
      </c>
      <c r="J2015" s="0">
        <v>12</v>
      </c>
    </row>
    <row r="2016" spans="1:10" customHeight="0">
      <c r="A2016" s="0">
        <f>HYPERLINK("https://dl.dropboxusercontent.com/scl/fi/wfca1afdl27yw6tt0hka9/113289-f.jpg?rlkey=vt1c8a6hh52js7q35nmdu7s80&amp;dl=0","Click to download Image")</f>
      </c>
      <c r="B2016" s="0">
        <f>HYPERLINK("https://dl.dropboxusercontent.com/scl/fi/kh014be67fh5lntz4b4p6/graphic-update22022-youth.jpg?rlkey=xmal0n30p4c7lwm33yyz2dazy&amp;dl=0","Click to download SizeChart")</f>
      </c>
      <c r="C2016" s="0" t="inlineStr">
        <is>
          <t>Saylor Youth Girls Military Jacket</t>
        </is>
      </c>
      <c r="D2016" s="0" t="inlineStr">
        <is>
          <t>'113289</t>
        </is>
      </c>
      <c r="E2016" s="0" t="inlineStr">
        <is>
          <t>IOWA SAYLOR Y GOLD:113289D-YL</t>
        </is>
      </c>
      <c r="F2016" s="0" t="inlineStr">
        <is>
          <t>'800113289039</t>
        </is>
      </c>
      <c r="G2016" s="0" t="inlineStr">
        <is>
          <t>YOUTH</t>
        </is>
      </c>
      <c r="H2016" s="0" t="inlineStr">
        <is>
          <t>YL</t>
        </is>
      </c>
      <c r="I2016" s="0">
        <v>49.99</v>
      </c>
      <c r="J2016" s="0">
        <v>11</v>
      </c>
    </row>
    <row r="2017" spans="1:10" customHeight="0">
      <c r="A2017" s="0">
        <f>HYPERLINK("https://dl.dropboxusercontent.com/scl/fi/wfca1afdl27yw6tt0hka9/113289-f.jpg?rlkey=vt1c8a6hh52js7q35nmdu7s80&amp;dl=0","Click to download Image")</f>
      </c>
      <c r="B2017" s="0">
        <f>HYPERLINK("https://dl.dropboxusercontent.com/scl/fi/kh014be67fh5lntz4b4p6/graphic-update22022-youth.jpg?rlkey=xmal0n30p4c7lwm33yyz2dazy&amp;dl=0","Click to download SizeChart")</f>
      </c>
      <c r="C2017" s="0" t="inlineStr">
        <is>
          <t>Saylor Youth Girls Military Jacket</t>
        </is>
      </c>
      <c r="D2017" s="0" t="inlineStr">
        <is>
          <t>'113289</t>
        </is>
      </c>
      <c r="E2017" s="0" t="inlineStr">
        <is>
          <t>IOWA SAYLOR Y GOLD:113289E-YXL</t>
        </is>
      </c>
      <c r="F2017" s="0" t="inlineStr">
        <is>
          <t>'800113289046</t>
        </is>
      </c>
      <c r="G2017" s="0" t="inlineStr">
        <is>
          <t>YOUTH</t>
        </is>
      </c>
      <c r="H2017" s="0" t="inlineStr">
        <is>
          <t>YXL</t>
        </is>
      </c>
      <c r="I2017" s="0">
        <v>49.99</v>
      </c>
      <c r="J2017" s="0">
        <v>12</v>
      </c>
    </row>
    <row r="2018" spans="1:10" customHeight="0">
      <c r="A2018" s="0">
        <f>HYPERLINK("https://dl.dropboxusercontent.com/scl/fi/wfca1afdl27yw6tt0hka9/113289-f.jpg?rlkey=vt1c8a6hh52js7q35nmdu7s80&amp;dl=0","Click to download Image")</f>
      </c>
      <c r="B2018" s="0">
        <f>HYPERLINK("https://dl.dropboxusercontent.com/scl/fi/kh014be67fh5lntz4b4p6/graphic-update22022-youth.jpg?rlkey=xmal0n30p4c7lwm33yyz2dazy&amp;dl=0","Click to download SizeChart")</f>
      </c>
      <c r="C2018" s="0" t="inlineStr">
        <is>
          <t>Saylor Youth Girls Military Jacket</t>
        </is>
      </c>
      <c r="D2018" s="0" t="inlineStr">
        <is>
          <t>'113289</t>
        </is>
      </c>
      <c r="E2018" s="0" t="inlineStr">
        <is>
          <t>IOWA SAYLOR Y GOLD 12PK:113289Z-12PK</t>
        </is>
      </c>
      <c r="F2018" s="0" t="inlineStr">
        <is>
          <t>'800113289992</t>
        </is>
      </c>
      <c r="G2018" s="0" t="inlineStr">
        <is>
          <t>YOUTH</t>
        </is>
      </c>
      <c r="H2018" s="0" t="inlineStr">
        <is>
          <t>12 PACK</t>
        </is>
      </c>
      <c r="I2018" s="0">
        <v>480</v>
      </c>
      <c r="J2018" s="0">
        <v>3</v>
      </c>
    </row>
    <row r="2019" spans="1:10" customHeight="0">
      <c r="A2019" s="0">
        <f>HYPERLINK("https://dl.dropboxusercontent.com/scl/fi/2a7ktgwv9q8ggluw7nann/123504-f.jpg?rlkey=e80xc67fyi26mye5sj2jd9gn9&amp;dl=0","Click to download Image")</f>
      </c>
      <c r="B2019" s="0">
        <f>HYPERLINK("https://dl.dropboxusercontent.com/scl/fi/kh014be67fh5lntz4b4p6/graphic-update22022-youth.jpg?rlkey=xmal0n30p4c7lwm33yyz2dazy&amp;dl=0","Click to download SizeChart")</f>
      </c>
      <c r="C2019" s="0" t="inlineStr">
        <is>
          <t>Saylor Youth Girls Military Jacket</t>
        </is>
      </c>
      <c r="D2019" s="0" t="inlineStr">
        <is>
          <t>'123504</t>
        </is>
      </c>
      <c r="E2019" s="0" t="inlineStr">
        <is>
          <t>UNI SAYLOR Y GY:123504B-YS</t>
        </is>
      </c>
      <c r="F2019" s="0" t="inlineStr">
        <is>
          <t>'802123504010</t>
        </is>
      </c>
      <c r="G2019" s="0" t="inlineStr">
        <is>
          <t>YOUTH</t>
        </is>
      </c>
      <c r="H2019" s="0" t="inlineStr">
        <is>
          <t>YS</t>
        </is>
      </c>
      <c r="I2019" s="0">
        <v>49.99</v>
      </c>
      <c r="J2019" s="0">
        <v>6</v>
      </c>
    </row>
    <row r="2020" spans="1:10" customHeight="0">
      <c r="A2020" s="0">
        <f>HYPERLINK("https://dl.dropboxusercontent.com/scl/fi/2a7ktgwv9q8ggluw7nann/123504-f.jpg?rlkey=e80xc67fyi26mye5sj2jd9gn9&amp;dl=0","Click to download Image")</f>
      </c>
      <c r="B2020" s="0">
        <f>HYPERLINK("https://dl.dropboxusercontent.com/scl/fi/kh014be67fh5lntz4b4p6/graphic-update22022-youth.jpg?rlkey=xmal0n30p4c7lwm33yyz2dazy&amp;dl=0","Click to download SizeChart")</f>
      </c>
      <c r="C2020" s="0" t="inlineStr">
        <is>
          <t>Saylor Youth Girls Military Jacket</t>
        </is>
      </c>
      <c r="D2020" s="0" t="inlineStr">
        <is>
          <t>'123504</t>
        </is>
      </c>
      <c r="E2020" s="0" t="inlineStr">
        <is>
          <t>UNI SAYLOR Y GY:123504C-YM</t>
        </is>
      </c>
      <c r="F2020" s="0" t="inlineStr">
        <is>
          <t>'802123504027</t>
        </is>
      </c>
      <c r="G2020" s="0" t="inlineStr">
        <is>
          <t>YOUTH</t>
        </is>
      </c>
      <c r="H2020" s="0" t="inlineStr">
        <is>
          <t>YM</t>
        </is>
      </c>
      <c r="I2020" s="0">
        <v>49.99</v>
      </c>
      <c r="J2020" s="0">
        <v>5</v>
      </c>
    </row>
    <row r="2021" spans="1:10" customHeight="0">
      <c r="A2021" s="0">
        <f>HYPERLINK("https://dl.dropboxusercontent.com/scl/fi/2a7ktgwv9q8ggluw7nann/123504-f.jpg?rlkey=e80xc67fyi26mye5sj2jd9gn9&amp;dl=0","Click to download Image")</f>
      </c>
      <c r="B2021" s="0">
        <f>HYPERLINK("https://dl.dropboxusercontent.com/scl/fi/kh014be67fh5lntz4b4p6/graphic-update22022-youth.jpg?rlkey=xmal0n30p4c7lwm33yyz2dazy&amp;dl=0","Click to download SizeChart")</f>
      </c>
      <c r="C2021" s="0" t="inlineStr">
        <is>
          <t>Saylor Youth Girls Military Jacket</t>
        </is>
      </c>
      <c r="D2021" s="0" t="inlineStr">
        <is>
          <t>'123504</t>
        </is>
      </c>
      <c r="E2021" s="0" t="inlineStr">
        <is>
          <t>UNI SAYLOR Y GY:123504D-YL</t>
        </is>
      </c>
      <c r="F2021" s="0" t="inlineStr">
        <is>
          <t>'802123504034</t>
        </is>
      </c>
      <c r="G2021" s="0" t="inlineStr">
        <is>
          <t>YOUTH</t>
        </is>
      </c>
      <c r="H2021" s="0" t="inlineStr">
        <is>
          <t>YL</t>
        </is>
      </c>
      <c r="I2021" s="0">
        <v>49.99</v>
      </c>
      <c r="J2021" s="0">
        <v>6</v>
      </c>
    </row>
    <row r="2022" spans="1:10" customHeight="0">
      <c r="A2022" s="0">
        <f>HYPERLINK("https://dl.dropboxusercontent.com/scl/fi/2a7ktgwv9q8ggluw7nann/123504-f.jpg?rlkey=e80xc67fyi26mye5sj2jd9gn9&amp;dl=0","Click to download Image")</f>
      </c>
      <c r="B2022" s="0">
        <f>HYPERLINK("https://dl.dropboxusercontent.com/scl/fi/kh014be67fh5lntz4b4p6/graphic-update22022-youth.jpg?rlkey=xmal0n30p4c7lwm33yyz2dazy&amp;dl=0","Click to download SizeChart")</f>
      </c>
      <c r="C2022" s="0" t="inlineStr">
        <is>
          <t>Saylor Youth Girls Military Jacket</t>
        </is>
      </c>
      <c r="D2022" s="0" t="inlineStr">
        <is>
          <t>'123504</t>
        </is>
      </c>
      <c r="E2022" s="0" t="inlineStr">
        <is>
          <t>UNI SAYLOR Y GY:123504E-YXL</t>
        </is>
      </c>
      <c r="F2022" s="0" t="inlineStr">
        <is>
          <t>'802123504041</t>
        </is>
      </c>
      <c r="G2022" s="0" t="inlineStr">
        <is>
          <t>YOUTH</t>
        </is>
      </c>
      <c r="H2022" s="0" t="inlineStr">
        <is>
          <t>YXL</t>
        </is>
      </c>
      <c r="I2022" s="0">
        <v>49.99</v>
      </c>
      <c r="J2022" s="0">
        <v>6</v>
      </c>
    </row>
    <row r="2023" spans="1:10" customHeight="0">
      <c r="A2023" s="0">
        <f>HYPERLINK("https://dl.dropboxusercontent.com/scl/fi/2a7ktgwv9q8ggluw7nann/123504-f.jpg?rlkey=e80xc67fyi26mye5sj2jd9gn9&amp;dl=0","Click to download Image")</f>
      </c>
      <c r="B2023" s="0">
        <f>HYPERLINK("https://dl.dropboxusercontent.com/scl/fi/kh014be67fh5lntz4b4p6/graphic-update22022-youth.jpg?rlkey=xmal0n30p4c7lwm33yyz2dazy&amp;dl=0","Click to download SizeChart")</f>
      </c>
      <c r="C2023" s="0" t="inlineStr">
        <is>
          <t>Saylor Youth Girls Military Jacket</t>
        </is>
      </c>
      <c r="D2023" s="0" t="inlineStr">
        <is>
          <t>'123504</t>
        </is>
      </c>
      <c r="E2023" s="0" t="inlineStr">
        <is>
          <t>UNI SAYLOR Y GY 12PK:123504Z-12PK</t>
        </is>
      </c>
      <c r="F2023" s="0" t="inlineStr">
        <is>
          <t>'802123504997</t>
        </is>
      </c>
      <c r="G2023" s="0" t="inlineStr">
        <is>
          <t>YOUTH</t>
        </is>
      </c>
      <c r="H2023" s="0" t="inlineStr">
        <is>
          <t>12 PACK</t>
        </is>
      </c>
      <c r="I2023" s="0">
        <v>480</v>
      </c>
      <c r="J2023" s="0">
        <v>2</v>
      </c>
    </row>
    <row r="2024" spans="1:10" customHeight="0">
      <c r="A2024" s="0">
        <f>HYPERLINK("https://dl.dropboxusercontent.com/scl/fi/c6f24fyjuqlxibt4et1kj/113290-f.jpg?rlkey=e6mzl3hrzgedllau5vaxgmpby&amp;dl=0","Click to download Image")</f>
      </c>
      <c r="B2024" s="0">
        <f>HYPERLINK("https://dl.dropboxusercontent.com/scl/fi/2j6fgrfif0u87fcc1vdnt/graphic-update22022-toddler.jpg?rlkey=m3l424beljc3upsggg40fnrd1&amp;dl=0","Click to download SizeChart")</f>
      </c>
      <c r="C2024" s="0" t="inlineStr">
        <is>
          <t>Saylor Toddler Girls Military Jacket</t>
        </is>
      </c>
      <c r="D2024" s="0" t="inlineStr">
        <is>
          <t>'114847</t>
        </is>
      </c>
      <c r="E2024" s="0" t="inlineStr">
        <is>
          <t>ISU SAYLOR T GY:114847A-2T</t>
        </is>
      </c>
      <c r="F2024" s="0" t="inlineStr">
        <is>
          <t>'801114847082</t>
        </is>
      </c>
      <c r="G2024" s="0" t="inlineStr">
        <is>
          <t>TODDLER</t>
        </is>
      </c>
      <c r="H2024" s="0" t="inlineStr">
        <is>
          <t>2T</t>
        </is>
      </c>
      <c r="I2024" s="0">
        <v>49.99</v>
      </c>
      <c r="J2024" s="0">
        <v>5</v>
      </c>
    </row>
    <row r="2025" spans="1:10" customHeight="0">
      <c r="A2025" s="0">
        <f>HYPERLINK("https://dl.dropboxusercontent.com/scl/fi/c6f24fyjuqlxibt4et1kj/113290-f.jpg?rlkey=e6mzl3hrzgedllau5vaxgmpby&amp;dl=0","Click to download Image")</f>
      </c>
      <c r="B2025" s="0">
        <f>HYPERLINK("https://dl.dropboxusercontent.com/scl/fi/2j6fgrfif0u87fcc1vdnt/graphic-update22022-toddler.jpg?rlkey=m3l424beljc3upsggg40fnrd1&amp;dl=0","Click to download SizeChart")</f>
      </c>
      <c r="C2025" s="0" t="inlineStr">
        <is>
          <t>Saylor Toddler Girls Military Jacket</t>
        </is>
      </c>
      <c r="D2025" s="0" t="inlineStr">
        <is>
          <t>'114847</t>
        </is>
      </c>
      <c r="E2025" s="0" t="inlineStr">
        <is>
          <t>ISU SAYLOR T GY:114847B-3T</t>
        </is>
      </c>
      <c r="F2025" s="0" t="inlineStr">
        <is>
          <t>'801114847099</t>
        </is>
      </c>
      <c r="G2025" s="0" t="inlineStr">
        <is>
          <t>TODDLER</t>
        </is>
      </c>
      <c r="H2025" s="0" t="inlineStr">
        <is>
          <t>3T</t>
        </is>
      </c>
      <c r="I2025" s="0">
        <v>49.99</v>
      </c>
      <c r="J2025" s="0">
        <v>7</v>
      </c>
    </row>
    <row r="2026" spans="1:10" customHeight="0">
      <c r="A2026" s="0">
        <f>HYPERLINK("https://dl.dropboxusercontent.com/scl/fi/c6f24fyjuqlxibt4et1kj/113290-f.jpg?rlkey=e6mzl3hrzgedllau5vaxgmpby&amp;dl=0","Click to download Image")</f>
      </c>
      <c r="B2026" s="0">
        <f>HYPERLINK("https://dl.dropboxusercontent.com/scl/fi/2j6fgrfif0u87fcc1vdnt/graphic-update22022-toddler.jpg?rlkey=m3l424beljc3upsggg40fnrd1&amp;dl=0","Click to download SizeChart")</f>
      </c>
      <c r="C2026" s="0" t="inlineStr">
        <is>
          <t>Saylor Toddler Girls Military Jacket</t>
        </is>
      </c>
      <c r="D2026" s="0" t="inlineStr">
        <is>
          <t>'114847</t>
        </is>
      </c>
      <c r="E2026" s="0" t="inlineStr">
        <is>
          <t>ISU SAYLOR T GY:114847C-4T</t>
        </is>
      </c>
      <c r="F2026" s="0" t="inlineStr">
        <is>
          <t>'801114847105</t>
        </is>
      </c>
      <c r="G2026" s="0" t="inlineStr">
        <is>
          <t>TODDLER</t>
        </is>
      </c>
      <c r="H2026" s="0" t="inlineStr">
        <is>
          <t>4T</t>
        </is>
      </c>
      <c r="I2026" s="0">
        <v>49.99</v>
      </c>
      <c r="J2026" s="0">
        <v>7</v>
      </c>
    </row>
    <row r="2027" spans="1:10" customHeight="0">
      <c r="A2027" s="0">
        <f>HYPERLINK("https://dl.dropboxusercontent.com/scl/fi/c6f24fyjuqlxibt4et1kj/113290-f.jpg?rlkey=e6mzl3hrzgedllau5vaxgmpby&amp;dl=0","Click to download Image")</f>
      </c>
      <c r="B2027" s="0">
        <f>HYPERLINK("https://dl.dropboxusercontent.com/scl/fi/2j6fgrfif0u87fcc1vdnt/graphic-update22022-toddler.jpg?rlkey=m3l424beljc3upsggg40fnrd1&amp;dl=0","Click to download SizeChart")</f>
      </c>
      <c r="C2027" s="0" t="inlineStr">
        <is>
          <t>Saylor Toddler Girls Military Jacket</t>
        </is>
      </c>
      <c r="D2027" s="0" t="inlineStr">
        <is>
          <t>'114847</t>
        </is>
      </c>
      <c r="E2027" s="0" t="inlineStr">
        <is>
          <t>ISU SAYLOR T GY:114847D-5T</t>
        </is>
      </c>
      <c r="F2027" s="0" t="inlineStr">
        <is>
          <t>'801114847112</t>
        </is>
      </c>
      <c r="G2027" s="0" t="inlineStr">
        <is>
          <t>TODDLER</t>
        </is>
      </c>
      <c r="H2027" s="0" t="inlineStr">
        <is>
          <t>5T</t>
        </is>
      </c>
      <c r="I2027" s="0">
        <v>49.99</v>
      </c>
      <c r="J2027" s="0">
        <v>8</v>
      </c>
    </row>
    <row r="2028" spans="1:10" customHeight="0">
      <c r="A2028" s="0">
        <f>HYPERLINK("https://dl.dropboxusercontent.com/scl/fi/c6f24fyjuqlxibt4et1kj/113290-f.jpg?rlkey=e6mzl3hrzgedllau5vaxgmpby&amp;dl=0","Click to download Image")</f>
      </c>
      <c r="B2028" s="0">
        <f>HYPERLINK("https://dl.dropboxusercontent.com/scl/fi/2j6fgrfif0u87fcc1vdnt/graphic-update22022-toddler.jpg?rlkey=m3l424beljc3upsggg40fnrd1&amp;dl=0","Click to download SizeChart")</f>
      </c>
      <c r="C2028" s="0" t="inlineStr">
        <is>
          <t>Saylor Toddler Girls Military Jacket</t>
        </is>
      </c>
      <c r="D2028" s="0" t="inlineStr">
        <is>
          <t>'114847</t>
        </is>
      </c>
      <c r="E2028" s="0" t="inlineStr">
        <is>
          <t>ISU SAYLOR T GY 12PK:114847Z-12PK</t>
        </is>
      </c>
      <c r="F2028" s="0" t="inlineStr">
        <is>
          <t>'801114847990</t>
        </is>
      </c>
      <c r="G2028" s="0" t="inlineStr">
        <is>
          <t>TODDLER</t>
        </is>
      </c>
      <c r="H2028" s="0" t="inlineStr">
        <is>
          <t>12 PACK</t>
        </is>
      </c>
      <c r="I2028" s="0">
        <v>480</v>
      </c>
      <c r="J2028" s="0">
        <v>1</v>
      </c>
    </row>
    <row r="2029" spans="1:10" customHeight="0">
      <c r="A2029" s="0">
        <f>HYPERLINK("https://dl.dropboxusercontent.com/scl/fi/pss6pdntxrnjqq9wi059q/113289-f.jpg?rlkey=ypo781b1qwllamrk477q8ocus&amp;dl=0","Click to download Image")</f>
      </c>
      <c r="B2029" s="0">
        <f>HYPERLINK("https://dl.dropboxusercontent.com/scl/fi/2j6fgrfif0u87fcc1vdnt/graphic-update22022-toddler.jpg?rlkey=m3l424beljc3upsggg40fnrd1&amp;dl=0","Click to download SizeChart")</f>
      </c>
      <c r="C2029" s="0" t="inlineStr">
        <is>
          <t>Saylor Toddler Girls Military Jacket</t>
        </is>
      </c>
      <c r="D2029" s="0" t="inlineStr">
        <is>
          <t>'114848</t>
        </is>
      </c>
      <c r="E2029" s="0" t="inlineStr">
        <is>
          <t>IOWA SAYLOR T GY:114848A-2T</t>
        </is>
      </c>
      <c r="F2029" s="0" t="inlineStr">
        <is>
          <t>'800114848082</t>
        </is>
      </c>
      <c r="G2029" s="0" t="inlineStr">
        <is>
          <t>TODDLER</t>
        </is>
      </c>
      <c r="H2029" s="0" t="inlineStr">
        <is>
          <t>2T</t>
        </is>
      </c>
      <c r="I2029" s="0">
        <v>49.99</v>
      </c>
      <c r="J2029" s="0">
        <v>12</v>
      </c>
    </row>
    <row r="2030" spans="1:10" customHeight="0">
      <c r="A2030" s="0">
        <f>HYPERLINK("https://dl.dropboxusercontent.com/scl/fi/pss6pdntxrnjqq9wi059q/113289-f.jpg?rlkey=ypo781b1qwllamrk477q8ocus&amp;dl=0","Click to download Image")</f>
      </c>
      <c r="B2030" s="0">
        <f>HYPERLINK("https://dl.dropboxusercontent.com/scl/fi/2j6fgrfif0u87fcc1vdnt/graphic-update22022-toddler.jpg?rlkey=m3l424beljc3upsggg40fnrd1&amp;dl=0","Click to download SizeChart")</f>
      </c>
      <c r="C2030" s="0" t="inlineStr">
        <is>
          <t>Saylor Toddler Girls Military Jacket</t>
        </is>
      </c>
      <c r="D2030" s="0" t="inlineStr">
        <is>
          <t>'114848</t>
        </is>
      </c>
      <c r="E2030" s="0" t="inlineStr">
        <is>
          <t>IOWA SAYLOR T GY:114848B-3T</t>
        </is>
      </c>
      <c r="F2030" s="0" t="inlineStr">
        <is>
          <t>'800114848099</t>
        </is>
      </c>
      <c r="G2030" s="0" t="inlineStr">
        <is>
          <t>TODDLER</t>
        </is>
      </c>
      <c r="H2030" s="0" t="inlineStr">
        <is>
          <t>3T</t>
        </is>
      </c>
      <c r="I2030" s="0">
        <v>49.99</v>
      </c>
      <c r="J2030" s="0">
        <v>12</v>
      </c>
    </row>
    <row r="2031" spans="1:10" customHeight="0">
      <c r="A2031" s="0">
        <f>HYPERLINK("https://dl.dropboxusercontent.com/scl/fi/pss6pdntxrnjqq9wi059q/113289-f.jpg?rlkey=ypo781b1qwllamrk477q8ocus&amp;dl=0","Click to download Image")</f>
      </c>
      <c r="B2031" s="0">
        <f>HYPERLINK("https://dl.dropboxusercontent.com/scl/fi/2j6fgrfif0u87fcc1vdnt/graphic-update22022-toddler.jpg?rlkey=m3l424beljc3upsggg40fnrd1&amp;dl=0","Click to download SizeChart")</f>
      </c>
      <c r="C2031" s="0" t="inlineStr">
        <is>
          <t>Saylor Toddler Girls Military Jacket</t>
        </is>
      </c>
      <c r="D2031" s="0" t="inlineStr">
        <is>
          <t>'114848</t>
        </is>
      </c>
      <c r="E2031" s="0" t="inlineStr">
        <is>
          <t>IOWA SAYLOR T GY:114848C-4T</t>
        </is>
      </c>
      <c r="F2031" s="0" t="inlineStr">
        <is>
          <t>'800114848105</t>
        </is>
      </c>
      <c r="G2031" s="0" t="inlineStr">
        <is>
          <t>TODDLER</t>
        </is>
      </c>
      <c r="H2031" s="0" t="inlineStr">
        <is>
          <t>4T</t>
        </is>
      </c>
      <c r="I2031" s="0">
        <v>49.99</v>
      </c>
      <c r="J2031" s="0">
        <v>12</v>
      </c>
    </row>
    <row r="2032" spans="1:10" customHeight="0">
      <c r="A2032" s="0">
        <f>HYPERLINK("https://dl.dropboxusercontent.com/scl/fi/pss6pdntxrnjqq9wi059q/113289-f.jpg?rlkey=ypo781b1qwllamrk477q8ocus&amp;dl=0","Click to download Image")</f>
      </c>
      <c r="B2032" s="0">
        <f>HYPERLINK("https://dl.dropboxusercontent.com/scl/fi/2j6fgrfif0u87fcc1vdnt/graphic-update22022-toddler.jpg?rlkey=m3l424beljc3upsggg40fnrd1&amp;dl=0","Click to download SizeChart")</f>
      </c>
      <c r="C2032" s="0" t="inlineStr">
        <is>
          <t>Saylor Toddler Girls Military Jacket</t>
        </is>
      </c>
      <c r="D2032" s="0" t="inlineStr">
        <is>
          <t>'114848</t>
        </is>
      </c>
      <c r="E2032" s="0" t="inlineStr">
        <is>
          <t>IOWA SAYLOR T GY:114848D-5T</t>
        </is>
      </c>
      <c r="F2032" s="0" t="inlineStr">
        <is>
          <t>'800114848112</t>
        </is>
      </c>
      <c r="G2032" s="0" t="inlineStr">
        <is>
          <t>TODDLER</t>
        </is>
      </c>
      <c r="H2032" s="0" t="inlineStr">
        <is>
          <t>5T</t>
        </is>
      </c>
      <c r="I2032" s="0">
        <v>49.99</v>
      </c>
      <c r="J2032" s="0">
        <v>11</v>
      </c>
    </row>
    <row r="2033" spans="1:10" customHeight="0">
      <c r="A2033" s="0">
        <f>HYPERLINK("https://dl.dropboxusercontent.com/scl/fi/pss6pdntxrnjqq9wi059q/113289-f.jpg?rlkey=ypo781b1qwllamrk477q8ocus&amp;dl=0","Click to download Image")</f>
      </c>
      <c r="B2033" s="0">
        <f>HYPERLINK("https://dl.dropboxusercontent.com/scl/fi/2j6fgrfif0u87fcc1vdnt/graphic-update22022-toddler.jpg?rlkey=m3l424beljc3upsggg40fnrd1&amp;dl=0","Click to download SizeChart")</f>
      </c>
      <c r="C2033" s="0" t="inlineStr">
        <is>
          <t>Saylor Toddler Girls Military Jacket</t>
        </is>
      </c>
      <c r="D2033" s="0" t="inlineStr">
        <is>
          <t>'114848</t>
        </is>
      </c>
      <c r="E2033" s="0" t="inlineStr">
        <is>
          <t>IOWA SAYLOR T GY 12PK:114848Z-12PK</t>
        </is>
      </c>
      <c r="F2033" s="0" t="inlineStr">
        <is>
          <t>'800114848990</t>
        </is>
      </c>
      <c r="G2033" s="0" t="inlineStr">
        <is>
          <t>TODDLER</t>
        </is>
      </c>
      <c r="H2033" s="0" t="inlineStr">
        <is>
          <t>12 PACK</t>
        </is>
      </c>
      <c r="I2033" s="0">
        <v>480</v>
      </c>
      <c r="J2033" s="0">
        <v>3</v>
      </c>
    </row>
    <row r="2034" spans="1:10" customHeight="0">
      <c r="A2034" s="0">
        <f>HYPERLINK("https://dl.dropboxusercontent.com/scl/fi/h46wcpfqycx9f4t3s8bh6/123504-f.jpg?rlkey=v3rizqf0occcey0mkflii5rlo&amp;dl=0","Click to download Image")</f>
      </c>
      <c r="B2034" s="0">
        <f>HYPERLINK("https://dl.dropboxusercontent.com/scl/fi/2j6fgrfif0u87fcc1vdnt/graphic-update22022-toddler.jpg?rlkey=m3l424beljc3upsggg40fnrd1&amp;dl=0","Click to download SizeChart")</f>
      </c>
      <c r="C2034" s="0" t="inlineStr">
        <is>
          <t>Saylor Toddler Girls Military Jacket</t>
        </is>
      </c>
      <c r="D2034" s="0" t="inlineStr">
        <is>
          <t>'123503</t>
        </is>
      </c>
      <c r="E2034" s="0" t="inlineStr">
        <is>
          <t>UNI SAYLOR T GY:123503A-2T</t>
        </is>
      </c>
      <c r="F2034" s="0" t="inlineStr">
        <is>
          <t>'802123503082</t>
        </is>
      </c>
      <c r="G2034" s="0" t="inlineStr">
        <is>
          <t>TODDLER</t>
        </is>
      </c>
      <c r="H2034" s="0" t="inlineStr">
        <is>
          <t>2T</t>
        </is>
      </c>
      <c r="I2034" s="0">
        <v>49.99</v>
      </c>
      <c r="J2034" s="0">
        <v>6</v>
      </c>
    </row>
    <row r="2035" spans="1:10" customHeight="0">
      <c r="A2035" s="0">
        <f>HYPERLINK("https://dl.dropboxusercontent.com/scl/fi/h46wcpfqycx9f4t3s8bh6/123504-f.jpg?rlkey=v3rizqf0occcey0mkflii5rlo&amp;dl=0","Click to download Image")</f>
      </c>
      <c r="B2035" s="0">
        <f>HYPERLINK("https://dl.dropboxusercontent.com/scl/fi/2j6fgrfif0u87fcc1vdnt/graphic-update22022-toddler.jpg?rlkey=m3l424beljc3upsggg40fnrd1&amp;dl=0","Click to download SizeChart")</f>
      </c>
      <c r="C2035" s="0" t="inlineStr">
        <is>
          <t>Saylor Toddler Girls Military Jacket</t>
        </is>
      </c>
      <c r="D2035" s="0" t="inlineStr">
        <is>
          <t>'123503</t>
        </is>
      </c>
      <c r="E2035" s="0" t="inlineStr">
        <is>
          <t>UNI SAYLOR T GY:123503B-3T</t>
        </is>
      </c>
      <c r="F2035" s="0" t="inlineStr">
        <is>
          <t>'802123503099</t>
        </is>
      </c>
      <c r="G2035" s="0" t="inlineStr">
        <is>
          <t>TODDLER</t>
        </is>
      </c>
      <c r="H2035" s="0" t="inlineStr">
        <is>
          <t>3T</t>
        </is>
      </c>
      <c r="I2035" s="0">
        <v>49.99</v>
      </c>
      <c r="J2035" s="0">
        <v>6</v>
      </c>
    </row>
    <row r="2036" spans="1:10" customHeight="0">
      <c r="A2036" s="0">
        <f>HYPERLINK("https://dl.dropboxusercontent.com/scl/fi/h46wcpfqycx9f4t3s8bh6/123504-f.jpg?rlkey=v3rizqf0occcey0mkflii5rlo&amp;dl=0","Click to download Image")</f>
      </c>
      <c r="B2036" s="0">
        <f>HYPERLINK("https://dl.dropboxusercontent.com/scl/fi/2j6fgrfif0u87fcc1vdnt/graphic-update22022-toddler.jpg?rlkey=m3l424beljc3upsggg40fnrd1&amp;dl=0","Click to download SizeChart")</f>
      </c>
      <c r="C2036" s="0" t="inlineStr">
        <is>
          <t>Saylor Toddler Girls Military Jacket</t>
        </is>
      </c>
      <c r="D2036" s="0" t="inlineStr">
        <is>
          <t>'123503</t>
        </is>
      </c>
      <c r="E2036" s="0" t="inlineStr">
        <is>
          <t>UNI SAYLOR T GY:123503C-4T</t>
        </is>
      </c>
      <c r="F2036" s="0" t="inlineStr">
        <is>
          <t>'802123503105</t>
        </is>
      </c>
      <c r="G2036" s="0" t="inlineStr">
        <is>
          <t>TODDLER</t>
        </is>
      </c>
      <c r="H2036" s="0" t="inlineStr">
        <is>
          <t>4T</t>
        </is>
      </c>
      <c r="I2036" s="0">
        <v>49.99</v>
      </c>
      <c r="J2036" s="0">
        <v>6</v>
      </c>
    </row>
    <row r="2037" spans="1:10" customHeight="0">
      <c r="A2037" s="0">
        <f>HYPERLINK("https://dl.dropboxusercontent.com/scl/fi/h46wcpfqycx9f4t3s8bh6/123504-f.jpg?rlkey=v3rizqf0occcey0mkflii5rlo&amp;dl=0","Click to download Image")</f>
      </c>
      <c r="B2037" s="0">
        <f>HYPERLINK("https://dl.dropboxusercontent.com/scl/fi/2j6fgrfif0u87fcc1vdnt/graphic-update22022-toddler.jpg?rlkey=m3l424beljc3upsggg40fnrd1&amp;dl=0","Click to download SizeChart")</f>
      </c>
      <c r="C2037" s="0" t="inlineStr">
        <is>
          <t>Saylor Toddler Girls Military Jacket</t>
        </is>
      </c>
      <c r="D2037" s="0" t="inlineStr">
        <is>
          <t>'123503</t>
        </is>
      </c>
      <c r="E2037" s="0" t="inlineStr">
        <is>
          <t>UNI SAYLOR T GY:123503D-5T</t>
        </is>
      </c>
      <c r="F2037" s="0" t="inlineStr">
        <is>
          <t>'802123503112</t>
        </is>
      </c>
      <c r="G2037" s="0" t="inlineStr">
        <is>
          <t>TODDLER</t>
        </is>
      </c>
      <c r="H2037" s="0" t="inlineStr">
        <is>
          <t>5T</t>
        </is>
      </c>
      <c r="I2037" s="0">
        <v>49.99</v>
      </c>
      <c r="J2037" s="0">
        <v>6</v>
      </c>
    </row>
    <row r="2038" spans="1:10" customHeight="0">
      <c r="A2038" s="0">
        <f>HYPERLINK("https://dl.dropboxusercontent.com/scl/fi/h46wcpfqycx9f4t3s8bh6/123504-f.jpg?rlkey=v3rizqf0occcey0mkflii5rlo&amp;dl=0","Click to download Image")</f>
      </c>
      <c r="B2038" s="0">
        <f>HYPERLINK("https://dl.dropboxusercontent.com/scl/fi/2j6fgrfif0u87fcc1vdnt/graphic-update22022-toddler.jpg?rlkey=m3l424beljc3upsggg40fnrd1&amp;dl=0","Click to download SizeChart")</f>
      </c>
      <c r="C2038" s="0" t="inlineStr">
        <is>
          <t>Saylor Toddler Girls Military Jacket</t>
        </is>
      </c>
      <c r="D2038" s="0" t="inlineStr">
        <is>
          <t>'123503</t>
        </is>
      </c>
      <c r="E2038" s="0" t="inlineStr">
        <is>
          <t>UNI SAYLOR T GY 12PK:123503Z-12PK</t>
        </is>
      </c>
      <c r="F2038" s="0" t="inlineStr">
        <is>
          <t>'802123503990</t>
        </is>
      </c>
      <c r="G2038" s="0" t="inlineStr">
        <is>
          <t>TODDLER</t>
        </is>
      </c>
      <c r="H2038" s="0" t="inlineStr">
        <is>
          <t>12 PACK</t>
        </is>
      </c>
      <c r="I2038" s="0">
        <v>480</v>
      </c>
      <c r="J2038" s="0">
        <v>2</v>
      </c>
    </row>
    <row r="2039" spans="1:10" customHeight="0">
      <c r="A2039" s="0">
        <f>HYPERLINK("https://dl.dropboxusercontent.com/scl/fi/rm5l9vz7bm3qona2wcdow/113489af.jpg?rlkey=8ztdo0flup3f1qw0j3atgmqq1&amp;dl=0","Click to download Image")</f>
      </c>
      <c r="C2039" s="0" t="inlineStr">
        <is>
          <t>Solomon Youth Cap</t>
        </is>
      </c>
      <c r="D2039" s="0" t="inlineStr">
        <is>
          <t>'113490</t>
        </is>
      </c>
      <c r="E2039" s="0" t="inlineStr">
        <is>
          <t>IOWA SOLOMAN:113490</t>
        </is>
      </c>
      <c r="F2039" s="0" t="inlineStr">
        <is>
          <t>'700113490032</t>
        </is>
      </c>
      <c r="G2039" s="0" t="inlineStr">
        <is>
          <t>YOUTH</t>
        </is>
      </c>
      <c r="H2039" s="0" t="inlineStr">
        <is>
          <t>STANDARD:55CM</t>
        </is>
      </c>
      <c r="I2039" s="0">
        <v>24.99</v>
      </c>
      <c r="J2039" s="0">
        <v>48</v>
      </c>
    </row>
    <row r="2040" spans="1:10" customHeight="0">
      <c r="A2040" s="0">
        <f>HYPERLINK("https://dl.dropboxusercontent.com/scl/fi/6i51gght5uxbr9ye4k7xk/113490af.jpg?rlkey=4pr59khvs4y95lgmzc6y0capt&amp;dl=0","Click to download Image")</f>
      </c>
      <c r="C2040" s="0" t="inlineStr">
        <is>
          <t>Solomon Youth Cap</t>
        </is>
      </c>
      <c r="D2040" s="0" t="inlineStr">
        <is>
          <t>'113489</t>
        </is>
      </c>
      <c r="E2040" s="0" t="inlineStr">
        <is>
          <t>ISU SOLOMON:113489</t>
        </is>
      </c>
      <c r="F2040" s="0" t="inlineStr">
        <is>
          <t>'701113489033</t>
        </is>
      </c>
      <c r="G2040" s="0" t="inlineStr">
        <is>
          <t>YOUTH</t>
        </is>
      </c>
      <c r="H2040" s="0" t="inlineStr">
        <is>
          <t>STANDARD:55CM</t>
        </is>
      </c>
      <c r="I2040" s="0">
        <v>24.99</v>
      </c>
      <c r="J2040" s="0">
        <v>34</v>
      </c>
    </row>
    <row r="2041" spans="1:10" customHeight="0">
      <c r="A2041" s="0">
        <f>HYPERLINK("https://dl.dropboxusercontent.com/scl/fi/9ger4yli3404kkf66st7b/113490af.jpg?rlkey=rf5jdizjveb748fgddsq51ir5&amp;dl=0","Click to download Image")</f>
      </c>
      <c r="C2041" s="0" t="inlineStr">
        <is>
          <t>Solomon Toddler Cap</t>
        </is>
      </c>
      <c r="D2041" s="0" t="inlineStr">
        <is>
          <t>'122898</t>
        </is>
      </c>
      <c r="E2041" s="0" t="inlineStr">
        <is>
          <t>ISU SOLOMO T GY:122898</t>
        </is>
      </c>
      <c r="F2041" s="0" t="inlineStr">
        <is>
          <t>'701122898048</t>
        </is>
      </c>
      <c r="G2041" s="0" t="inlineStr">
        <is>
          <t>TODDLER</t>
        </is>
      </c>
      <c r="H2041" s="0" t="inlineStr">
        <is>
          <t>STANDARD:53CM</t>
        </is>
      </c>
      <c r="I2041" s="0">
        <v>24.99</v>
      </c>
      <c r="J2041" s="0">
        <v>15</v>
      </c>
    </row>
    <row r="2042" spans="1:10" customHeight="0">
      <c r="A2042" s="0">
        <f>HYPERLINK("https://dl.dropboxusercontent.com/scl/fi/ry3k8hgiudpx1oagsigot/123834-af.jpg?rlkey=03g8f0bq0awnd5ubmyhyr43e4&amp;dl=0","Click to download Image")</f>
      </c>
      <c r="C2042" s="0" t="inlineStr">
        <is>
          <t>Solomon Toddler Cap</t>
        </is>
      </c>
      <c r="D2042" s="0" t="inlineStr">
        <is>
          <t>'123833</t>
        </is>
      </c>
      <c r="E2042" s="0" t="inlineStr">
        <is>
          <t>NDSU SOLOMO T GY:123833</t>
        </is>
      </c>
      <c r="F2042" s="0" t="inlineStr">
        <is>
          <t>'713123833041</t>
        </is>
      </c>
      <c r="G2042" s="0" t="inlineStr">
        <is>
          <t>TODDLER</t>
        </is>
      </c>
      <c r="H2042" s="0" t="inlineStr">
        <is>
          <t>STANDARD:53CM</t>
        </is>
      </c>
      <c r="I2042" s="0">
        <v>24.99</v>
      </c>
      <c r="J2042" s="0">
        <v>48</v>
      </c>
    </row>
    <row r="2043" spans="1:10" customHeight="0">
      <c r="A2043" s="0">
        <f>HYPERLINK("https://dl.dropboxusercontent.com/scl/fi/pi7e5fgd0szq62idekkc1/113490af.jpg?rlkey=zozminrmj3qwb1xtnvv0tm7x3&amp;dl=0","Click to download Image")</f>
      </c>
      <c r="C2043" s="0" t="inlineStr">
        <is>
          <t>Solomon Infant Cap</t>
        </is>
      </c>
      <c r="D2043" s="0" t="inlineStr">
        <is>
          <t>'113519</t>
        </is>
      </c>
      <c r="E2043" s="0" t="inlineStr">
        <is>
          <t>ISU SOLOMAN:113519</t>
        </is>
      </c>
      <c r="F2043" s="0" t="inlineStr">
        <is>
          <t>'701113519051</t>
        </is>
      </c>
      <c r="G2043" s="0" t="inlineStr">
        <is>
          <t>INFANT</t>
        </is>
      </c>
      <c r="H2043" s="0" t="inlineStr">
        <is>
          <t>INFANT</t>
        </is>
      </c>
      <c r="I2043" s="0">
        <v>24.99</v>
      </c>
      <c r="J2043" s="0">
        <v>53</v>
      </c>
    </row>
    <row r="2044" spans="1:10" customHeight="0">
      <c r="A2044" s="0">
        <f>HYPERLINK("https://dl.dropboxusercontent.com/scl/fi/igx4t4j6l9vuh80wwwo8x/123498-af.jpg?rlkey=1jwlnv81hcqbtox9fgm0bes27&amp;dl=0","Click to download Image")</f>
      </c>
      <c r="C2044" s="0" t="inlineStr">
        <is>
          <t>Vanessa Camo Weekender</t>
        </is>
      </c>
      <c r="D2044" s="0" t="inlineStr">
        <is>
          <t>'123498</t>
        </is>
      </c>
      <c r="E2044" s="0" t="inlineStr">
        <is>
          <t>UNI VANESS CO:123498</t>
        </is>
      </c>
      <c r="F2044" s="0" t="inlineStr">
        <is>
          <t>'902123498019</t>
        </is>
      </c>
      <c r="H2044" s="0" t="inlineStr">
        <is>
          <t>16.5IN W X 12IN H X 8IN D</t>
        </is>
      </c>
      <c r="I2044" s="0">
        <v>49.99</v>
      </c>
      <c r="J2044" s="0">
        <v>25</v>
      </c>
    </row>
    <row r="2045" spans="1:10" customHeight="0">
      <c r="A2045" s="0">
        <f>HYPERLINK("https://dl.dropboxusercontent.com/scl/fi/nrty5kin75pd2xxcvp1ga/123497-f.jpg?rlkey=xkndaui4j8tht0sjbo60zngcp&amp;dl=0","Click to download Image")</f>
      </c>
      <c r="C2045" s="0" t="inlineStr">
        <is>
          <t>Vanessa Camo Weekender</t>
        </is>
      </c>
      <c r="D2045" s="0" t="inlineStr">
        <is>
          <t>'123497</t>
        </is>
      </c>
      <c r="E2045" s="0" t="inlineStr">
        <is>
          <t>ISU VANESS CO:123497</t>
        </is>
      </c>
      <c r="F2045" s="0" t="inlineStr">
        <is>
          <t>'901123497015</t>
        </is>
      </c>
      <c r="H2045" s="0" t="inlineStr">
        <is>
          <t>16.5IN W X 12IN H X 8IN D</t>
        </is>
      </c>
      <c r="I2045" s="0">
        <v>49.99</v>
      </c>
      <c r="J2045" s="0">
        <v>34</v>
      </c>
    </row>
    <row r="2046" spans="1:10" customHeight="0">
      <c r="A2046" s="0">
        <f>HYPERLINK("https://dl.dropboxusercontent.com/scl/fi/q4yrohh88rl5dh0i2zo7x/124087-af.jpg?rlkey=o950108ypxay86tr774ed1hvk&amp;dl=0","Click to download Image")</f>
      </c>
      <c r="C2046" s="0" t="inlineStr">
        <is>
          <t>Vanessa Camo Weekender</t>
        </is>
      </c>
      <c r="D2046" s="0" t="inlineStr">
        <is>
          <t>'124087</t>
        </is>
      </c>
      <c r="E2046" s="0" t="inlineStr">
        <is>
          <t>USD VANESS:124087</t>
        </is>
      </c>
      <c r="F2046" s="0" t="inlineStr">
        <is>
          <t>'911124087016</t>
        </is>
      </c>
      <c r="I2046" s="0">
        <v>49.99</v>
      </c>
      <c r="J2046" s="0">
        <v>13</v>
      </c>
    </row>
    <row r="2047" spans="1:10" customHeight="0">
      <c r="A2047" s="0">
        <f>HYPERLINK("https://dl.dropboxusercontent.com/scl/fi/43n7gbbdv8u70s4tucqfg/drakevanessa-1-0264219.jpg?rlkey=nrtkzrogv0noc24hcdvrqfkf9&amp;dl=0","Click to download Image")</f>
      </c>
      <c r="C2047" s="0" t="inlineStr">
        <is>
          <t>Vanessa Camo Weekender</t>
        </is>
      </c>
      <c r="D2047" s="0" t="inlineStr">
        <is>
          <t>'128806</t>
        </is>
      </c>
      <c r="E2047" s="0" t="inlineStr">
        <is>
          <t>DRAKE VANESS CO:128806</t>
        </is>
      </c>
      <c r="F2047" s="0" t="inlineStr">
        <is>
          <t>'917128806011</t>
        </is>
      </c>
      <c r="I2047" s="0">
        <v>49.99</v>
      </c>
      <c r="J2047" s="0">
        <v>17</v>
      </c>
    </row>
    <row r="2048" spans="1:10" customHeight="0">
      <c r="A2048" s="0">
        <f>HYPERLINK("https://dl.dropboxusercontent.com/scl/fi/4j3a400ns1s8yvcmdzeu4/121404-af-1.jpg?rlkey=3zplmopb589pndaywea9sdhh7&amp;dl=0","Click to download Image")</f>
      </c>
      <c r="C2048" s="0" t="inlineStr">
        <is>
          <t>Vera Convertible Crossbody</t>
        </is>
      </c>
      <c r="D2048" s="0" t="inlineStr">
        <is>
          <t>'121404</t>
        </is>
      </c>
      <c r="E2048" s="0" t="inlineStr">
        <is>
          <t>IOWA VERA BP:121404</t>
        </is>
      </c>
      <c r="F2048" s="0" t="inlineStr">
        <is>
          <t>'900121404018</t>
        </is>
      </c>
      <c r="I2048" s="0">
        <v>49.99</v>
      </c>
      <c r="J2048" s="0">
        <v>43</v>
      </c>
    </row>
    <row r="2049" spans="1:10" customHeight="0">
      <c r="A2049" s="0">
        <f>HYPERLINK("https://dl.dropboxusercontent.com/scl/fi/ep1evaf4oldou4j07pw0n/123500-af.jpg?rlkey=ku8a17jkw3wwh9i3zxcmodr9w&amp;dl=0","Click to download Image")</f>
      </c>
      <c r="C2049" s="0" t="inlineStr">
        <is>
          <t>Vera Convertible Crossbody</t>
        </is>
      </c>
      <c r="D2049" s="0" t="inlineStr">
        <is>
          <t>'123500</t>
        </is>
      </c>
      <c r="E2049" s="0" t="inlineStr">
        <is>
          <t>UNI VERA GY:123500</t>
        </is>
      </c>
      <c r="F2049" s="0" t="inlineStr">
        <is>
          <t>'902123500019</t>
        </is>
      </c>
      <c r="I2049" s="0">
        <v>49.99</v>
      </c>
      <c r="J2049" s="0">
        <v>34</v>
      </c>
    </row>
    <row r="2050" spans="1:10" customHeight="0">
      <c r="A2050" s="0">
        <f>HYPERLINK("https://dl.dropboxusercontent.com/scl/fi/938lzlj93b0vl3pc7dku7/123499-af.jpg?rlkey=udi321z77itr0zevpb726cwr1&amp;dl=0","Click to download Image")</f>
      </c>
      <c r="C2050" s="0" t="inlineStr">
        <is>
          <t>Vera Convertible Crossbody</t>
        </is>
      </c>
      <c r="D2050" s="0" t="inlineStr">
        <is>
          <t>'123499</t>
        </is>
      </c>
      <c r="E2050" s="0" t="inlineStr">
        <is>
          <t>ISU VERA BP:123499</t>
        </is>
      </c>
      <c r="F2050" s="0" t="inlineStr">
        <is>
          <t>'901123499019</t>
        </is>
      </c>
      <c r="I2050" s="0">
        <v>49.99</v>
      </c>
      <c r="J2050" s="0">
        <v>48</v>
      </c>
    </row>
    <row r="2051" spans="1:10" customHeight="0">
      <c r="A2051" s="0">
        <f>HYPERLINK("https://dl.dropboxusercontent.com/scl/fi/ul6uei0ldbiu8u7k858y1/124090-af.jpg?rlkey=bcs6yy0cva708d12k6629e3z0&amp;dl=0","Click to download Image")</f>
      </c>
      <c r="C2051" s="0" t="inlineStr">
        <is>
          <t>Vera Convertible Crossbody</t>
        </is>
      </c>
      <c r="D2051" s="0" t="inlineStr">
        <is>
          <t>'124090</t>
        </is>
      </c>
      <c r="E2051" s="0" t="inlineStr">
        <is>
          <t>USD VERA:124090</t>
        </is>
      </c>
      <c r="F2051" s="0" t="inlineStr">
        <is>
          <t>'911124090016</t>
        </is>
      </c>
      <c r="I2051" s="0">
        <v>49.99</v>
      </c>
      <c r="J2051" s="0">
        <v>16</v>
      </c>
    </row>
    <row r="2052" spans="1:10" customHeight="0">
      <c r="A2052" s="0">
        <f>HYPERLINK("https://dl.dropboxusercontent.com/scl/fi/cl9alk8pwvlrj66nr1794/125222-f.jpg?rlkey=gan13noruqdybjbmnggfz1mju&amp;dl=0","Click to download Image")</f>
      </c>
      <c r="C2052" s="0" t="inlineStr">
        <is>
          <t>Vera Convertible Crossbody</t>
        </is>
      </c>
      <c r="D2052" s="0" t="inlineStr">
        <is>
          <t>'125222</t>
        </is>
      </c>
      <c r="E2052" s="0" t="inlineStr">
        <is>
          <t>UNO VERA GY:125222</t>
        </is>
      </c>
      <c r="F2052" s="0" t="inlineStr">
        <is>
          <t>'909125222017</t>
        </is>
      </c>
      <c r="I2052" s="0">
        <v>49.99</v>
      </c>
      <c r="J2052" s="0">
        <v>3</v>
      </c>
    </row>
    <row r="2053" spans="1:10" customHeight="0">
      <c r="A2053" s="0">
        <f>HYPERLINK("https://dl.dropboxusercontent.com/scl/fi/sqjldruaejw70na0ca5dh/125257-af-1.jpg?rlkey=71mgwv3pzyg2yfbhi8vpti885&amp;dl=0","Click to download Image")</f>
      </c>
      <c r="C2053" s="0" t="inlineStr">
        <is>
          <t>Vera Convertible Crossbody</t>
        </is>
      </c>
      <c r="D2053" s="0" t="inlineStr">
        <is>
          <t>'125257</t>
        </is>
      </c>
      <c r="E2053" s="0" t="inlineStr">
        <is>
          <t>NDSU VERA GY:125257</t>
        </is>
      </c>
      <c r="F2053" s="0" t="inlineStr">
        <is>
          <t>'913125257016</t>
        </is>
      </c>
      <c r="I2053" s="0">
        <v>49.99</v>
      </c>
      <c r="J2053" s="0">
        <v>13</v>
      </c>
    </row>
    <row r="2054" spans="1:10" customHeight="0">
      <c r="A2054" s="0">
        <f>HYPERLINK("https://dl.dropboxusercontent.com/scl/fi/fvaepaq7ley0r3jfcnygw/128805-af.jpg?rlkey=8btp663tejrj2tatji5dr6be0&amp;dl=0","Click to download Image")</f>
      </c>
      <c r="C2054" s="0" t="inlineStr">
        <is>
          <t>Vera Convertible Crossbody</t>
        </is>
      </c>
      <c r="D2054" s="0" t="inlineStr">
        <is>
          <t>'128805</t>
        </is>
      </c>
      <c r="E2054" s="0" t="inlineStr">
        <is>
          <t>DRAKE VERA GY:128805</t>
        </is>
      </c>
      <c r="F2054" s="0" t="inlineStr">
        <is>
          <t>'917128805014</t>
        </is>
      </c>
      <c r="I2054" s="0">
        <v>49.99</v>
      </c>
      <c r="J2054" s="0">
        <v>6</v>
      </c>
    </row>
    <row r="2055" spans="1:10" customHeight="0">
      <c r="A2055" s="0">
        <f>HYPERLINK("https://dl.dropboxusercontent.com/scl/fi/dt6oitd99ds75nljskutz/123868-af.jpg?rlkey=6lcbuqj5ouzepfm8gbpwuelt1&amp;dl=0","Click to download Image")</f>
      </c>
      <c r="B2055" s="0">
        <f>HYPERLINK("https://dl.dropboxusercontent.com/scl/fi/yx97tg3fg36f3kaerd9sx/womens-hoodie-and-sweatshirt-size-chartsspears.jpg?rlkey=c8ywsh8yz7it02gvlikx0qngr&amp;dl=0","Click to download SizeChart")</f>
      </c>
      <c r="C2055" s="0" t="inlineStr">
        <is>
          <t>Spears Women's Hoodie</t>
        </is>
      </c>
      <c r="D2055" s="0" t="inlineStr">
        <is>
          <t>'123868</t>
        </is>
      </c>
      <c r="E2055" s="0" t="inlineStr">
        <is>
          <t>UNO SPEARS W RD:123868A-S</t>
        </is>
      </c>
      <c r="F2055" s="0" t="inlineStr">
        <is>
          <t>'809123868043</t>
        </is>
      </c>
      <c r="G2055" s="0" t="inlineStr">
        <is>
          <t>WOMENS</t>
        </is>
      </c>
      <c r="H2055" s="0" t="inlineStr">
        <is>
          <t>S</t>
        </is>
      </c>
      <c r="I2055" s="0">
        <v>29.99</v>
      </c>
      <c r="J2055" s="0">
        <v>0</v>
      </c>
    </row>
    <row r="2056" spans="1:10" customHeight="0">
      <c r="A2056" s="0">
        <f>HYPERLINK("https://dl.dropboxusercontent.com/scl/fi/dt6oitd99ds75nljskutz/123868-af.jpg?rlkey=6lcbuqj5ouzepfm8gbpwuelt1&amp;dl=0","Click to download Image")</f>
      </c>
      <c r="B2056" s="0">
        <f>HYPERLINK("https://dl.dropboxusercontent.com/scl/fi/yx97tg3fg36f3kaerd9sx/womens-hoodie-and-sweatshirt-size-chartsspears.jpg?rlkey=c8ywsh8yz7it02gvlikx0qngr&amp;dl=0","Click to download SizeChart")</f>
      </c>
      <c r="C2056" s="0" t="inlineStr">
        <is>
          <t>Spears Women's Hoodie</t>
        </is>
      </c>
      <c r="D2056" s="0" t="inlineStr">
        <is>
          <t>'123868</t>
        </is>
      </c>
      <c r="E2056" s="0" t="inlineStr">
        <is>
          <t>UNO SPEARS W RD:123868B-M</t>
        </is>
      </c>
      <c r="F2056" s="0" t="inlineStr">
        <is>
          <t>'809123868050</t>
        </is>
      </c>
      <c r="G2056" s="0" t="inlineStr">
        <is>
          <t>WOMENS</t>
        </is>
      </c>
      <c r="H2056" s="0" t="inlineStr">
        <is>
          <t>M</t>
        </is>
      </c>
      <c r="I2056" s="0">
        <v>29.99</v>
      </c>
      <c r="J2056" s="0">
        <v>8</v>
      </c>
    </row>
    <row r="2057" spans="1:10" customHeight="0">
      <c r="A2057" s="0">
        <f>HYPERLINK("https://dl.dropboxusercontent.com/scl/fi/dt6oitd99ds75nljskutz/123868-af.jpg?rlkey=6lcbuqj5ouzepfm8gbpwuelt1&amp;dl=0","Click to download Image")</f>
      </c>
      <c r="B2057" s="0">
        <f>HYPERLINK("https://dl.dropboxusercontent.com/scl/fi/yx97tg3fg36f3kaerd9sx/womens-hoodie-and-sweatshirt-size-chartsspears.jpg?rlkey=c8ywsh8yz7it02gvlikx0qngr&amp;dl=0","Click to download SizeChart")</f>
      </c>
      <c r="C2057" s="0" t="inlineStr">
        <is>
          <t>Spears Women's Hoodie</t>
        </is>
      </c>
      <c r="D2057" s="0" t="inlineStr">
        <is>
          <t>'123868</t>
        </is>
      </c>
      <c r="E2057" s="0" t="inlineStr">
        <is>
          <t>UNO SPEARS W RD:123868C-L</t>
        </is>
      </c>
      <c r="F2057" s="0" t="inlineStr">
        <is>
          <t>'809123868067</t>
        </is>
      </c>
      <c r="G2057" s="0" t="inlineStr">
        <is>
          <t>WOMENS</t>
        </is>
      </c>
      <c r="H2057" s="0" t="inlineStr">
        <is>
          <t>L</t>
        </is>
      </c>
      <c r="I2057" s="0">
        <v>29.99</v>
      </c>
      <c r="J2057" s="0">
        <v>8</v>
      </c>
    </row>
    <row r="2058" spans="1:10" customHeight="0">
      <c r="A2058" s="0">
        <f>HYPERLINK("https://dl.dropboxusercontent.com/scl/fi/dt6oitd99ds75nljskutz/123868-af.jpg?rlkey=6lcbuqj5ouzepfm8gbpwuelt1&amp;dl=0","Click to download Image")</f>
      </c>
      <c r="B2058" s="0">
        <f>HYPERLINK("https://dl.dropboxusercontent.com/scl/fi/yx97tg3fg36f3kaerd9sx/womens-hoodie-and-sweatshirt-size-chartsspears.jpg?rlkey=c8ywsh8yz7it02gvlikx0qngr&amp;dl=0","Click to download SizeChart")</f>
      </c>
      <c r="C2058" s="0" t="inlineStr">
        <is>
          <t>Spears Women's Hoodie</t>
        </is>
      </c>
      <c r="D2058" s="0" t="inlineStr">
        <is>
          <t>'123868</t>
        </is>
      </c>
      <c r="E2058" s="0" t="inlineStr">
        <is>
          <t>UNO SPEARS W RD:123868D-XL</t>
        </is>
      </c>
      <c r="F2058" s="0" t="inlineStr">
        <is>
          <t>'809123868074</t>
        </is>
      </c>
      <c r="G2058" s="0" t="inlineStr">
        <is>
          <t>WOMENS</t>
        </is>
      </c>
      <c r="H2058" s="0" t="inlineStr">
        <is>
          <t>XL</t>
        </is>
      </c>
      <c r="I2058" s="0">
        <v>29.99</v>
      </c>
      <c r="J2058" s="0">
        <v>0</v>
      </c>
    </row>
    <row r="2059" spans="1:10" customHeight="0">
      <c r="A2059" s="0">
        <f>HYPERLINK("https://dl.dropboxusercontent.com/scl/fi/dt6oitd99ds75nljskutz/123868-af.jpg?rlkey=6lcbuqj5ouzepfm8gbpwuelt1&amp;dl=0","Click to download Image")</f>
      </c>
      <c r="B2059" s="0">
        <f>HYPERLINK("https://dl.dropboxusercontent.com/scl/fi/yx97tg3fg36f3kaerd9sx/womens-hoodie-and-sweatshirt-size-chartsspears.jpg?rlkey=c8ywsh8yz7it02gvlikx0qngr&amp;dl=0","Click to download SizeChart")</f>
      </c>
      <c r="C2059" s="0" t="inlineStr">
        <is>
          <t>Spears Women's Hoodie</t>
        </is>
      </c>
      <c r="D2059" s="0" t="inlineStr">
        <is>
          <t>'123868</t>
        </is>
      </c>
      <c r="E2059" s="0" t="inlineStr">
        <is>
          <t>UNO SPEARS W RD:123868E-2XL</t>
        </is>
      </c>
      <c r="F2059" s="0" t="inlineStr">
        <is>
          <t>'809123868081</t>
        </is>
      </c>
      <c r="G2059" s="0" t="inlineStr">
        <is>
          <t>WOMENS</t>
        </is>
      </c>
      <c r="H2059" s="0" t="inlineStr">
        <is>
          <t>2XL</t>
        </is>
      </c>
      <c r="I2059" s="0">
        <v>31.99</v>
      </c>
      <c r="J2059" s="0">
        <v>4</v>
      </c>
    </row>
    <row r="2060" spans="1:10" customHeight="0">
      <c r="A2060" s="0">
        <f>HYPERLINK("https://dl.dropboxusercontent.com/scl/fi/dt6oitd99ds75nljskutz/123868-af.jpg?rlkey=6lcbuqj5ouzepfm8gbpwuelt1&amp;dl=0","Click to download Image")</f>
      </c>
      <c r="B2060" s="0">
        <f>HYPERLINK("https://dl.dropboxusercontent.com/scl/fi/yx97tg3fg36f3kaerd9sx/womens-hoodie-and-sweatshirt-size-chartsspears.jpg?rlkey=c8ywsh8yz7it02gvlikx0qngr&amp;dl=0","Click to download SizeChart")</f>
      </c>
      <c r="C2060" s="0" t="inlineStr">
        <is>
          <t>Spears Women's Hoodie</t>
        </is>
      </c>
      <c r="D2060" s="0" t="inlineStr">
        <is>
          <t>'123868</t>
        </is>
      </c>
      <c r="E2060" s="0" t="inlineStr">
        <is>
          <t>UNO SPEARS W RD:123868F-3XL</t>
        </is>
      </c>
      <c r="F2060" s="0" t="inlineStr">
        <is>
          <t>'809123868098</t>
        </is>
      </c>
      <c r="G2060" s="0" t="inlineStr">
        <is>
          <t>WOMENS</t>
        </is>
      </c>
      <c r="H2060" s="0" t="inlineStr">
        <is>
          <t>3XL</t>
        </is>
      </c>
      <c r="I2060" s="0">
        <v>31.99</v>
      </c>
      <c r="J2060" s="0">
        <v>2</v>
      </c>
    </row>
    <row r="2061" spans="1:10" customHeight="0">
      <c r="A2061" s="0">
        <f>HYPERLINK("https://dl.dropboxusercontent.com/scl/fi/dt6oitd99ds75nljskutz/123868-af.jpg?rlkey=6lcbuqj5ouzepfm8gbpwuelt1&amp;dl=0","Click to download Image")</f>
      </c>
      <c r="B2061" s="0">
        <f>HYPERLINK("https://dl.dropboxusercontent.com/scl/fi/yx97tg3fg36f3kaerd9sx/womens-hoodie-and-sweatshirt-size-chartsspears.jpg?rlkey=c8ywsh8yz7it02gvlikx0qngr&amp;dl=0","Click to download SizeChart")</f>
      </c>
      <c r="C2061" s="0" t="inlineStr">
        <is>
          <t>Spears Women's Hoodie</t>
        </is>
      </c>
      <c r="D2061" s="0" t="inlineStr">
        <is>
          <t>'123868</t>
        </is>
      </c>
      <c r="E2061" s="0" t="inlineStr">
        <is>
          <t>UNO SPEARS W RD 12PK:123868Z-12PK</t>
        </is>
      </c>
      <c r="F2061" s="0" t="inlineStr">
        <is>
          <t>'809123868999</t>
        </is>
      </c>
      <c r="G2061" s="0" t="inlineStr">
        <is>
          <t>WOMENS</t>
        </is>
      </c>
      <c r="H2061" s="0" t="inlineStr">
        <is>
          <t>12 PACK</t>
        </is>
      </c>
      <c r="I2061" s="0">
        <v>280</v>
      </c>
      <c r="J2061" s="0">
        <v>2</v>
      </c>
    </row>
    <row r="2062" spans="1:10" customHeight="0">
      <c r="A2062" s="0">
        <f>HYPERLINK("https://dl.dropboxusercontent.com/scl/fi/1tp1dhg1lnt14x6zlc5kd/124352-af.jpg?rlkey=6q78q4i68dm9ugyc5qt3j2khh&amp;dl=0","Click to download Image")</f>
      </c>
      <c r="B2062" s="0">
        <f>HYPERLINK("https://dl.dropboxusercontent.com/scl/fi/yx97tg3fg36f3kaerd9sx/womens-hoodie-and-sweatshirt-size-chartsspears.jpg?rlkey=c8ywsh8yz7it02gvlikx0qngr&amp;dl=0","Click to download SizeChart")</f>
      </c>
      <c r="C2062" s="0" t="inlineStr">
        <is>
          <t>Spears Women's Hoodie</t>
        </is>
      </c>
      <c r="D2062" s="0" t="inlineStr">
        <is>
          <t>'124352</t>
        </is>
      </c>
      <c r="E2062" s="0" t="inlineStr">
        <is>
          <t>IND SPEARS W RD:124352A-S</t>
        </is>
      </c>
      <c r="F2062" s="0" t="inlineStr">
        <is>
          <t>'806124352045</t>
        </is>
      </c>
      <c r="G2062" s="0" t="inlineStr">
        <is>
          <t>WOMENS</t>
        </is>
      </c>
      <c r="H2062" s="0" t="inlineStr">
        <is>
          <t>S</t>
        </is>
      </c>
      <c r="I2062" s="0">
        <v>29.99</v>
      </c>
      <c r="J2062" s="0">
        <v>9</v>
      </c>
    </row>
    <row r="2063" spans="1:10" customHeight="0">
      <c r="A2063" s="0">
        <f>HYPERLINK("https://dl.dropboxusercontent.com/scl/fi/1tp1dhg1lnt14x6zlc5kd/124352-af.jpg?rlkey=6q78q4i68dm9ugyc5qt3j2khh&amp;dl=0","Click to download Image")</f>
      </c>
      <c r="B2063" s="0">
        <f>HYPERLINK("https://dl.dropboxusercontent.com/scl/fi/yx97tg3fg36f3kaerd9sx/womens-hoodie-and-sweatshirt-size-chartsspears.jpg?rlkey=c8ywsh8yz7it02gvlikx0qngr&amp;dl=0","Click to download SizeChart")</f>
      </c>
      <c r="C2063" s="0" t="inlineStr">
        <is>
          <t>Spears Women's Hoodie</t>
        </is>
      </c>
      <c r="D2063" s="0" t="inlineStr">
        <is>
          <t>'124352</t>
        </is>
      </c>
      <c r="E2063" s="0" t="inlineStr">
        <is>
          <t>IND SPEARS W RD:124352B-M</t>
        </is>
      </c>
      <c r="F2063" s="0" t="inlineStr">
        <is>
          <t>'806124352052</t>
        </is>
      </c>
      <c r="G2063" s="0" t="inlineStr">
        <is>
          <t>WOMENS</t>
        </is>
      </c>
      <c r="H2063" s="0" t="inlineStr">
        <is>
          <t>M</t>
        </is>
      </c>
      <c r="I2063" s="0">
        <v>29.99</v>
      </c>
      <c r="J2063" s="0">
        <v>16</v>
      </c>
    </row>
    <row r="2064" spans="1:10" customHeight="0">
      <c r="A2064" s="0">
        <f>HYPERLINK("https://dl.dropboxusercontent.com/scl/fi/1tp1dhg1lnt14x6zlc5kd/124352-af.jpg?rlkey=6q78q4i68dm9ugyc5qt3j2khh&amp;dl=0","Click to download Image")</f>
      </c>
      <c r="B2064" s="0">
        <f>HYPERLINK("https://dl.dropboxusercontent.com/scl/fi/yx97tg3fg36f3kaerd9sx/womens-hoodie-and-sweatshirt-size-chartsspears.jpg?rlkey=c8ywsh8yz7it02gvlikx0qngr&amp;dl=0","Click to download SizeChart")</f>
      </c>
      <c r="C2064" s="0" t="inlineStr">
        <is>
          <t>Spears Women's Hoodie</t>
        </is>
      </c>
      <c r="D2064" s="0" t="inlineStr">
        <is>
          <t>'124352</t>
        </is>
      </c>
      <c r="E2064" s="0" t="inlineStr">
        <is>
          <t>IND SPEARS W RD:124352C-L</t>
        </is>
      </c>
      <c r="F2064" s="0" t="inlineStr">
        <is>
          <t>'806124352069</t>
        </is>
      </c>
      <c r="G2064" s="0" t="inlineStr">
        <is>
          <t>WOMENS</t>
        </is>
      </c>
      <c r="H2064" s="0" t="inlineStr">
        <is>
          <t>L</t>
        </is>
      </c>
      <c r="I2064" s="0">
        <v>29.99</v>
      </c>
      <c r="J2064" s="0">
        <v>15</v>
      </c>
    </row>
    <row r="2065" spans="1:10" customHeight="0">
      <c r="A2065" s="0">
        <f>HYPERLINK("https://dl.dropboxusercontent.com/scl/fi/1tp1dhg1lnt14x6zlc5kd/124352-af.jpg?rlkey=6q78q4i68dm9ugyc5qt3j2khh&amp;dl=0","Click to download Image")</f>
      </c>
      <c r="B2065" s="0">
        <f>HYPERLINK("https://dl.dropboxusercontent.com/scl/fi/yx97tg3fg36f3kaerd9sx/womens-hoodie-and-sweatshirt-size-chartsspears.jpg?rlkey=c8ywsh8yz7it02gvlikx0qngr&amp;dl=0","Click to download SizeChart")</f>
      </c>
      <c r="C2065" s="0" t="inlineStr">
        <is>
          <t>Spears Women's Hoodie</t>
        </is>
      </c>
      <c r="D2065" s="0" t="inlineStr">
        <is>
          <t>'124352</t>
        </is>
      </c>
      <c r="E2065" s="0" t="inlineStr">
        <is>
          <t>IND SPEARS W RD:124352D-XL</t>
        </is>
      </c>
      <c r="F2065" s="0" t="inlineStr">
        <is>
          <t>'806124352076</t>
        </is>
      </c>
      <c r="G2065" s="0" t="inlineStr">
        <is>
          <t>WOMENS</t>
        </is>
      </c>
      <c r="H2065" s="0" t="inlineStr">
        <is>
          <t>XL</t>
        </is>
      </c>
      <c r="I2065" s="0">
        <v>29.99</v>
      </c>
      <c r="J2065" s="0">
        <v>7</v>
      </c>
    </row>
    <row r="2066" spans="1:10" customHeight="0">
      <c r="A2066" s="0">
        <f>HYPERLINK("https://dl.dropboxusercontent.com/scl/fi/1tp1dhg1lnt14x6zlc5kd/124352-af.jpg?rlkey=6q78q4i68dm9ugyc5qt3j2khh&amp;dl=0","Click to download Image")</f>
      </c>
      <c r="B2066" s="0">
        <f>HYPERLINK("https://dl.dropboxusercontent.com/scl/fi/yx97tg3fg36f3kaerd9sx/womens-hoodie-and-sweatshirt-size-chartsspears.jpg?rlkey=c8ywsh8yz7it02gvlikx0qngr&amp;dl=0","Click to download SizeChart")</f>
      </c>
      <c r="C2066" s="0" t="inlineStr">
        <is>
          <t>Spears Women's Hoodie</t>
        </is>
      </c>
      <c r="D2066" s="0" t="inlineStr">
        <is>
          <t>'124352</t>
        </is>
      </c>
      <c r="E2066" s="0" t="inlineStr">
        <is>
          <t>IND SPEARS W RD:124352E-2XL</t>
        </is>
      </c>
      <c r="F2066" s="0" t="inlineStr">
        <is>
          <t>'806124352083</t>
        </is>
      </c>
      <c r="G2066" s="0" t="inlineStr">
        <is>
          <t>WOMENS</t>
        </is>
      </c>
      <c r="H2066" s="0" t="inlineStr">
        <is>
          <t>2XL</t>
        </is>
      </c>
      <c r="I2066" s="0">
        <v>31.99</v>
      </c>
      <c r="J2066" s="0">
        <v>3</v>
      </c>
    </row>
    <row r="2067" spans="1:10" customHeight="0">
      <c r="A2067" s="0">
        <f>HYPERLINK("https://dl.dropboxusercontent.com/scl/fi/1tp1dhg1lnt14x6zlc5kd/124352-af.jpg?rlkey=6q78q4i68dm9ugyc5qt3j2khh&amp;dl=0","Click to download Image")</f>
      </c>
      <c r="B2067" s="0">
        <f>HYPERLINK("https://dl.dropboxusercontent.com/scl/fi/yx97tg3fg36f3kaerd9sx/womens-hoodie-and-sweatshirt-size-chartsspears.jpg?rlkey=c8ywsh8yz7it02gvlikx0qngr&amp;dl=0","Click to download SizeChart")</f>
      </c>
      <c r="C2067" s="0" t="inlineStr">
        <is>
          <t>Spears Women's Hoodie</t>
        </is>
      </c>
      <c r="D2067" s="0" t="inlineStr">
        <is>
          <t>'124352</t>
        </is>
      </c>
      <c r="E2067" s="0" t="inlineStr">
        <is>
          <t>IND SPEARS W RD:124352F-3XL</t>
        </is>
      </c>
      <c r="F2067" s="0" t="inlineStr">
        <is>
          <t>'806124352090</t>
        </is>
      </c>
      <c r="G2067" s="0" t="inlineStr">
        <is>
          <t>WOMENS</t>
        </is>
      </c>
      <c r="H2067" s="0" t="inlineStr">
        <is>
          <t>3XL</t>
        </is>
      </c>
      <c r="I2067" s="0">
        <v>31.99</v>
      </c>
      <c r="J2067" s="0">
        <v>2</v>
      </c>
    </row>
    <row r="2068" spans="1:10" customHeight="0">
      <c r="A2068" s="0">
        <f>HYPERLINK("https://dl.dropboxusercontent.com/scl/fi/1tp1dhg1lnt14x6zlc5kd/124352-af.jpg?rlkey=6q78q4i68dm9ugyc5qt3j2khh&amp;dl=0","Click to download Image")</f>
      </c>
      <c r="B2068" s="0">
        <f>HYPERLINK("https://dl.dropboxusercontent.com/scl/fi/yx97tg3fg36f3kaerd9sx/womens-hoodie-and-sweatshirt-size-chartsspears.jpg?rlkey=c8ywsh8yz7it02gvlikx0qngr&amp;dl=0","Click to download SizeChart")</f>
      </c>
      <c r="C2068" s="0" t="inlineStr">
        <is>
          <t>Spears Women's Hoodie</t>
        </is>
      </c>
      <c r="D2068" s="0" t="inlineStr">
        <is>
          <t>'124352</t>
        </is>
      </c>
      <c r="E2068" s="0" t="inlineStr">
        <is>
          <t>IND SPEARS W RD 12PK:124352Z-12PK</t>
        </is>
      </c>
      <c r="F2068" s="0" t="inlineStr">
        <is>
          <t>'806124352991</t>
        </is>
      </c>
      <c r="G2068" s="0" t="inlineStr">
        <is>
          <t>WOMENS</t>
        </is>
      </c>
      <c r="H2068" s="0" t="inlineStr">
        <is>
          <t>12 PACK</t>
        </is>
      </c>
      <c r="I2068" s="0">
        <v>280</v>
      </c>
      <c r="J2068" s="0">
        <v>3</v>
      </c>
    </row>
    <row r="2069" spans="1:10" customHeight="0">
      <c r="A2069" s="0">
        <f>HYPERLINK("https://dl.dropboxusercontent.com/scl/fi/rjq0als002k48wxt6rx89/113458-af.jpg?rlkey=poe90j3qbvd6sgcffe5c7df25&amp;dl=0","Click to download Image")</f>
      </c>
      <c r="C2069" s="0" t="inlineStr">
        <is>
          <t>Spruce Men's Cap</t>
        </is>
      </c>
      <c r="D2069" s="0" t="inlineStr">
        <is>
          <t>'113458</t>
        </is>
      </c>
      <c r="E2069" s="0" t="inlineStr">
        <is>
          <t>IOWA SPRUCE:113458</t>
        </is>
      </c>
      <c r="F2069" s="0" t="inlineStr">
        <is>
          <t>'700113458001</t>
        </is>
      </c>
      <c r="G2069" s="0" t="inlineStr">
        <is>
          <t>MENS</t>
        </is>
      </c>
      <c r="H2069" s="0" t="inlineStr">
        <is>
          <t>STANDARD MENS</t>
        </is>
      </c>
      <c r="I2069" s="0">
        <v>19.99</v>
      </c>
      <c r="J2069" s="0">
        <v>203</v>
      </c>
    </row>
    <row r="2070" spans="1:10" customHeight="0">
      <c r="A2070" s="0">
        <f>HYPERLINK("https://dl.dropboxusercontent.com/scl/fi/q9rweg4e0q9hhkys3az60/123390-af.jpg?rlkey=tryuw7w7e2m7hkw16dq7lcquu&amp;dl=0","Click to download Image")</f>
      </c>
      <c r="C2070" s="0" t="inlineStr">
        <is>
          <t>Spruce Men's Cap</t>
        </is>
      </c>
      <c r="D2070" s="0" t="inlineStr">
        <is>
          <t>'123390</t>
        </is>
      </c>
      <c r="E2070" s="0" t="inlineStr">
        <is>
          <t>UNI SPRUCE A BK:123390</t>
        </is>
      </c>
      <c r="F2070" s="0" t="inlineStr">
        <is>
          <t>'702123390005</t>
        </is>
      </c>
      <c r="G2070" s="0" t="inlineStr">
        <is>
          <t>MENS</t>
        </is>
      </c>
      <c r="H2070" s="0" t="inlineStr">
        <is>
          <t>STANDARD MENS</t>
        </is>
      </c>
      <c r="I2070" s="0">
        <v>19.99</v>
      </c>
      <c r="J2070" s="0">
        <v>131</v>
      </c>
    </row>
    <row r="2071" spans="1:10" customHeight="0">
      <c r="A2071" s="0">
        <f>HYPERLINK("https://dl.dropboxusercontent.com/scl/fi/n4bke3d6q9e1d40r77vdz/123662-af.jpg?rlkey=0sa8vnrpzr3q23ck4nqstbhue&amp;dl=0","Click to download Image")</f>
      </c>
      <c r="C2071" s="0" t="inlineStr">
        <is>
          <t>Spruce Men's Cap</t>
        </is>
      </c>
      <c r="D2071" s="0" t="inlineStr">
        <is>
          <t>'123662</t>
        </is>
      </c>
      <c r="E2071" s="0" t="inlineStr">
        <is>
          <t>NDSU SPRUCE A BK:123662</t>
        </is>
      </c>
      <c r="F2071" s="0" t="inlineStr">
        <is>
          <t>'713123662009</t>
        </is>
      </c>
      <c r="G2071" s="0" t="inlineStr">
        <is>
          <t>MENS</t>
        </is>
      </c>
      <c r="H2071" s="0" t="inlineStr">
        <is>
          <t>STANDARD MENS</t>
        </is>
      </c>
      <c r="I2071" s="0">
        <v>19.99</v>
      </c>
      <c r="J2071" s="0">
        <v>92</v>
      </c>
    </row>
    <row r="2072" spans="1:10" customHeight="0">
      <c r="A2072" s="0">
        <f>HYPERLINK("https://dl.dropboxusercontent.com/scl/fi/gfvbjhtckwv2coz01m7tu/121027-af.jpg?rlkey=ftiwoip5p4sz74f61fdfkle8p&amp;dl=0","Click to download Image")</f>
      </c>
      <c r="B2072" s="0">
        <f>HYPERLINK("https://dl.dropboxusercontent.com/scl/fi/25tv3x0dtxcgiszkz8xvk/womens-size-chartsstrider.jpg?rlkey=0aa56wuji1a3ze933ijfj6gl2&amp;dl=0","Click to download SizeChart")</f>
      </c>
      <c r="C2072" s="0" t="inlineStr">
        <is>
          <t>Strider Women's Cardigan</t>
        </is>
      </c>
      <c r="D2072" s="0" t="inlineStr">
        <is>
          <t>'121027</t>
        </is>
      </c>
      <c r="E2072" s="0" t="inlineStr">
        <is>
          <t>UNI STRIDER W PURPLE:121027A-S</t>
        </is>
      </c>
      <c r="F2072" s="0" t="inlineStr">
        <is>
          <t>'802121027047</t>
        </is>
      </c>
      <c r="G2072" s="0" t="inlineStr">
        <is>
          <t>WOMENS</t>
        </is>
      </c>
      <c r="H2072" s="0" t="inlineStr">
        <is>
          <t>S</t>
        </is>
      </c>
      <c r="I2072" s="0">
        <v>49.99</v>
      </c>
      <c r="J2072" s="0">
        <v>4</v>
      </c>
    </row>
    <row r="2073" spans="1:10" customHeight="0">
      <c r="A2073" s="0">
        <f>HYPERLINK("https://dl.dropboxusercontent.com/scl/fi/gfvbjhtckwv2coz01m7tu/121027-af.jpg?rlkey=ftiwoip5p4sz74f61fdfkle8p&amp;dl=0","Click to download Image")</f>
      </c>
      <c r="B2073" s="0">
        <f>HYPERLINK("https://dl.dropboxusercontent.com/scl/fi/25tv3x0dtxcgiszkz8xvk/womens-size-chartsstrider.jpg?rlkey=0aa56wuji1a3ze933ijfj6gl2&amp;dl=0","Click to download SizeChart")</f>
      </c>
      <c r="C2073" s="0" t="inlineStr">
        <is>
          <t>Strider Women's Cardigan</t>
        </is>
      </c>
      <c r="D2073" s="0" t="inlineStr">
        <is>
          <t>'121027</t>
        </is>
      </c>
      <c r="E2073" s="0" t="inlineStr">
        <is>
          <t>UNI STRIDER W PURPLE:121027B-M</t>
        </is>
      </c>
      <c r="F2073" s="0" t="inlineStr">
        <is>
          <t>'802121027054</t>
        </is>
      </c>
      <c r="G2073" s="0" t="inlineStr">
        <is>
          <t>WOMENS</t>
        </is>
      </c>
      <c r="H2073" s="0" t="inlineStr">
        <is>
          <t>M</t>
        </is>
      </c>
      <c r="I2073" s="0">
        <v>49.99</v>
      </c>
      <c r="J2073" s="0">
        <v>9</v>
      </c>
    </row>
    <row r="2074" spans="1:10" customHeight="0">
      <c r="A2074" s="0">
        <f>HYPERLINK("https://dl.dropboxusercontent.com/scl/fi/gfvbjhtckwv2coz01m7tu/121027-af.jpg?rlkey=ftiwoip5p4sz74f61fdfkle8p&amp;dl=0","Click to download Image")</f>
      </c>
      <c r="B2074" s="0">
        <f>HYPERLINK("https://dl.dropboxusercontent.com/scl/fi/25tv3x0dtxcgiszkz8xvk/womens-size-chartsstrider.jpg?rlkey=0aa56wuji1a3ze933ijfj6gl2&amp;dl=0","Click to download SizeChart")</f>
      </c>
      <c r="C2074" s="0" t="inlineStr">
        <is>
          <t>Strider Women's Cardigan</t>
        </is>
      </c>
      <c r="D2074" s="0" t="inlineStr">
        <is>
          <t>'121027</t>
        </is>
      </c>
      <c r="E2074" s="0" t="inlineStr">
        <is>
          <t>UNI STRIDER W PURPLE:121027C-L</t>
        </is>
      </c>
      <c r="F2074" s="0" t="inlineStr">
        <is>
          <t>'802121027061</t>
        </is>
      </c>
      <c r="G2074" s="0" t="inlineStr">
        <is>
          <t>WOMENS</t>
        </is>
      </c>
      <c r="H2074" s="0" t="inlineStr">
        <is>
          <t>L</t>
        </is>
      </c>
      <c r="I2074" s="0">
        <v>49.99</v>
      </c>
      <c r="J2074" s="0">
        <v>10</v>
      </c>
    </row>
    <row r="2075" spans="1:10" customHeight="0">
      <c r="A2075" s="0">
        <f>HYPERLINK("https://dl.dropboxusercontent.com/scl/fi/gfvbjhtckwv2coz01m7tu/121027-af.jpg?rlkey=ftiwoip5p4sz74f61fdfkle8p&amp;dl=0","Click to download Image")</f>
      </c>
      <c r="B2075" s="0">
        <f>HYPERLINK("https://dl.dropboxusercontent.com/scl/fi/25tv3x0dtxcgiszkz8xvk/womens-size-chartsstrider.jpg?rlkey=0aa56wuji1a3ze933ijfj6gl2&amp;dl=0","Click to download SizeChart")</f>
      </c>
      <c r="C2075" s="0" t="inlineStr">
        <is>
          <t>Strider Women's Cardigan</t>
        </is>
      </c>
      <c r="D2075" s="0" t="inlineStr">
        <is>
          <t>'121027</t>
        </is>
      </c>
      <c r="E2075" s="0" t="inlineStr">
        <is>
          <t>UNI STRIDER W PURPLE:121027D-XL</t>
        </is>
      </c>
      <c r="F2075" s="0" t="inlineStr">
        <is>
          <t>'802121027078</t>
        </is>
      </c>
      <c r="G2075" s="0" t="inlineStr">
        <is>
          <t>WOMENS</t>
        </is>
      </c>
      <c r="H2075" s="0" t="inlineStr">
        <is>
          <t>XL</t>
        </is>
      </c>
      <c r="I2075" s="0">
        <v>49.99</v>
      </c>
      <c r="J2075" s="0">
        <v>2</v>
      </c>
    </row>
    <row r="2076" spans="1:10" customHeight="0">
      <c r="A2076" s="0">
        <f>HYPERLINK("https://dl.dropboxusercontent.com/scl/fi/gfvbjhtckwv2coz01m7tu/121027-af.jpg?rlkey=ftiwoip5p4sz74f61fdfkle8p&amp;dl=0","Click to download Image")</f>
      </c>
      <c r="B2076" s="0">
        <f>HYPERLINK("https://dl.dropboxusercontent.com/scl/fi/25tv3x0dtxcgiszkz8xvk/womens-size-chartsstrider.jpg?rlkey=0aa56wuji1a3ze933ijfj6gl2&amp;dl=0","Click to download SizeChart")</f>
      </c>
      <c r="C2076" s="0" t="inlineStr">
        <is>
          <t>Strider Women's Cardigan</t>
        </is>
      </c>
      <c r="D2076" s="0" t="inlineStr">
        <is>
          <t>'121027</t>
        </is>
      </c>
      <c r="E2076" s="0" t="inlineStr">
        <is>
          <t>UNI STRIDER W PURPLE:121027E-2XL</t>
        </is>
      </c>
      <c r="F2076" s="0" t="inlineStr">
        <is>
          <t>'802121027085</t>
        </is>
      </c>
      <c r="G2076" s="0" t="inlineStr">
        <is>
          <t>WOMENS</t>
        </is>
      </c>
      <c r="H2076" s="0" t="inlineStr">
        <is>
          <t>2XL</t>
        </is>
      </c>
      <c r="I2076" s="0">
        <v>51.99</v>
      </c>
      <c r="J2076" s="0">
        <v>3</v>
      </c>
    </row>
    <row r="2077" spans="1:10" customHeight="0">
      <c r="A2077" s="0">
        <f>HYPERLINK("https://dl.dropboxusercontent.com/scl/fi/gfvbjhtckwv2coz01m7tu/121027-af.jpg?rlkey=ftiwoip5p4sz74f61fdfkle8p&amp;dl=0","Click to download Image")</f>
      </c>
      <c r="B2077" s="0">
        <f>HYPERLINK("https://dl.dropboxusercontent.com/scl/fi/25tv3x0dtxcgiszkz8xvk/womens-size-chartsstrider.jpg?rlkey=0aa56wuji1a3ze933ijfj6gl2&amp;dl=0","Click to download SizeChart")</f>
      </c>
      <c r="C2077" s="0" t="inlineStr">
        <is>
          <t>Strider Women's Cardigan</t>
        </is>
      </c>
      <c r="D2077" s="0" t="inlineStr">
        <is>
          <t>'121027</t>
        </is>
      </c>
      <c r="E2077" s="0" t="inlineStr">
        <is>
          <t>UNI STRIDER W PURPLE:121027F-3XL</t>
        </is>
      </c>
      <c r="F2077" s="0" t="inlineStr">
        <is>
          <t>'802121027092</t>
        </is>
      </c>
      <c r="G2077" s="0" t="inlineStr">
        <is>
          <t>WOMENS</t>
        </is>
      </c>
      <c r="H2077" s="0" t="inlineStr">
        <is>
          <t>3XL</t>
        </is>
      </c>
      <c r="I2077" s="0">
        <v>51.99</v>
      </c>
      <c r="J2077" s="0">
        <v>1</v>
      </c>
    </row>
    <row r="2078" spans="1:10" customHeight="0">
      <c r="A2078" s="0">
        <f>HYPERLINK("https://dl.dropboxusercontent.com/scl/fi/gfvbjhtckwv2coz01m7tu/121027-af.jpg?rlkey=ftiwoip5p4sz74f61fdfkle8p&amp;dl=0","Click to download Image")</f>
      </c>
      <c r="B2078" s="0">
        <f>HYPERLINK("https://dl.dropboxusercontent.com/scl/fi/25tv3x0dtxcgiszkz8xvk/womens-size-chartsstrider.jpg?rlkey=0aa56wuji1a3ze933ijfj6gl2&amp;dl=0","Click to download SizeChart")</f>
      </c>
      <c r="C2078" s="0" t="inlineStr">
        <is>
          <t>Strider Women's Cardigan</t>
        </is>
      </c>
      <c r="D2078" s="0" t="inlineStr">
        <is>
          <t>'121027</t>
        </is>
      </c>
      <c r="E2078" s="0" t="inlineStr">
        <is>
          <t>UNI STRIDER W PURPLE 12 PACK:121027Z-12PK</t>
        </is>
      </c>
      <c r="F2078" s="0" t="inlineStr">
        <is>
          <t>'802121027993</t>
        </is>
      </c>
      <c r="G2078" s="0" t="inlineStr">
        <is>
          <t>WOMENS</t>
        </is>
      </c>
      <c r="H2078" s="0" t="inlineStr">
        <is>
          <t>12 PACK</t>
        </is>
      </c>
      <c r="I2078" s="0">
        <v>480</v>
      </c>
      <c r="J2078" s="0">
        <v>1</v>
      </c>
    </row>
    <row r="2079" spans="1:10" customHeight="0">
      <c r="A2079" s="0">
        <f>HYPERLINK("https://dl.dropboxusercontent.com/scl/fi/wfeox2l3n5vptv3wr0srx/121025-af.jpg?rlkey=2vi8ht1e7r9fa388wrq0lqf10&amp;dl=0","Click to download Image")</f>
      </c>
      <c r="B2079" s="0">
        <f>HYPERLINK("https://dl.dropboxusercontent.com/scl/fi/25tv3x0dtxcgiszkz8xvk/womens-size-chartsstrider.jpg?rlkey=0aa56wuji1a3ze933ijfj6gl2&amp;dl=0","Click to download SizeChart")</f>
      </c>
      <c r="C2079" s="0" t="inlineStr">
        <is>
          <t>Strider Women's Cardigan</t>
        </is>
      </c>
      <c r="D2079" s="0" t="inlineStr">
        <is>
          <t>'121025</t>
        </is>
      </c>
      <c r="E2079" s="0" t="inlineStr">
        <is>
          <t>IOWA STRIDER W BLACK:121025A-S</t>
        </is>
      </c>
      <c r="F2079" s="0" t="inlineStr">
        <is>
          <t>'800121025049</t>
        </is>
      </c>
      <c r="G2079" s="0" t="inlineStr">
        <is>
          <t>WOMENS</t>
        </is>
      </c>
      <c r="H2079" s="0" t="inlineStr">
        <is>
          <t>S</t>
        </is>
      </c>
      <c r="I2079" s="0">
        <v>49.99</v>
      </c>
      <c r="J2079" s="0">
        <v>1</v>
      </c>
    </row>
    <row r="2080" spans="1:10" customHeight="0">
      <c r="A2080" s="0">
        <f>HYPERLINK("https://dl.dropboxusercontent.com/scl/fi/wfeox2l3n5vptv3wr0srx/121025-af.jpg?rlkey=2vi8ht1e7r9fa388wrq0lqf10&amp;dl=0","Click to download Image")</f>
      </c>
      <c r="B2080" s="0">
        <f>HYPERLINK("https://dl.dropboxusercontent.com/scl/fi/25tv3x0dtxcgiszkz8xvk/womens-size-chartsstrider.jpg?rlkey=0aa56wuji1a3ze933ijfj6gl2&amp;dl=0","Click to download SizeChart")</f>
      </c>
      <c r="C2080" s="0" t="inlineStr">
        <is>
          <t>Strider Women's Cardigan</t>
        </is>
      </c>
      <c r="D2080" s="0" t="inlineStr">
        <is>
          <t>'121025</t>
        </is>
      </c>
      <c r="E2080" s="0" t="inlineStr">
        <is>
          <t>IOWA STRIDER W BLACK:121025B-M</t>
        </is>
      </c>
      <c r="F2080" s="0" t="inlineStr">
        <is>
          <t>'800121025056</t>
        </is>
      </c>
      <c r="G2080" s="0" t="inlineStr">
        <is>
          <t>WOMENS</t>
        </is>
      </c>
      <c r="H2080" s="0" t="inlineStr">
        <is>
          <t>M</t>
        </is>
      </c>
      <c r="I2080" s="0">
        <v>49.99</v>
      </c>
      <c r="J2080" s="0">
        <v>17</v>
      </c>
    </row>
    <row r="2081" spans="1:10" customHeight="0">
      <c r="A2081" s="0">
        <f>HYPERLINK("https://dl.dropboxusercontent.com/scl/fi/wfeox2l3n5vptv3wr0srx/121025-af.jpg?rlkey=2vi8ht1e7r9fa388wrq0lqf10&amp;dl=0","Click to download Image")</f>
      </c>
      <c r="B2081" s="0">
        <f>HYPERLINK("https://dl.dropboxusercontent.com/scl/fi/25tv3x0dtxcgiszkz8xvk/womens-size-chartsstrider.jpg?rlkey=0aa56wuji1a3ze933ijfj6gl2&amp;dl=0","Click to download SizeChart")</f>
      </c>
      <c r="C2081" s="0" t="inlineStr">
        <is>
          <t>Strider Women's Cardigan</t>
        </is>
      </c>
      <c r="D2081" s="0" t="inlineStr">
        <is>
          <t>'121025</t>
        </is>
      </c>
      <c r="E2081" s="0" t="inlineStr">
        <is>
          <t>IOWA STRIDER W BLACK:121025C-L</t>
        </is>
      </c>
      <c r="F2081" s="0" t="inlineStr">
        <is>
          <t>'800121025063</t>
        </is>
      </c>
      <c r="G2081" s="0" t="inlineStr">
        <is>
          <t>WOMENS</t>
        </is>
      </c>
      <c r="H2081" s="0" t="inlineStr">
        <is>
          <t>L</t>
        </is>
      </c>
      <c r="I2081" s="0">
        <v>49.99</v>
      </c>
      <c r="J2081" s="0">
        <v>17</v>
      </c>
    </row>
    <row r="2082" spans="1:10" customHeight="0">
      <c r="A2082" s="0">
        <f>HYPERLINK("https://dl.dropboxusercontent.com/scl/fi/wfeox2l3n5vptv3wr0srx/121025-af.jpg?rlkey=2vi8ht1e7r9fa388wrq0lqf10&amp;dl=0","Click to download Image")</f>
      </c>
      <c r="B2082" s="0">
        <f>HYPERLINK("https://dl.dropboxusercontent.com/scl/fi/25tv3x0dtxcgiszkz8xvk/womens-size-chartsstrider.jpg?rlkey=0aa56wuji1a3ze933ijfj6gl2&amp;dl=0","Click to download SizeChart")</f>
      </c>
      <c r="C2082" s="0" t="inlineStr">
        <is>
          <t>Strider Women's Cardigan</t>
        </is>
      </c>
      <c r="D2082" s="0" t="inlineStr">
        <is>
          <t>'121025</t>
        </is>
      </c>
      <c r="E2082" s="0" t="inlineStr">
        <is>
          <t>IOWA STRIDER W BLACK:121025D-XL</t>
        </is>
      </c>
      <c r="F2082" s="0" t="inlineStr">
        <is>
          <t>'800121025070</t>
        </is>
      </c>
      <c r="G2082" s="0" t="inlineStr">
        <is>
          <t>WOMENS</t>
        </is>
      </c>
      <c r="H2082" s="0" t="inlineStr">
        <is>
          <t>XL</t>
        </is>
      </c>
      <c r="I2082" s="0">
        <v>49.99</v>
      </c>
      <c r="J2082" s="0">
        <v>0</v>
      </c>
    </row>
    <row r="2083" spans="1:10" customHeight="0">
      <c r="A2083" s="0">
        <f>HYPERLINK("https://dl.dropboxusercontent.com/scl/fi/wfeox2l3n5vptv3wr0srx/121025-af.jpg?rlkey=2vi8ht1e7r9fa388wrq0lqf10&amp;dl=0","Click to download Image")</f>
      </c>
      <c r="B2083" s="0">
        <f>HYPERLINK("https://dl.dropboxusercontent.com/scl/fi/25tv3x0dtxcgiszkz8xvk/womens-size-chartsstrider.jpg?rlkey=0aa56wuji1a3ze933ijfj6gl2&amp;dl=0","Click to download SizeChart")</f>
      </c>
      <c r="C2083" s="0" t="inlineStr">
        <is>
          <t>Strider Women's Cardigan</t>
        </is>
      </c>
      <c r="D2083" s="0" t="inlineStr">
        <is>
          <t>'121025</t>
        </is>
      </c>
      <c r="E2083" s="0" t="inlineStr">
        <is>
          <t>IOWA STRIDER W BLACK:121025E-2XL</t>
        </is>
      </c>
      <c r="F2083" s="0" t="inlineStr">
        <is>
          <t>'800121025087</t>
        </is>
      </c>
      <c r="G2083" s="0" t="inlineStr">
        <is>
          <t>WOMENS</t>
        </is>
      </c>
      <c r="H2083" s="0" t="inlineStr">
        <is>
          <t>2XL</t>
        </is>
      </c>
      <c r="I2083" s="0">
        <v>51.99</v>
      </c>
      <c r="J2083" s="0">
        <v>0</v>
      </c>
    </row>
    <row r="2084" spans="1:10" customHeight="0">
      <c r="A2084" s="0">
        <f>HYPERLINK("https://dl.dropboxusercontent.com/scl/fi/wfeox2l3n5vptv3wr0srx/121025-af.jpg?rlkey=2vi8ht1e7r9fa388wrq0lqf10&amp;dl=0","Click to download Image")</f>
      </c>
      <c r="B2084" s="0">
        <f>HYPERLINK("https://dl.dropboxusercontent.com/scl/fi/25tv3x0dtxcgiszkz8xvk/womens-size-chartsstrider.jpg?rlkey=0aa56wuji1a3ze933ijfj6gl2&amp;dl=0","Click to download SizeChart")</f>
      </c>
      <c r="C2084" s="0" t="inlineStr">
        <is>
          <t>Strider Women's Cardigan</t>
        </is>
      </c>
      <c r="D2084" s="0" t="inlineStr">
        <is>
          <t>'121025</t>
        </is>
      </c>
      <c r="E2084" s="0" t="inlineStr">
        <is>
          <t>IOWA STRIDER W BLACK:121025F-3XL</t>
        </is>
      </c>
      <c r="F2084" s="0" t="inlineStr">
        <is>
          <t>'800121025094</t>
        </is>
      </c>
      <c r="G2084" s="0" t="inlineStr">
        <is>
          <t>WOMENS</t>
        </is>
      </c>
      <c r="H2084" s="0" t="inlineStr">
        <is>
          <t>3XL</t>
        </is>
      </c>
      <c r="I2084" s="0">
        <v>51.99</v>
      </c>
      <c r="J2084" s="0">
        <v>0</v>
      </c>
    </row>
    <row r="2085" spans="1:10" customHeight="0">
      <c r="A2085" s="0">
        <f>HYPERLINK("https://dl.dropboxusercontent.com/scl/fi/wfeox2l3n5vptv3wr0srx/121025-af.jpg?rlkey=2vi8ht1e7r9fa388wrq0lqf10&amp;dl=0","Click to download Image")</f>
      </c>
      <c r="B2085" s="0">
        <f>HYPERLINK("https://dl.dropboxusercontent.com/scl/fi/25tv3x0dtxcgiszkz8xvk/womens-size-chartsstrider.jpg?rlkey=0aa56wuji1a3ze933ijfj6gl2&amp;dl=0","Click to download SizeChart")</f>
      </c>
      <c r="C2085" s="0" t="inlineStr">
        <is>
          <t>Strider Women's Cardigan</t>
        </is>
      </c>
      <c r="D2085" s="0" t="inlineStr">
        <is>
          <t>'121025</t>
        </is>
      </c>
      <c r="E2085" s="0" t="inlineStr">
        <is>
          <t>IOWA STRIDER W BLACK  12 PACK:121025Z-12PK</t>
        </is>
      </c>
      <c r="F2085" s="0" t="inlineStr">
        <is>
          <t>'800121025995</t>
        </is>
      </c>
      <c r="G2085" s="0" t="inlineStr">
        <is>
          <t>WOMENS</t>
        </is>
      </c>
      <c r="H2085" s="0" t="inlineStr">
        <is>
          <t>12 PACK</t>
        </is>
      </c>
      <c r="I2085" s="0">
        <v>480</v>
      </c>
      <c r="J2085" s="0">
        <v>0</v>
      </c>
    </row>
    <row r="2086" spans="1:10" customHeight="0">
      <c r="A2086" s="0">
        <f>HYPERLINK("https://dl.dropboxusercontent.com/scl/fi/qau665gfaclx93ok1ho7y/123162-af.jpg?rlkey=tadtsops9jzz088ii8bmddf5b&amp;dl=0","Click to download Image")</f>
      </c>
      <c r="B2086" s="0">
        <f>HYPERLINK("https://dl.dropboxusercontent.com/scl/fi/25tv3x0dtxcgiszkz8xvk/womens-size-chartsstrider.jpg?rlkey=0aa56wuji1a3ze933ijfj6gl2&amp;dl=0","Click to download SizeChart")</f>
      </c>
      <c r="C2086" s="0" t="inlineStr">
        <is>
          <t>Strider Women's Cardigan</t>
        </is>
      </c>
      <c r="D2086" s="0" t="inlineStr">
        <is>
          <t>'123162</t>
        </is>
      </c>
      <c r="E2086" s="0" t="inlineStr">
        <is>
          <t>IND STRIDE W CL:123162A-S</t>
        </is>
      </c>
      <c r="F2086" s="0" t="inlineStr">
        <is>
          <t>'806123162041</t>
        </is>
      </c>
      <c r="G2086" s="0" t="inlineStr">
        <is>
          <t>WOMENS</t>
        </is>
      </c>
      <c r="H2086" s="0" t="inlineStr">
        <is>
          <t>S</t>
        </is>
      </c>
      <c r="I2086" s="0">
        <v>49.99</v>
      </c>
      <c r="J2086" s="0">
        <v>4</v>
      </c>
    </row>
    <row r="2087" spans="1:10" customHeight="0">
      <c r="A2087" s="0">
        <f>HYPERLINK("https://dl.dropboxusercontent.com/scl/fi/qau665gfaclx93ok1ho7y/123162-af.jpg?rlkey=tadtsops9jzz088ii8bmddf5b&amp;dl=0","Click to download Image")</f>
      </c>
      <c r="B2087" s="0">
        <f>HYPERLINK("https://dl.dropboxusercontent.com/scl/fi/25tv3x0dtxcgiszkz8xvk/womens-size-chartsstrider.jpg?rlkey=0aa56wuji1a3ze933ijfj6gl2&amp;dl=0","Click to download SizeChart")</f>
      </c>
      <c r="C2087" s="0" t="inlineStr">
        <is>
          <t>Strider Women's Cardigan</t>
        </is>
      </c>
      <c r="D2087" s="0" t="inlineStr">
        <is>
          <t>'123162</t>
        </is>
      </c>
      <c r="E2087" s="0" t="inlineStr">
        <is>
          <t>IND STRIDE W CL:123162B-M</t>
        </is>
      </c>
      <c r="F2087" s="0" t="inlineStr">
        <is>
          <t>'806123162058</t>
        </is>
      </c>
      <c r="G2087" s="0" t="inlineStr">
        <is>
          <t>WOMENS</t>
        </is>
      </c>
      <c r="H2087" s="0" t="inlineStr">
        <is>
          <t>M</t>
        </is>
      </c>
      <c r="I2087" s="0">
        <v>49.99</v>
      </c>
      <c r="J2087" s="0">
        <v>6</v>
      </c>
    </row>
    <row r="2088" spans="1:10" customHeight="0">
      <c r="A2088" s="0">
        <f>HYPERLINK("https://dl.dropboxusercontent.com/scl/fi/qau665gfaclx93ok1ho7y/123162-af.jpg?rlkey=tadtsops9jzz088ii8bmddf5b&amp;dl=0","Click to download Image")</f>
      </c>
      <c r="B2088" s="0">
        <f>HYPERLINK("https://dl.dropboxusercontent.com/scl/fi/25tv3x0dtxcgiszkz8xvk/womens-size-chartsstrider.jpg?rlkey=0aa56wuji1a3ze933ijfj6gl2&amp;dl=0","Click to download SizeChart")</f>
      </c>
      <c r="C2088" s="0" t="inlineStr">
        <is>
          <t>Strider Women's Cardigan</t>
        </is>
      </c>
      <c r="D2088" s="0" t="inlineStr">
        <is>
          <t>'123162</t>
        </is>
      </c>
      <c r="E2088" s="0" t="inlineStr">
        <is>
          <t>IND STRIDE W CL:123162C-L</t>
        </is>
      </c>
      <c r="F2088" s="0" t="inlineStr">
        <is>
          <t>'806123162065</t>
        </is>
      </c>
      <c r="G2088" s="0" t="inlineStr">
        <is>
          <t>WOMENS</t>
        </is>
      </c>
      <c r="H2088" s="0" t="inlineStr">
        <is>
          <t>L</t>
        </is>
      </c>
      <c r="I2088" s="0">
        <v>49.99</v>
      </c>
      <c r="J2088" s="0">
        <v>4</v>
      </c>
    </row>
    <row r="2089" spans="1:10" customHeight="0">
      <c r="A2089" s="0">
        <f>HYPERLINK("https://dl.dropboxusercontent.com/scl/fi/qau665gfaclx93ok1ho7y/123162-af.jpg?rlkey=tadtsops9jzz088ii8bmddf5b&amp;dl=0","Click to download Image")</f>
      </c>
      <c r="B2089" s="0">
        <f>HYPERLINK("https://dl.dropboxusercontent.com/scl/fi/25tv3x0dtxcgiszkz8xvk/womens-size-chartsstrider.jpg?rlkey=0aa56wuji1a3ze933ijfj6gl2&amp;dl=0","Click to download SizeChart")</f>
      </c>
      <c r="C2089" s="0" t="inlineStr">
        <is>
          <t>Strider Women's Cardigan</t>
        </is>
      </c>
      <c r="D2089" s="0" t="inlineStr">
        <is>
          <t>'123162</t>
        </is>
      </c>
      <c r="E2089" s="0" t="inlineStr">
        <is>
          <t>IND STRIDE W CL:123162D-XL</t>
        </is>
      </c>
      <c r="F2089" s="0" t="inlineStr">
        <is>
          <t>'806123162072</t>
        </is>
      </c>
      <c r="G2089" s="0" t="inlineStr">
        <is>
          <t>WOMENS</t>
        </is>
      </c>
      <c r="H2089" s="0" t="inlineStr">
        <is>
          <t>XL</t>
        </is>
      </c>
      <c r="I2089" s="0">
        <v>49.99</v>
      </c>
      <c r="J2089" s="0">
        <v>0</v>
      </c>
    </row>
    <row r="2090" spans="1:10" customHeight="0">
      <c r="A2090" s="0">
        <f>HYPERLINK("https://dl.dropboxusercontent.com/scl/fi/qau665gfaclx93ok1ho7y/123162-af.jpg?rlkey=tadtsops9jzz088ii8bmddf5b&amp;dl=0","Click to download Image")</f>
      </c>
      <c r="B2090" s="0">
        <f>HYPERLINK("https://dl.dropboxusercontent.com/scl/fi/25tv3x0dtxcgiszkz8xvk/womens-size-chartsstrider.jpg?rlkey=0aa56wuji1a3ze933ijfj6gl2&amp;dl=0","Click to download SizeChart")</f>
      </c>
      <c r="C2090" s="0" t="inlineStr">
        <is>
          <t>Strider Women's Cardigan</t>
        </is>
      </c>
      <c r="D2090" s="0" t="inlineStr">
        <is>
          <t>'123162</t>
        </is>
      </c>
      <c r="E2090" s="0" t="inlineStr">
        <is>
          <t>IND STRIDE W CL:123162E-2XL</t>
        </is>
      </c>
      <c r="F2090" s="0" t="inlineStr">
        <is>
          <t>'806123162089</t>
        </is>
      </c>
      <c r="G2090" s="0" t="inlineStr">
        <is>
          <t>WOMENS</t>
        </is>
      </c>
      <c r="H2090" s="0" t="inlineStr">
        <is>
          <t>2XL</t>
        </is>
      </c>
      <c r="I2090" s="0">
        <v>51.99</v>
      </c>
      <c r="J2090" s="0">
        <v>0</v>
      </c>
    </row>
    <row r="2091" spans="1:10" customHeight="0">
      <c r="A2091" s="0">
        <f>HYPERLINK("https://dl.dropboxusercontent.com/scl/fi/qau665gfaclx93ok1ho7y/123162-af.jpg?rlkey=tadtsops9jzz088ii8bmddf5b&amp;dl=0","Click to download Image")</f>
      </c>
      <c r="B2091" s="0">
        <f>HYPERLINK("https://dl.dropboxusercontent.com/scl/fi/25tv3x0dtxcgiszkz8xvk/womens-size-chartsstrider.jpg?rlkey=0aa56wuji1a3ze933ijfj6gl2&amp;dl=0","Click to download SizeChart")</f>
      </c>
      <c r="C2091" s="0" t="inlineStr">
        <is>
          <t>Strider Women's Cardigan</t>
        </is>
      </c>
      <c r="D2091" s="0" t="inlineStr">
        <is>
          <t>'123162</t>
        </is>
      </c>
      <c r="E2091" s="0" t="inlineStr">
        <is>
          <t>IND STRIDE W CL:123162F-3XL</t>
        </is>
      </c>
      <c r="F2091" s="0" t="inlineStr">
        <is>
          <t>'806123162096</t>
        </is>
      </c>
      <c r="G2091" s="0" t="inlineStr">
        <is>
          <t>WOMENS</t>
        </is>
      </c>
      <c r="H2091" s="0" t="inlineStr">
        <is>
          <t>3XL</t>
        </is>
      </c>
      <c r="I2091" s="0">
        <v>51.99</v>
      </c>
      <c r="J2091" s="0">
        <v>0</v>
      </c>
    </row>
    <row r="2092" spans="1:10" customHeight="0">
      <c r="A2092" s="0">
        <f>HYPERLINK("https://dl.dropboxusercontent.com/scl/fi/qau665gfaclx93ok1ho7y/123162-af.jpg?rlkey=tadtsops9jzz088ii8bmddf5b&amp;dl=0","Click to download Image")</f>
      </c>
      <c r="B2092" s="0">
        <f>HYPERLINK("https://dl.dropboxusercontent.com/scl/fi/25tv3x0dtxcgiszkz8xvk/womens-size-chartsstrider.jpg?rlkey=0aa56wuji1a3ze933ijfj6gl2&amp;dl=0","Click to download SizeChart")</f>
      </c>
      <c r="C2092" s="0" t="inlineStr">
        <is>
          <t>Strider Women's Cardigan</t>
        </is>
      </c>
      <c r="D2092" s="0" t="inlineStr">
        <is>
          <t>'123162</t>
        </is>
      </c>
      <c r="E2092" s="0" t="inlineStr">
        <is>
          <t>IND STRIDE W CL 12PK:123162Z-12PK</t>
        </is>
      </c>
      <c r="F2092" s="0" t="inlineStr">
        <is>
          <t>'806123162997</t>
        </is>
      </c>
      <c r="G2092" s="0" t="inlineStr">
        <is>
          <t>WOMENS</t>
        </is>
      </c>
      <c r="H2092" s="0" t="inlineStr">
        <is>
          <t>12 PACK</t>
        </is>
      </c>
      <c r="I2092" s="0">
        <v>480</v>
      </c>
      <c r="J2092" s="0">
        <v>0</v>
      </c>
    </row>
    <row r="2093" spans="1:10" customHeight="0">
      <c r="A2093" s="0">
        <f>HYPERLINK("https://dl.dropboxusercontent.com/scl/fi/6l554se9und3qtlimkcmb/123182-af.jpg?rlkey=xn9onnt4k3gvnfz05ya4skd2v&amp;dl=0","Click to download Image")</f>
      </c>
      <c r="B2093" s="0">
        <f>HYPERLINK("https://dl.dropboxusercontent.com/scl/fi/25tv3x0dtxcgiszkz8xvk/womens-size-chartsstrider.jpg?rlkey=0aa56wuji1a3ze933ijfj6gl2&amp;dl=0","Click to download SizeChart")</f>
      </c>
      <c r="C2093" s="0" t="inlineStr">
        <is>
          <t>Strider Women's Cardigan</t>
        </is>
      </c>
      <c r="D2093" s="0" t="inlineStr">
        <is>
          <t>'123182</t>
        </is>
      </c>
      <c r="E2093" s="0" t="inlineStr">
        <is>
          <t>PUR STRIDE W BK:123182A-S</t>
        </is>
      </c>
      <c r="F2093" s="0" t="inlineStr">
        <is>
          <t>'804123182045</t>
        </is>
      </c>
      <c r="G2093" s="0" t="inlineStr">
        <is>
          <t>WOMENS</t>
        </is>
      </c>
      <c r="H2093" s="0" t="inlineStr">
        <is>
          <t>S</t>
        </is>
      </c>
      <c r="I2093" s="0">
        <v>49.99</v>
      </c>
      <c r="J2093" s="0">
        <v>7</v>
      </c>
    </row>
    <row r="2094" spans="1:10" customHeight="0">
      <c r="A2094" s="0">
        <f>HYPERLINK("https://dl.dropboxusercontent.com/scl/fi/6l554se9und3qtlimkcmb/123182-af.jpg?rlkey=xn9onnt4k3gvnfz05ya4skd2v&amp;dl=0","Click to download Image")</f>
      </c>
      <c r="B2094" s="0">
        <f>HYPERLINK("https://dl.dropboxusercontent.com/scl/fi/25tv3x0dtxcgiszkz8xvk/womens-size-chartsstrider.jpg?rlkey=0aa56wuji1a3ze933ijfj6gl2&amp;dl=0","Click to download SizeChart")</f>
      </c>
      <c r="C2094" s="0" t="inlineStr">
        <is>
          <t>Strider Women's Cardigan</t>
        </is>
      </c>
      <c r="D2094" s="0" t="inlineStr">
        <is>
          <t>'123182</t>
        </is>
      </c>
      <c r="E2094" s="0" t="inlineStr">
        <is>
          <t>PUR STRIDE W BK:123182B-M</t>
        </is>
      </c>
      <c r="F2094" s="0" t="inlineStr">
        <is>
          <t>'804123182052</t>
        </is>
      </c>
      <c r="G2094" s="0" t="inlineStr">
        <is>
          <t>WOMENS</t>
        </is>
      </c>
      <c r="H2094" s="0" t="inlineStr">
        <is>
          <t>M</t>
        </is>
      </c>
      <c r="I2094" s="0">
        <v>49.99</v>
      </c>
      <c r="J2094" s="0">
        <v>12</v>
      </c>
    </row>
    <row r="2095" spans="1:10" customHeight="0">
      <c r="A2095" s="0">
        <f>HYPERLINK("https://dl.dropboxusercontent.com/scl/fi/6l554se9und3qtlimkcmb/123182-af.jpg?rlkey=xn9onnt4k3gvnfz05ya4skd2v&amp;dl=0","Click to download Image")</f>
      </c>
      <c r="B2095" s="0">
        <f>HYPERLINK("https://dl.dropboxusercontent.com/scl/fi/25tv3x0dtxcgiszkz8xvk/womens-size-chartsstrider.jpg?rlkey=0aa56wuji1a3ze933ijfj6gl2&amp;dl=0","Click to download SizeChart")</f>
      </c>
      <c r="C2095" s="0" t="inlineStr">
        <is>
          <t>Strider Women's Cardigan</t>
        </is>
      </c>
      <c r="D2095" s="0" t="inlineStr">
        <is>
          <t>'123182</t>
        </is>
      </c>
      <c r="E2095" s="0" t="inlineStr">
        <is>
          <t>PUR STRIDE W BK:123182C-L</t>
        </is>
      </c>
      <c r="F2095" s="0" t="inlineStr">
        <is>
          <t>'804123182069</t>
        </is>
      </c>
      <c r="G2095" s="0" t="inlineStr">
        <is>
          <t>WOMENS</t>
        </is>
      </c>
      <c r="H2095" s="0" t="inlineStr">
        <is>
          <t>L</t>
        </is>
      </c>
      <c r="I2095" s="0">
        <v>49.99</v>
      </c>
      <c r="J2095" s="0">
        <v>11</v>
      </c>
    </row>
    <row r="2096" spans="1:10" customHeight="0">
      <c r="A2096" s="0">
        <f>HYPERLINK("https://dl.dropboxusercontent.com/scl/fi/6l554se9und3qtlimkcmb/123182-af.jpg?rlkey=xn9onnt4k3gvnfz05ya4skd2v&amp;dl=0","Click to download Image")</f>
      </c>
      <c r="B2096" s="0">
        <f>HYPERLINK("https://dl.dropboxusercontent.com/scl/fi/25tv3x0dtxcgiszkz8xvk/womens-size-chartsstrider.jpg?rlkey=0aa56wuji1a3ze933ijfj6gl2&amp;dl=0","Click to download SizeChart")</f>
      </c>
      <c r="C2096" s="0" t="inlineStr">
        <is>
          <t>Strider Women's Cardigan</t>
        </is>
      </c>
      <c r="D2096" s="0" t="inlineStr">
        <is>
          <t>'123182</t>
        </is>
      </c>
      <c r="E2096" s="0" t="inlineStr">
        <is>
          <t>PUR STRIDE W BK:123182D-XL</t>
        </is>
      </c>
      <c r="F2096" s="0" t="inlineStr">
        <is>
          <t>'804123182076</t>
        </is>
      </c>
      <c r="G2096" s="0" t="inlineStr">
        <is>
          <t>WOMENS</t>
        </is>
      </c>
      <c r="H2096" s="0" t="inlineStr">
        <is>
          <t>XL</t>
        </is>
      </c>
      <c r="I2096" s="0">
        <v>49.99</v>
      </c>
      <c r="J2096" s="0">
        <v>4</v>
      </c>
    </row>
    <row r="2097" spans="1:10" customHeight="0">
      <c r="A2097" s="0">
        <f>HYPERLINK("https://dl.dropboxusercontent.com/scl/fi/6l554se9und3qtlimkcmb/123182-af.jpg?rlkey=xn9onnt4k3gvnfz05ya4skd2v&amp;dl=0","Click to download Image")</f>
      </c>
      <c r="B2097" s="0">
        <f>HYPERLINK("https://dl.dropboxusercontent.com/scl/fi/25tv3x0dtxcgiszkz8xvk/womens-size-chartsstrider.jpg?rlkey=0aa56wuji1a3ze933ijfj6gl2&amp;dl=0","Click to download SizeChart")</f>
      </c>
      <c r="C2097" s="0" t="inlineStr">
        <is>
          <t>Strider Women's Cardigan</t>
        </is>
      </c>
      <c r="D2097" s="0" t="inlineStr">
        <is>
          <t>'123182</t>
        </is>
      </c>
      <c r="E2097" s="0" t="inlineStr">
        <is>
          <t>PUR STRIDE W BK:123182E-2XL</t>
        </is>
      </c>
      <c r="F2097" s="0" t="inlineStr">
        <is>
          <t>'804123182083</t>
        </is>
      </c>
      <c r="G2097" s="0" t="inlineStr">
        <is>
          <t>WOMENS</t>
        </is>
      </c>
      <c r="H2097" s="0" t="inlineStr">
        <is>
          <t>2XL</t>
        </is>
      </c>
      <c r="I2097" s="0">
        <v>51.99</v>
      </c>
      <c r="J2097" s="0">
        <v>4</v>
      </c>
    </row>
    <row r="2098" spans="1:10" customHeight="0">
      <c r="A2098" s="0">
        <f>HYPERLINK("https://dl.dropboxusercontent.com/scl/fi/6l554se9und3qtlimkcmb/123182-af.jpg?rlkey=xn9onnt4k3gvnfz05ya4skd2v&amp;dl=0","Click to download Image")</f>
      </c>
      <c r="B2098" s="0">
        <f>HYPERLINK("https://dl.dropboxusercontent.com/scl/fi/25tv3x0dtxcgiszkz8xvk/womens-size-chartsstrider.jpg?rlkey=0aa56wuji1a3ze933ijfj6gl2&amp;dl=0","Click to download SizeChart")</f>
      </c>
      <c r="C2098" s="0" t="inlineStr">
        <is>
          <t>Strider Women's Cardigan</t>
        </is>
      </c>
      <c r="D2098" s="0" t="inlineStr">
        <is>
          <t>'123182</t>
        </is>
      </c>
      <c r="E2098" s="0" t="inlineStr">
        <is>
          <t>PUR STRIDE W BK:123182F-3XL</t>
        </is>
      </c>
      <c r="F2098" s="0" t="inlineStr">
        <is>
          <t>'804123182090</t>
        </is>
      </c>
      <c r="G2098" s="0" t="inlineStr">
        <is>
          <t>WOMENS</t>
        </is>
      </c>
      <c r="H2098" s="0" t="inlineStr">
        <is>
          <t>3XL</t>
        </is>
      </c>
      <c r="I2098" s="0">
        <v>51.99</v>
      </c>
      <c r="J2098" s="0">
        <v>2</v>
      </c>
    </row>
    <row r="2099" spans="1:10" customHeight="0">
      <c r="A2099" s="0">
        <f>HYPERLINK("https://dl.dropboxusercontent.com/scl/fi/6l554se9und3qtlimkcmb/123182-af.jpg?rlkey=xn9onnt4k3gvnfz05ya4skd2v&amp;dl=0","Click to download Image")</f>
      </c>
      <c r="B2099" s="0">
        <f>HYPERLINK("https://dl.dropboxusercontent.com/scl/fi/25tv3x0dtxcgiszkz8xvk/womens-size-chartsstrider.jpg?rlkey=0aa56wuji1a3ze933ijfj6gl2&amp;dl=0","Click to download SizeChart")</f>
      </c>
      <c r="C2099" s="0" t="inlineStr">
        <is>
          <t>Strider Women's Cardigan</t>
        </is>
      </c>
      <c r="D2099" s="0" t="inlineStr">
        <is>
          <t>'123182</t>
        </is>
      </c>
      <c r="E2099" s="0" t="inlineStr">
        <is>
          <t>PUR STRIDE W BK 12PK:123182Z-12PK</t>
        </is>
      </c>
      <c r="F2099" s="0" t="inlineStr">
        <is>
          <t>'804123182991</t>
        </is>
      </c>
      <c r="G2099" s="0" t="inlineStr">
        <is>
          <t>WOMENS</t>
        </is>
      </c>
      <c r="H2099" s="0" t="inlineStr">
        <is>
          <t>12 PACK</t>
        </is>
      </c>
      <c r="I2099" s="0">
        <v>480</v>
      </c>
      <c r="J2099" s="0">
        <v>2</v>
      </c>
    </row>
    <row r="2100" spans="1:10" customHeight="0">
      <c r="A2100" s="0">
        <f>HYPERLINK("https://dl.dropboxusercontent.com/scl/fi/5u3prxd7g710r57ht0du0/123993-af.jpg?rlkey=ja4fhpj2gco3rv9i46oi0v3xx&amp;dl=0","Click to download Image")</f>
      </c>
      <c r="B2100" s="0">
        <f>HYPERLINK("https://dl.dropboxusercontent.com/scl/fi/25tv3x0dtxcgiszkz8xvk/womens-size-chartsstrider.jpg?rlkey=0aa56wuji1a3ze933ijfj6gl2&amp;dl=0","Click to download SizeChart")</f>
      </c>
      <c r="C2100" s="0" t="inlineStr">
        <is>
          <t>Strider Women's Cardigan</t>
        </is>
      </c>
      <c r="D2100" s="0" t="inlineStr">
        <is>
          <t>'123993</t>
        </is>
      </c>
      <c r="E2100" s="0" t="inlineStr">
        <is>
          <t>CU STRIDER W GY:123993A-S</t>
        </is>
      </c>
      <c r="F2100" s="0" t="inlineStr">
        <is>
          <t>'810123993048</t>
        </is>
      </c>
      <c r="G2100" s="0" t="inlineStr">
        <is>
          <t>WOMENS</t>
        </is>
      </c>
      <c r="H2100" s="0" t="inlineStr">
        <is>
          <t>S</t>
        </is>
      </c>
      <c r="I2100" s="0">
        <v>49.99</v>
      </c>
      <c r="J2100" s="0">
        <v>4</v>
      </c>
    </row>
    <row r="2101" spans="1:10" customHeight="0">
      <c r="A2101" s="0">
        <f>HYPERLINK("https://dl.dropboxusercontent.com/scl/fi/5u3prxd7g710r57ht0du0/123993-af.jpg?rlkey=ja4fhpj2gco3rv9i46oi0v3xx&amp;dl=0","Click to download Image")</f>
      </c>
      <c r="B2101" s="0">
        <f>HYPERLINK("https://dl.dropboxusercontent.com/scl/fi/25tv3x0dtxcgiszkz8xvk/womens-size-chartsstrider.jpg?rlkey=0aa56wuji1a3ze933ijfj6gl2&amp;dl=0","Click to download SizeChart")</f>
      </c>
      <c r="C2101" s="0" t="inlineStr">
        <is>
          <t>Strider Women's Cardigan</t>
        </is>
      </c>
      <c r="D2101" s="0" t="inlineStr">
        <is>
          <t>'123993</t>
        </is>
      </c>
      <c r="E2101" s="0" t="inlineStr">
        <is>
          <t>CU STRIDER W GY:123993B-M</t>
        </is>
      </c>
      <c r="F2101" s="0" t="inlineStr">
        <is>
          <t>'810123993055</t>
        </is>
      </c>
      <c r="G2101" s="0" t="inlineStr">
        <is>
          <t>WOMENS</t>
        </is>
      </c>
      <c r="H2101" s="0" t="inlineStr">
        <is>
          <t>M</t>
        </is>
      </c>
      <c r="I2101" s="0">
        <v>49.99</v>
      </c>
      <c r="J2101" s="0">
        <v>8</v>
      </c>
    </row>
    <row r="2102" spans="1:10" customHeight="0">
      <c r="A2102" s="0">
        <f>HYPERLINK("https://dl.dropboxusercontent.com/scl/fi/5u3prxd7g710r57ht0du0/123993-af.jpg?rlkey=ja4fhpj2gco3rv9i46oi0v3xx&amp;dl=0","Click to download Image")</f>
      </c>
      <c r="B2102" s="0">
        <f>HYPERLINK("https://dl.dropboxusercontent.com/scl/fi/25tv3x0dtxcgiszkz8xvk/womens-size-chartsstrider.jpg?rlkey=0aa56wuji1a3ze933ijfj6gl2&amp;dl=0","Click to download SizeChart")</f>
      </c>
      <c r="C2102" s="0" t="inlineStr">
        <is>
          <t>Strider Women's Cardigan</t>
        </is>
      </c>
      <c r="D2102" s="0" t="inlineStr">
        <is>
          <t>'123993</t>
        </is>
      </c>
      <c r="E2102" s="0" t="inlineStr">
        <is>
          <t>CU STRIDER W GY:123993C-L</t>
        </is>
      </c>
      <c r="F2102" s="0" t="inlineStr">
        <is>
          <t>'810123993062</t>
        </is>
      </c>
      <c r="G2102" s="0" t="inlineStr">
        <is>
          <t>WOMENS</t>
        </is>
      </c>
      <c r="H2102" s="0" t="inlineStr">
        <is>
          <t>L</t>
        </is>
      </c>
      <c r="I2102" s="0">
        <v>49.99</v>
      </c>
      <c r="J2102" s="0">
        <v>5</v>
      </c>
    </row>
    <row r="2103" spans="1:10" customHeight="0">
      <c r="A2103" s="0">
        <f>HYPERLINK("https://dl.dropboxusercontent.com/scl/fi/5u3prxd7g710r57ht0du0/123993-af.jpg?rlkey=ja4fhpj2gco3rv9i46oi0v3xx&amp;dl=0","Click to download Image")</f>
      </c>
      <c r="B2103" s="0">
        <f>HYPERLINK("https://dl.dropboxusercontent.com/scl/fi/25tv3x0dtxcgiszkz8xvk/womens-size-chartsstrider.jpg?rlkey=0aa56wuji1a3ze933ijfj6gl2&amp;dl=0","Click to download SizeChart")</f>
      </c>
      <c r="C2103" s="0" t="inlineStr">
        <is>
          <t>Strider Women's Cardigan</t>
        </is>
      </c>
      <c r="D2103" s="0" t="inlineStr">
        <is>
          <t>'123993</t>
        </is>
      </c>
      <c r="E2103" s="0" t="inlineStr">
        <is>
          <t>CU STRIDER W GY:123993D-XL</t>
        </is>
      </c>
      <c r="F2103" s="0" t="inlineStr">
        <is>
          <t>'810123993079</t>
        </is>
      </c>
      <c r="G2103" s="0" t="inlineStr">
        <is>
          <t>WOMENS</t>
        </is>
      </c>
      <c r="H2103" s="0" t="inlineStr">
        <is>
          <t>XL</t>
        </is>
      </c>
      <c r="I2103" s="0">
        <v>49.99</v>
      </c>
      <c r="J2103" s="0">
        <v>4</v>
      </c>
    </row>
    <row r="2104" spans="1:10" customHeight="0">
      <c r="A2104" s="0">
        <f>HYPERLINK("https://dl.dropboxusercontent.com/scl/fi/5u3prxd7g710r57ht0du0/123993-af.jpg?rlkey=ja4fhpj2gco3rv9i46oi0v3xx&amp;dl=0","Click to download Image")</f>
      </c>
      <c r="B2104" s="0">
        <f>HYPERLINK("https://dl.dropboxusercontent.com/scl/fi/25tv3x0dtxcgiszkz8xvk/womens-size-chartsstrider.jpg?rlkey=0aa56wuji1a3ze933ijfj6gl2&amp;dl=0","Click to download SizeChart")</f>
      </c>
      <c r="C2104" s="0" t="inlineStr">
        <is>
          <t>Strider Women's Cardigan</t>
        </is>
      </c>
      <c r="D2104" s="0" t="inlineStr">
        <is>
          <t>'123993</t>
        </is>
      </c>
      <c r="E2104" s="0" t="inlineStr">
        <is>
          <t>CU STRIDER W GY:123993E-2XL</t>
        </is>
      </c>
      <c r="F2104" s="0" t="inlineStr">
        <is>
          <t>'810123993086</t>
        </is>
      </c>
      <c r="G2104" s="0" t="inlineStr">
        <is>
          <t>WOMENS</t>
        </is>
      </c>
      <c r="H2104" s="0" t="inlineStr">
        <is>
          <t>2XL</t>
        </is>
      </c>
      <c r="I2104" s="0">
        <v>51.99</v>
      </c>
      <c r="J2104" s="0">
        <v>3</v>
      </c>
    </row>
    <row r="2105" spans="1:10" customHeight="0">
      <c r="A2105" s="0">
        <f>HYPERLINK("https://dl.dropboxusercontent.com/scl/fi/5u3prxd7g710r57ht0du0/123993-af.jpg?rlkey=ja4fhpj2gco3rv9i46oi0v3xx&amp;dl=0","Click to download Image")</f>
      </c>
      <c r="B2105" s="0">
        <f>HYPERLINK("https://dl.dropboxusercontent.com/scl/fi/25tv3x0dtxcgiszkz8xvk/womens-size-chartsstrider.jpg?rlkey=0aa56wuji1a3ze933ijfj6gl2&amp;dl=0","Click to download SizeChart")</f>
      </c>
      <c r="C2105" s="0" t="inlineStr">
        <is>
          <t>Strider Women's Cardigan</t>
        </is>
      </c>
      <c r="D2105" s="0" t="inlineStr">
        <is>
          <t>'123993</t>
        </is>
      </c>
      <c r="E2105" s="0" t="inlineStr">
        <is>
          <t>CU STRIDER W GY:123993F-3XL</t>
        </is>
      </c>
      <c r="F2105" s="0" t="inlineStr">
        <is>
          <t>'810123993093</t>
        </is>
      </c>
      <c r="G2105" s="0" t="inlineStr">
        <is>
          <t>WOMENS</t>
        </is>
      </c>
      <c r="H2105" s="0" t="inlineStr">
        <is>
          <t>3XL</t>
        </is>
      </c>
      <c r="I2105" s="0">
        <v>51.99</v>
      </c>
      <c r="J2105" s="0">
        <v>0</v>
      </c>
    </row>
    <row r="2106" spans="1:10" customHeight="0">
      <c r="A2106" s="0">
        <f>HYPERLINK("https://dl.dropboxusercontent.com/scl/fi/5u3prxd7g710r57ht0du0/123993-af.jpg?rlkey=ja4fhpj2gco3rv9i46oi0v3xx&amp;dl=0","Click to download Image")</f>
      </c>
      <c r="B2106" s="0">
        <f>HYPERLINK("https://dl.dropboxusercontent.com/scl/fi/25tv3x0dtxcgiszkz8xvk/womens-size-chartsstrider.jpg?rlkey=0aa56wuji1a3ze933ijfj6gl2&amp;dl=0","Click to download SizeChart")</f>
      </c>
      <c r="C2106" s="0" t="inlineStr">
        <is>
          <t>Strider Women's Cardigan</t>
        </is>
      </c>
      <c r="D2106" s="0" t="inlineStr">
        <is>
          <t>'123993</t>
        </is>
      </c>
      <c r="E2106" s="0" t="inlineStr">
        <is>
          <t>CU STRIDER W GY 12PK:123993Z-12PK</t>
        </is>
      </c>
      <c r="F2106" s="0" t="inlineStr">
        <is>
          <t>'810123993994</t>
        </is>
      </c>
      <c r="G2106" s="0" t="inlineStr">
        <is>
          <t>WOMENS</t>
        </is>
      </c>
      <c r="H2106" s="0" t="inlineStr">
        <is>
          <t>12 PACK</t>
        </is>
      </c>
      <c r="I2106" s="0">
        <v>480</v>
      </c>
      <c r="J2106" s="0">
        <v>1</v>
      </c>
    </row>
    <row r="2107" spans="1:10" customHeight="0">
      <c r="A2107" s="0">
        <f>HYPERLINK("https://dl.dropboxusercontent.com/scl/fi/mnhdjd5cwj4trrfkvyrgt/125116-af.jpg?rlkey=c23gyc4iielspc8k8r52jzfnv&amp;dl=0","Click to download Image")</f>
      </c>
      <c r="B2107" s="0">
        <f>HYPERLINK("https://dl.dropboxusercontent.com/scl/fi/25tv3x0dtxcgiszkz8xvk/womens-size-chartsstrider.jpg?rlkey=0aa56wuji1a3ze933ijfj6gl2&amp;dl=0","Click to download SizeChart")</f>
      </c>
      <c r="C2107" s="0" t="inlineStr">
        <is>
          <t>Strider Women's Cardigan</t>
        </is>
      </c>
      <c r="D2107" s="0" t="inlineStr">
        <is>
          <t>'125116</t>
        </is>
      </c>
      <c r="E2107" s="0" t="inlineStr">
        <is>
          <t>NDSU STRIDE W GY:125116A-S</t>
        </is>
      </c>
      <c r="F2107" s="0" t="inlineStr">
        <is>
          <t>'813125116040</t>
        </is>
      </c>
      <c r="G2107" s="0" t="inlineStr">
        <is>
          <t>WOMENS</t>
        </is>
      </c>
      <c r="H2107" s="0" t="inlineStr">
        <is>
          <t>S</t>
        </is>
      </c>
      <c r="I2107" s="0">
        <v>49.99</v>
      </c>
      <c r="J2107" s="0">
        <v>2</v>
      </c>
    </row>
    <row r="2108" spans="1:10" customHeight="0">
      <c r="A2108" s="0">
        <f>HYPERLINK("https://dl.dropboxusercontent.com/scl/fi/mnhdjd5cwj4trrfkvyrgt/125116-af.jpg?rlkey=c23gyc4iielspc8k8r52jzfnv&amp;dl=0","Click to download Image")</f>
      </c>
      <c r="B2108" s="0">
        <f>HYPERLINK("https://dl.dropboxusercontent.com/scl/fi/25tv3x0dtxcgiszkz8xvk/womens-size-chartsstrider.jpg?rlkey=0aa56wuji1a3ze933ijfj6gl2&amp;dl=0","Click to download SizeChart")</f>
      </c>
      <c r="C2108" s="0" t="inlineStr">
        <is>
          <t>Strider Women's Cardigan</t>
        </is>
      </c>
      <c r="D2108" s="0" t="inlineStr">
        <is>
          <t>'125116</t>
        </is>
      </c>
      <c r="E2108" s="0" t="inlineStr">
        <is>
          <t>NDSU STRIDE W GY:125116B-M</t>
        </is>
      </c>
      <c r="F2108" s="0" t="inlineStr">
        <is>
          <t>'813125116057</t>
        </is>
      </c>
      <c r="G2108" s="0" t="inlineStr">
        <is>
          <t>WOMENS</t>
        </is>
      </c>
      <c r="H2108" s="0" t="inlineStr">
        <is>
          <t>M</t>
        </is>
      </c>
      <c r="I2108" s="0">
        <v>49.99</v>
      </c>
      <c r="J2108" s="0">
        <v>4</v>
      </c>
    </row>
    <row r="2109" spans="1:10" customHeight="0">
      <c r="A2109" s="0">
        <f>HYPERLINK("https://dl.dropboxusercontent.com/scl/fi/mnhdjd5cwj4trrfkvyrgt/125116-af.jpg?rlkey=c23gyc4iielspc8k8r52jzfnv&amp;dl=0","Click to download Image")</f>
      </c>
      <c r="B2109" s="0">
        <f>HYPERLINK("https://dl.dropboxusercontent.com/scl/fi/25tv3x0dtxcgiszkz8xvk/womens-size-chartsstrider.jpg?rlkey=0aa56wuji1a3ze933ijfj6gl2&amp;dl=0","Click to download SizeChart")</f>
      </c>
      <c r="C2109" s="0" t="inlineStr">
        <is>
          <t>Strider Women's Cardigan</t>
        </is>
      </c>
      <c r="D2109" s="0" t="inlineStr">
        <is>
          <t>'125116</t>
        </is>
      </c>
      <c r="E2109" s="0" t="inlineStr">
        <is>
          <t>NDSU STRIDE W GY:125116C-L</t>
        </is>
      </c>
      <c r="F2109" s="0" t="inlineStr">
        <is>
          <t>'813125116064</t>
        </is>
      </c>
      <c r="G2109" s="0" t="inlineStr">
        <is>
          <t>WOMENS</t>
        </is>
      </c>
      <c r="H2109" s="0" t="inlineStr">
        <is>
          <t>L</t>
        </is>
      </c>
      <c r="I2109" s="0">
        <v>49.99</v>
      </c>
      <c r="J2109" s="0">
        <v>4</v>
      </c>
    </row>
    <row r="2110" spans="1:10" customHeight="0">
      <c r="A2110" s="0">
        <f>HYPERLINK("https://dl.dropboxusercontent.com/scl/fi/mnhdjd5cwj4trrfkvyrgt/125116-af.jpg?rlkey=c23gyc4iielspc8k8r52jzfnv&amp;dl=0","Click to download Image")</f>
      </c>
      <c r="B2110" s="0">
        <f>HYPERLINK("https://dl.dropboxusercontent.com/scl/fi/25tv3x0dtxcgiszkz8xvk/womens-size-chartsstrider.jpg?rlkey=0aa56wuji1a3ze933ijfj6gl2&amp;dl=0","Click to download SizeChart")</f>
      </c>
      <c r="C2110" s="0" t="inlineStr">
        <is>
          <t>Strider Women's Cardigan</t>
        </is>
      </c>
      <c r="D2110" s="0" t="inlineStr">
        <is>
          <t>'125116</t>
        </is>
      </c>
      <c r="E2110" s="0" t="inlineStr">
        <is>
          <t>NDSU STRIDE W GY:125116D-XL</t>
        </is>
      </c>
      <c r="F2110" s="0" t="inlineStr">
        <is>
          <t>'813125116071</t>
        </is>
      </c>
      <c r="G2110" s="0" t="inlineStr">
        <is>
          <t>WOMENS</t>
        </is>
      </c>
      <c r="H2110" s="0" t="inlineStr">
        <is>
          <t>XL</t>
        </is>
      </c>
      <c r="I2110" s="0">
        <v>49.99</v>
      </c>
      <c r="J2110" s="0">
        <v>2</v>
      </c>
    </row>
    <row r="2111" spans="1:10" customHeight="0">
      <c r="A2111" s="0">
        <f>HYPERLINK("https://dl.dropboxusercontent.com/scl/fi/mnhdjd5cwj4trrfkvyrgt/125116-af.jpg?rlkey=c23gyc4iielspc8k8r52jzfnv&amp;dl=0","Click to download Image")</f>
      </c>
      <c r="B2111" s="0">
        <f>HYPERLINK("https://dl.dropboxusercontent.com/scl/fi/25tv3x0dtxcgiszkz8xvk/womens-size-chartsstrider.jpg?rlkey=0aa56wuji1a3ze933ijfj6gl2&amp;dl=0","Click to download SizeChart")</f>
      </c>
      <c r="C2111" s="0" t="inlineStr">
        <is>
          <t>Strider Women's Cardigan</t>
        </is>
      </c>
      <c r="D2111" s="0" t="inlineStr">
        <is>
          <t>'125116</t>
        </is>
      </c>
      <c r="E2111" s="0" t="inlineStr">
        <is>
          <t>NDSU STRIDE W GY:125116E-2XL</t>
        </is>
      </c>
      <c r="F2111" s="0" t="inlineStr">
        <is>
          <t>'813125116088</t>
        </is>
      </c>
      <c r="G2111" s="0" t="inlineStr">
        <is>
          <t>WOMENS</t>
        </is>
      </c>
      <c r="H2111" s="0" t="inlineStr">
        <is>
          <t>2XL</t>
        </is>
      </c>
      <c r="I2111" s="0">
        <v>51.99</v>
      </c>
      <c r="J2111" s="0">
        <v>2</v>
      </c>
    </row>
    <row r="2112" spans="1:10" customHeight="0">
      <c r="A2112" s="0">
        <f>HYPERLINK("https://dl.dropboxusercontent.com/scl/fi/mnhdjd5cwj4trrfkvyrgt/125116-af.jpg?rlkey=c23gyc4iielspc8k8r52jzfnv&amp;dl=0","Click to download Image")</f>
      </c>
      <c r="B2112" s="0">
        <f>HYPERLINK("https://dl.dropboxusercontent.com/scl/fi/25tv3x0dtxcgiszkz8xvk/womens-size-chartsstrider.jpg?rlkey=0aa56wuji1a3ze933ijfj6gl2&amp;dl=0","Click to download SizeChart")</f>
      </c>
      <c r="C2112" s="0" t="inlineStr">
        <is>
          <t>Strider Women's Cardigan</t>
        </is>
      </c>
      <c r="D2112" s="0" t="inlineStr">
        <is>
          <t>'125116</t>
        </is>
      </c>
      <c r="E2112" s="0" t="inlineStr">
        <is>
          <t>NDSU STRIDE W GY:125116F-3XL</t>
        </is>
      </c>
      <c r="F2112" s="0" t="inlineStr">
        <is>
          <t>'813125116095</t>
        </is>
      </c>
      <c r="G2112" s="0" t="inlineStr">
        <is>
          <t>WOMENS</t>
        </is>
      </c>
      <c r="H2112" s="0" t="inlineStr">
        <is>
          <t>3XL</t>
        </is>
      </c>
      <c r="I2112" s="0">
        <v>51.99</v>
      </c>
      <c r="J2112" s="0">
        <v>1</v>
      </c>
    </row>
    <row r="2113" spans="1:10" customHeight="0">
      <c r="A2113" s="0">
        <f>HYPERLINK("https://dl.dropboxusercontent.com/scl/fi/mnhdjd5cwj4trrfkvyrgt/125116-af.jpg?rlkey=c23gyc4iielspc8k8r52jzfnv&amp;dl=0","Click to download Image")</f>
      </c>
      <c r="B2113" s="0">
        <f>HYPERLINK("https://dl.dropboxusercontent.com/scl/fi/25tv3x0dtxcgiszkz8xvk/womens-size-chartsstrider.jpg?rlkey=0aa56wuji1a3ze933ijfj6gl2&amp;dl=0","Click to download SizeChart")</f>
      </c>
      <c r="C2113" s="0" t="inlineStr">
        <is>
          <t>Strider Women's Cardigan</t>
        </is>
      </c>
      <c r="D2113" s="0" t="inlineStr">
        <is>
          <t>'125116</t>
        </is>
      </c>
      <c r="E2113" s="0" t="inlineStr">
        <is>
          <t>NDSU STRIDE W GY 12PK:125116Z-12PK</t>
        </is>
      </c>
      <c r="F2113" s="0" t="inlineStr">
        <is>
          <t>'813125116996</t>
        </is>
      </c>
      <c r="G2113" s="0" t="inlineStr">
        <is>
          <t>WOMENS</t>
        </is>
      </c>
      <c r="H2113" s="0" t="inlineStr">
        <is>
          <t>12 PACK</t>
        </is>
      </c>
      <c r="I2113" s="0">
        <v>480</v>
      </c>
      <c r="J2113" s="0">
        <v>1</v>
      </c>
    </row>
    <row r="2114" spans="1:10" customHeight="0">
      <c r="A2114" s="0">
        <f>HYPERLINK("https://dl.dropboxusercontent.com/scl/fi/ld8925pe35xre5bua4j5c/124136-af.jpg?rlkey=soflbywtmdtjq15umm94k948i&amp;dl=0","Click to download Image")</f>
      </c>
      <c r="C2114" s="0" t="inlineStr">
        <is>
          <t>Tabatha Youth Girls Beanie</t>
        </is>
      </c>
      <c r="D2114" s="0" t="inlineStr">
        <is>
          <t>'124136</t>
        </is>
      </c>
      <c r="E2114" s="0" t="inlineStr">
        <is>
          <t>USD TABATH Y BK:124136</t>
        </is>
      </c>
      <c r="F2114" s="0" t="inlineStr">
        <is>
          <t>'711124136017</t>
        </is>
      </c>
      <c r="G2114" s="0" t="inlineStr">
        <is>
          <t>YOUTH</t>
        </is>
      </c>
      <c r="H2114" s="0" t="inlineStr">
        <is>
          <t>YOUTH</t>
        </is>
      </c>
      <c r="I2114" s="0">
        <v>19.99</v>
      </c>
      <c r="J2114" s="0">
        <v>30</v>
      </c>
    </row>
    <row r="2115" spans="1:10" customHeight="0">
      <c r="A2115" s="0">
        <f>HYPERLINK("https://dl.dropboxusercontent.com/scl/fi/ej57j979v8kux6owvzq2h/123314-af.jpg?rlkey=03hfn18gzrf70kp7swef8w194&amp;dl=0","Click to download Image")</f>
      </c>
      <c r="C2115" s="0" t="inlineStr">
        <is>
          <t>Tori Women's Cap</t>
        </is>
      </c>
      <c r="D2115" s="0" t="inlineStr">
        <is>
          <t>'123314</t>
        </is>
      </c>
      <c r="E2115" s="0" t="inlineStr">
        <is>
          <t>UNI TORI A PE:123314</t>
        </is>
      </c>
      <c r="F2115" s="0" t="inlineStr">
        <is>
          <t>'702123314018</t>
        </is>
      </c>
      <c r="G2115" s="0" t="inlineStr">
        <is>
          <t>WOMENS</t>
        </is>
      </c>
      <c r="H2115" s="0" t="inlineStr">
        <is>
          <t>WOMENS</t>
        </is>
      </c>
      <c r="I2115" s="0">
        <v>19.99</v>
      </c>
      <c r="J2115" s="0">
        <v>49</v>
      </c>
    </row>
    <row r="2116" spans="1:10" customHeight="0">
      <c r="A2116" s="0">
        <f>HYPERLINK("https://dl.dropboxusercontent.com/scl/fi/lrf7vf8gdgldl3qnzltpz/123493-af.jpg?rlkey=oj82z1mxksswrbk86a0z02i4a&amp;dl=0","Click to download Image")</f>
      </c>
      <c r="B2116" s="0">
        <f>HYPERLINK("https://dl.dropboxusercontent.com/scl/fi/k39gbazhpk2502kle7ygp/mens-jackets-size-chartstravis.jpg?rlkey=klszxs98jauo1ks5aw961qc0e&amp;dl=0","Click to download SizeChart")</f>
      </c>
      <c r="C2116" s="0" t="inlineStr">
        <is>
          <t>Travis Men's Quilted Jacket</t>
        </is>
      </c>
      <c r="D2116" s="0" t="inlineStr">
        <is>
          <t>'123493</t>
        </is>
      </c>
      <c r="E2116" s="0" t="inlineStr">
        <is>
          <t>NDSU TRAVIS M GY:123493A-S</t>
        </is>
      </c>
      <c r="F2116" s="0" t="inlineStr">
        <is>
          <t>'813123493044</t>
        </is>
      </c>
      <c r="G2116" s="0" t="inlineStr">
        <is>
          <t>MENS</t>
        </is>
      </c>
      <c r="H2116" s="0" t="inlineStr">
        <is>
          <t>S</t>
        </is>
      </c>
      <c r="I2116" s="0">
        <v>69.99</v>
      </c>
      <c r="J2116" s="0">
        <v>3</v>
      </c>
    </row>
    <row r="2117" spans="1:10" customHeight="0">
      <c r="A2117" s="0">
        <f>HYPERLINK("https://dl.dropboxusercontent.com/scl/fi/lrf7vf8gdgldl3qnzltpz/123493-af.jpg?rlkey=oj82z1mxksswrbk86a0z02i4a&amp;dl=0","Click to download Image")</f>
      </c>
      <c r="B2117" s="0">
        <f>HYPERLINK("https://dl.dropboxusercontent.com/scl/fi/k39gbazhpk2502kle7ygp/mens-jackets-size-chartstravis.jpg?rlkey=klszxs98jauo1ks5aw961qc0e&amp;dl=0","Click to download SizeChart")</f>
      </c>
      <c r="C2117" s="0" t="inlineStr">
        <is>
          <t>Travis Men's Quilted Jacket</t>
        </is>
      </c>
      <c r="D2117" s="0" t="inlineStr">
        <is>
          <t>'123493</t>
        </is>
      </c>
      <c r="E2117" s="0" t="inlineStr">
        <is>
          <t>NDSU TRAVIS M GY:123493B-M</t>
        </is>
      </c>
      <c r="F2117" s="0" t="inlineStr">
        <is>
          <t>'813123493051</t>
        </is>
      </c>
      <c r="G2117" s="0" t="inlineStr">
        <is>
          <t>MENS</t>
        </is>
      </c>
      <c r="H2117" s="0" t="inlineStr">
        <is>
          <t>M</t>
        </is>
      </c>
      <c r="I2117" s="0">
        <v>69.99</v>
      </c>
      <c r="J2117" s="0">
        <v>6</v>
      </c>
    </row>
    <row r="2118" spans="1:10" customHeight="0">
      <c r="A2118" s="0">
        <f>HYPERLINK("https://dl.dropboxusercontent.com/scl/fi/lrf7vf8gdgldl3qnzltpz/123493-af.jpg?rlkey=oj82z1mxksswrbk86a0z02i4a&amp;dl=0","Click to download Image")</f>
      </c>
      <c r="B2118" s="0">
        <f>HYPERLINK("https://dl.dropboxusercontent.com/scl/fi/k39gbazhpk2502kle7ygp/mens-jackets-size-chartstravis.jpg?rlkey=klszxs98jauo1ks5aw961qc0e&amp;dl=0","Click to download SizeChart")</f>
      </c>
      <c r="C2118" s="0" t="inlineStr">
        <is>
          <t>Travis Men's Quilted Jacket</t>
        </is>
      </c>
      <c r="D2118" s="0" t="inlineStr">
        <is>
          <t>'123493</t>
        </is>
      </c>
      <c r="E2118" s="0" t="inlineStr">
        <is>
          <t>NDSU TRAVIS M GY:123493C-L</t>
        </is>
      </c>
      <c r="F2118" s="0" t="inlineStr">
        <is>
          <t>'813123493068</t>
        </is>
      </c>
      <c r="G2118" s="0" t="inlineStr">
        <is>
          <t>MENS</t>
        </is>
      </c>
      <c r="H2118" s="0" t="inlineStr">
        <is>
          <t>L</t>
        </is>
      </c>
      <c r="I2118" s="0">
        <v>69.99</v>
      </c>
      <c r="J2118" s="0">
        <v>3</v>
      </c>
    </row>
    <row r="2119" spans="1:10" customHeight="0">
      <c r="A2119" s="0">
        <f>HYPERLINK("https://dl.dropboxusercontent.com/scl/fi/lrf7vf8gdgldl3qnzltpz/123493-af.jpg?rlkey=oj82z1mxksswrbk86a0z02i4a&amp;dl=0","Click to download Image")</f>
      </c>
      <c r="B2119" s="0">
        <f>HYPERLINK("https://dl.dropboxusercontent.com/scl/fi/k39gbazhpk2502kle7ygp/mens-jackets-size-chartstravis.jpg?rlkey=klszxs98jauo1ks5aw961qc0e&amp;dl=0","Click to download SizeChart")</f>
      </c>
      <c r="C2119" s="0" t="inlineStr">
        <is>
          <t>Travis Men's Quilted Jacket</t>
        </is>
      </c>
      <c r="D2119" s="0" t="inlineStr">
        <is>
          <t>'123493</t>
        </is>
      </c>
      <c r="E2119" s="0" t="inlineStr">
        <is>
          <t>NDSU TRAVIS M GY:123493D-XL</t>
        </is>
      </c>
      <c r="F2119" s="0" t="inlineStr">
        <is>
          <t>'813123493075</t>
        </is>
      </c>
      <c r="G2119" s="0" t="inlineStr">
        <is>
          <t>MENS</t>
        </is>
      </c>
      <c r="H2119" s="0" t="inlineStr">
        <is>
          <t>XL</t>
        </is>
      </c>
      <c r="I2119" s="0">
        <v>69.99</v>
      </c>
      <c r="J2119" s="0">
        <v>0</v>
      </c>
    </row>
    <row r="2120" spans="1:10" customHeight="0">
      <c r="A2120" s="0">
        <f>HYPERLINK("https://dl.dropboxusercontent.com/scl/fi/lrf7vf8gdgldl3qnzltpz/123493-af.jpg?rlkey=oj82z1mxksswrbk86a0z02i4a&amp;dl=0","Click to download Image")</f>
      </c>
      <c r="B2120" s="0">
        <f>HYPERLINK("https://dl.dropboxusercontent.com/scl/fi/k39gbazhpk2502kle7ygp/mens-jackets-size-chartstravis.jpg?rlkey=klszxs98jauo1ks5aw961qc0e&amp;dl=0","Click to download SizeChart")</f>
      </c>
      <c r="C2120" s="0" t="inlineStr">
        <is>
          <t>Travis Men's Quilted Jacket</t>
        </is>
      </c>
      <c r="D2120" s="0" t="inlineStr">
        <is>
          <t>'123493</t>
        </is>
      </c>
      <c r="E2120" s="0" t="inlineStr">
        <is>
          <t>NDSU TRAVIS M GY:123493E-2XL</t>
        </is>
      </c>
      <c r="F2120" s="0" t="inlineStr">
        <is>
          <t>'813123493082</t>
        </is>
      </c>
      <c r="G2120" s="0" t="inlineStr">
        <is>
          <t>MENS</t>
        </is>
      </c>
      <c r="H2120" s="0" t="inlineStr">
        <is>
          <t>2XL</t>
        </is>
      </c>
      <c r="I2120" s="0">
        <v>71.99</v>
      </c>
      <c r="J2120" s="0">
        <v>0</v>
      </c>
    </row>
    <row r="2121" spans="1:10" customHeight="0">
      <c r="A2121" s="0">
        <f>HYPERLINK("https://dl.dropboxusercontent.com/scl/fi/lrf7vf8gdgldl3qnzltpz/123493-af.jpg?rlkey=oj82z1mxksswrbk86a0z02i4a&amp;dl=0","Click to download Image")</f>
      </c>
      <c r="B2121" s="0">
        <f>HYPERLINK("https://dl.dropboxusercontent.com/scl/fi/k39gbazhpk2502kle7ygp/mens-jackets-size-chartstravis.jpg?rlkey=klszxs98jauo1ks5aw961qc0e&amp;dl=0","Click to download SizeChart")</f>
      </c>
      <c r="C2121" s="0" t="inlineStr">
        <is>
          <t>Travis Men's Quilted Jacket</t>
        </is>
      </c>
      <c r="D2121" s="0" t="inlineStr">
        <is>
          <t>'123493</t>
        </is>
      </c>
      <c r="E2121" s="0" t="inlineStr">
        <is>
          <t>NDSU TRAVIS M GY:123493F-3XL</t>
        </is>
      </c>
      <c r="F2121" s="0" t="inlineStr">
        <is>
          <t>'813123493099</t>
        </is>
      </c>
      <c r="G2121" s="0" t="inlineStr">
        <is>
          <t>MENS</t>
        </is>
      </c>
      <c r="H2121" s="0" t="inlineStr">
        <is>
          <t>3XL</t>
        </is>
      </c>
      <c r="I2121" s="0">
        <v>71.99</v>
      </c>
      <c r="J2121" s="0">
        <v>0</v>
      </c>
    </row>
    <row r="2122" spans="1:10" customHeight="0">
      <c r="A2122" s="0">
        <f>HYPERLINK("https://dl.dropboxusercontent.com/scl/fi/pho00m1iu4wxiixduow0x/114471-f.jpg?rlkey=wk5t9mhjmf6uitcv0d40lh9iz&amp;dl=0","Click to download Image")</f>
      </c>
      <c r="B2122" s="0">
        <f>HYPERLINK("https://dl.dropboxusercontent.com/scl/fi/k39gbazhpk2502kle7ygp/mens-jackets-size-chartstravis.jpg?rlkey=klszxs98jauo1ks5aw961qc0e&amp;dl=0","Click to download SizeChart")</f>
      </c>
      <c r="C2122" s="0" t="inlineStr">
        <is>
          <t>Travis Men's Quilted Jacket</t>
        </is>
      </c>
      <c r="D2122" s="0" t="inlineStr">
        <is>
          <t>'114471</t>
        </is>
      </c>
      <c r="E2122" s="0" t="inlineStr">
        <is>
          <t>UNI TRAVIS M GREY:114471A - S</t>
        </is>
      </c>
      <c r="F2122" s="0" t="inlineStr">
        <is>
          <t>'802114471048</t>
        </is>
      </c>
      <c r="G2122" s="0" t="inlineStr">
        <is>
          <t>MENS</t>
        </is>
      </c>
      <c r="H2122" s="0" t="inlineStr">
        <is>
          <t>S</t>
        </is>
      </c>
      <c r="I2122" s="0">
        <v>69.99</v>
      </c>
      <c r="J2122" s="0">
        <v>1</v>
      </c>
    </row>
    <row r="2123" spans="1:10" customHeight="0">
      <c r="A2123" s="0">
        <f>HYPERLINK("https://dl.dropboxusercontent.com/scl/fi/pho00m1iu4wxiixduow0x/114471-f.jpg?rlkey=wk5t9mhjmf6uitcv0d40lh9iz&amp;dl=0","Click to download Image")</f>
      </c>
      <c r="B2123" s="0">
        <f>HYPERLINK("https://dl.dropboxusercontent.com/scl/fi/k39gbazhpk2502kle7ygp/mens-jackets-size-chartstravis.jpg?rlkey=klszxs98jauo1ks5aw961qc0e&amp;dl=0","Click to download SizeChart")</f>
      </c>
      <c r="C2123" s="0" t="inlineStr">
        <is>
          <t>Travis Men's Quilted Jacket</t>
        </is>
      </c>
      <c r="D2123" s="0" t="inlineStr">
        <is>
          <t>'114471</t>
        </is>
      </c>
      <c r="E2123" s="0" t="inlineStr">
        <is>
          <t>UNI TRAVIS M GREY:114471B - M</t>
        </is>
      </c>
      <c r="F2123" s="0" t="inlineStr">
        <is>
          <t>'802114471055</t>
        </is>
      </c>
      <c r="G2123" s="0" t="inlineStr">
        <is>
          <t>MENS</t>
        </is>
      </c>
      <c r="H2123" s="0" t="inlineStr">
        <is>
          <t>M</t>
        </is>
      </c>
      <c r="I2123" s="0">
        <v>69.99</v>
      </c>
      <c r="J2123" s="0">
        <v>7</v>
      </c>
    </row>
    <row r="2124" spans="1:10" customHeight="0">
      <c r="A2124" s="0">
        <f>HYPERLINK("https://dl.dropboxusercontent.com/scl/fi/pho00m1iu4wxiixduow0x/114471-f.jpg?rlkey=wk5t9mhjmf6uitcv0d40lh9iz&amp;dl=0","Click to download Image")</f>
      </c>
      <c r="B2124" s="0">
        <f>HYPERLINK("https://dl.dropboxusercontent.com/scl/fi/k39gbazhpk2502kle7ygp/mens-jackets-size-chartstravis.jpg?rlkey=klszxs98jauo1ks5aw961qc0e&amp;dl=0","Click to download SizeChart")</f>
      </c>
      <c r="C2124" s="0" t="inlineStr">
        <is>
          <t>Travis Men's Quilted Jacket</t>
        </is>
      </c>
      <c r="D2124" s="0" t="inlineStr">
        <is>
          <t>'114471</t>
        </is>
      </c>
      <c r="E2124" s="0" t="inlineStr">
        <is>
          <t>UNI TRAVIS M GREY:114471C - L</t>
        </is>
      </c>
      <c r="F2124" s="0" t="inlineStr">
        <is>
          <t>'802114471062</t>
        </is>
      </c>
      <c r="G2124" s="0" t="inlineStr">
        <is>
          <t>MENS</t>
        </is>
      </c>
      <c r="H2124" s="0" t="inlineStr">
        <is>
          <t>L</t>
        </is>
      </c>
      <c r="I2124" s="0">
        <v>69.99</v>
      </c>
      <c r="J2124" s="0">
        <v>3</v>
      </c>
    </row>
    <row r="2125" spans="1:10" customHeight="0">
      <c r="A2125" s="0">
        <f>HYPERLINK("https://dl.dropboxusercontent.com/scl/fi/pho00m1iu4wxiixduow0x/114471-f.jpg?rlkey=wk5t9mhjmf6uitcv0d40lh9iz&amp;dl=0","Click to download Image")</f>
      </c>
      <c r="B2125" s="0">
        <f>HYPERLINK("https://dl.dropboxusercontent.com/scl/fi/k39gbazhpk2502kle7ygp/mens-jackets-size-chartstravis.jpg?rlkey=klszxs98jauo1ks5aw961qc0e&amp;dl=0","Click to download SizeChart")</f>
      </c>
      <c r="C2125" s="0" t="inlineStr">
        <is>
          <t>Travis Men's Quilted Jacket</t>
        </is>
      </c>
      <c r="D2125" s="0" t="inlineStr">
        <is>
          <t>'114471</t>
        </is>
      </c>
      <c r="E2125" s="0" t="inlineStr">
        <is>
          <t>UNI TRAVIS M GREY:114471D - XL</t>
        </is>
      </c>
      <c r="F2125" s="0" t="inlineStr">
        <is>
          <t>'802114471079</t>
        </is>
      </c>
      <c r="G2125" s="0" t="inlineStr">
        <is>
          <t>MENS</t>
        </is>
      </c>
      <c r="H2125" s="0" t="inlineStr">
        <is>
          <t>XL</t>
        </is>
      </c>
      <c r="I2125" s="0">
        <v>69.99</v>
      </c>
      <c r="J2125" s="0">
        <v>8</v>
      </c>
    </row>
    <row r="2126" spans="1:10" customHeight="0">
      <c r="A2126" s="0">
        <f>HYPERLINK("https://dl.dropboxusercontent.com/scl/fi/pho00m1iu4wxiixduow0x/114471-f.jpg?rlkey=wk5t9mhjmf6uitcv0d40lh9iz&amp;dl=0","Click to download Image")</f>
      </c>
      <c r="B2126" s="0">
        <f>HYPERLINK("https://dl.dropboxusercontent.com/scl/fi/k39gbazhpk2502kle7ygp/mens-jackets-size-chartstravis.jpg?rlkey=klszxs98jauo1ks5aw961qc0e&amp;dl=0","Click to download SizeChart")</f>
      </c>
      <c r="C2126" s="0" t="inlineStr">
        <is>
          <t>Travis Men's Quilted Jacket</t>
        </is>
      </c>
      <c r="D2126" s="0" t="inlineStr">
        <is>
          <t>'114471</t>
        </is>
      </c>
      <c r="E2126" s="0" t="inlineStr">
        <is>
          <t>UNI TRAVIS M GREY:114471E - 2XL</t>
        </is>
      </c>
      <c r="F2126" s="0" t="inlineStr">
        <is>
          <t>'802114471086</t>
        </is>
      </c>
      <c r="G2126" s="0" t="inlineStr">
        <is>
          <t>MENS</t>
        </is>
      </c>
      <c r="H2126" s="0" t="inlineStr">
        <is>
          <t>2XL</t>
        </is>
      </c>
      <c r="I2126" s="0">
        <v>71.99</v>
      </c>
      <c r="J2126" s="0">
        <v>4</v>
      </c>
    </row>
    <row r="2127" spans="1:10" customHeight="0">
      <c r="A2127" s="0">
        <f>HYPERLINK("https://dl.dropboxusercontent.com/scl/fi/pho00m1iu4wxiixduow0x/114471-f.jpg?rlkey=wk5t9mhjmf6uitcv0d40lh9iz&amp;dl=0","Click to download Image")</f>
      </c>
      <c r="B2127" s="0">
        <f>HYPERLINK("https://dl.dropboxusercontent.com/scl/fi/k39gbazhpk2502kle7ygp/mens-jackets-size-chartstravis.jpg?rlkey=klszxs98jauo1ks5aw961qc0e&amp;dl=0","Click to download SizeChart")</f>
      </c>
      <c r="C2127" s="0" t="inlineStr">
        <is>
          <t>Travis Men's Quilted Jacket</t>
        </is>
      </c>
      <c r="D2127" s="0" t="inlineStr">
        <is>
          <t>'114471</t>
        </is>
      </c>
      <c r="E2127" s="0" t="inlineStr">
        <is>
          <t>UNI TRAVIS M GREY:114471F - 3XL</t>
        </is>
      </c>
      <c r="F2127" s="0" t="inlineStr">
        <is>
          <t>'802114471093</t>
        </is>
      </c>
      <c r="G2127" s="0" t="inlineStr">
        <is>
          <t>MENS</t>
        </is>
      </c>
      <c r="H2127" s="0" t="inlineStr">
        <is>
          <t>3XL</t>
        </is>
      </c>
      <c r="I2127" s="0">
        <v>71.99</v>
      </c>
      <c r="J2127" s="0">
        <v>4</v>
      </c>
    </row>
    <row r="2128" spans="1:10" customHeight="0">
      <c r="A2128" s="0">
        <f>HYPERLINK("https://dl.dropboxusercontent.com/scl/fi/uqsp38vgnuf36rblsgbdh/102683-af.jpg?rlkey=y0ibby452cjtx2rw158kwv1ln&amp;dl=0","Click to download Image")</f>
      </c>
      <c r="B2128" s="0">
        <f>HYPERLINK("https://dl.dropboxusercontent.com/scl/fi/q5plmm41hl7pbbxxfmz6r/size-charts-mens-athletic-fit-shirt-1.jpg?rlkey=oawbp991vvvibsvzbvi4z22pf&amp;dl=0","Click to download SizeChart")</f>
      </c>
      <c r="C2128" s="0" t="inlineStr">
        <is>
          <t>Lee Bike Jersey</t>
        </is>
      </c>
      <c r="D2128" s="0" t="inlineStr">
        <is>
          <t>'102683</t>
        </is>
      </c>
      <c r="E2128" s="0" t="inlineStr">
        <is>
          <t>LEE:102683A-S</t>
        </is>
      </c>
      <c r="F2128" s="0" t="inlineStr">
        <is>
          <t>'080010268301</t>
        </is>
      </c>
      <c r="G2128" s="0" t="inlineStr">
        <is>
          <t>MENS</t>
        </is>
      </c>
      <c r="H2128" s="0" t="inlineStr">
        <is>
          <t>S</t>
        </is>
      </c>
      <c r="I2128" s="0">
        <v>58.99</v>
      </c>
      <c r="J2128" s="0">
        <v>17</v>
      </c>
    </row>
    <row r="2129" spans="1:10" customHeight="0">
      <c r="A2129" s="0">
        <f>HYPERLINK("https://dl.dropboxusercontent.com/scl/fi/vncpm52zju9qsr95jo1mr/113403af.jpg?rlkey=yngh5q3o3l240graov3vrg8gp&amp;dl=0","Click to download Image")</f>
      </c>
      <c r="B2129" s="0">
        <f>HYPERLINK("https://dl.dropboxusercontent.com/scl/fi/wtuxpyv5mfdap5g7tx9ak/womens-jackets-size-chartstrista.jpg?rlkey=jit4krv800om5g7k529aesyi2&amp;dl=0","Click to download SizeChart")</f>
      </c>
      <c r="C2129" s="0" t="inlineStr">
        <is>
          <t>Trista Women's Puffer Jacket</t>
        </is>
      </c>
      <c r="D2129" s="0" t="inlineStr">
        <is>
          <t>'113405</t>
        </is>
      </c>
      <c r="E2129" s="0" t="inlineStr">
        <is>
          <t>UNI TRISTA W BLACK:113405A-S</t>
        </is>
      </c>
      <c r="F2129" s="0" t="inlineStr">
        <is>
          <t>'802113405044</t>
        </is>
      </c>
      <c r="G2129" s="0" t="inlineStr">
        <is>
          <t>WOMENS</t>
        </is>
      </c>
      <c r="H2129" s="0" t="inlineStr">
        <is>
          <t>S</t>
        </is>
      </c>
      <c r="I2129" s="0">
        <v>99.99</v>
      </c>
      <c r="J2129" s="0">
        <v>2</v>
      </c>
    </row>
    <row r="2130" spans="1:10" customHeight="0">
      <c r="A2130" s="0">
        <f>HYPERLINK("https://dl.dropboxusercontent.com/scl/fi/vncpm52zju9qsr95jo1mr/113403af.jpg?rlkey=yngh5q3o3l240graov3vrg8gp&amp;dl=0","Click to download Image")</f>
      </c>
      <c r="B2130" s="0">
        <f>HYPERLINK("https://dl.dropboxusercontent.com/scl/fi/wtuxpyv5mfdap5g7tx9ak/womens-jackets-size-chartstrista.jpg?rlkey=jit4krv800om5g7k529aesyi2&amp;dl=0","Click to download SizeChart")</f>
      </c>
      <c r="C2130" s="0" t="inlineStr">
        <is>
          <t>Trista Women's Puffer Jacket</t>
        </is>
      </c>
      <c r="D2130" s="0" t="inlineStr">
        <is>
          <t>'113405</t>
        </is>
      </c>
      <c r="E2130" s="0" t="inlineStr">
        <is>
          <t>UNI TRISTA W BLACK:113405B-M</t>
        </is>
      </c>
      <c r="F2130" s="0" t="inlineStr">
        <is>
          <t>'802113405051</t>
        </is>
      </c>
      <c r="G2130" s="0" t="inlineStr">
        <is>
          <t>WOMENS</t>
        </is>
      </c>
      <c r="H2130" s="0" t="inlineStr">
        <is>
          <t>M</t>
        </is>
      </c>
      <c r="I2130" s="0">
        <v>99.99</v>
      </c>
      <c r="J2130" s="0">
        <v>9</v>
      </c>
    </row>
    <row r="2131" spans="1:10" customHeight="0">
      <c r="A2131" s="0">
        <f>HYPERLINK("https://dl.dropboxusercontent.com/scl/fi/vncpm52zju9qsr95jo1mr/113403af.jpg?rlkey=yngh5q3o3l240graov3vrg8gp&amp;dl=0","Click to download Image")</f>
      </c>
      <c r="B2131" s="0">
        <f>HYPERLINK("https://dl.dropboxusercontent.com/scl/fi/wtuxpyv5mfdap5g7tx9ak/womens-jackets-size-chartstrista.jpg?rlkey=jit4krv800om5g7k529aesyi2&amp;dl=0","Click to download SizeChart")</f>
      </c>
      <c r="C2131" s="0" t="inlineStr">
        <is>
          <t>Trista Women's Puffer Jacket</t>
        </is>
      </c>
      <c r="D2131" s="0" t="inlineStr">
        <is>
          <t>'113405</t>
        </is>
      </c>
      <c r="E2131" s="0" t="inlineStr">
        <is>
          <t>UNI TRISTA W BLACK:113405C-L</t>
        </is>
      </c>
      <c r="F2131" s="0" t="inlineStr">
        <is>
          <t>'802113405068</t>
        </is>
      </c>
      <c r="G2131" s="0" t="inlineStr">
        <is>
          <t>WOMENS</t>
        </is>
      </c>
      <c r="H2131" s="0" t="inlineStr">
        <is>
          <t>L</t>
        </is>
      </c>
      <c r="I2131" s="0">
        <v>99.99</v>
      </c>
      <c r="J2131" s="0">
        <v>8</v>
      </c>
    </row>
    <row r="2132" spans="1:10" customHeight="0">
      <c r="A2132" s="0">
        <f>HYPERLINK("https://dl.dropboxusercontent.com/scl/fi/vncpm52zju9qsr95jo1mr/113403af.jpg?rlkey=yngh5q3o3l240graov3vrg8gp&amp;dl=0","Click to download Image")</f>
      </c>
      <c r="B2132" s="0">
        <f>HYPERLINK("https://dl.dropboxusercontent.com/scl/fi/wtuxpyv5mfdap5g7tx9ak/womens-jackets-size-chartstrista.jpg?rlkey=jit4krv800om5g7k529aesyi2&amp;dl=0","Click to download SizeChart")</f>
      </c>
      <c r="C2132" s="0" t="inlineStr">
        <is>
          <t>Trista Women's Puffer Jacket</t>
        </is>
      </c>
      <c r="D2132" s="0" t="inlineStr">
        <is>
          <t>'113405</t>
        </is>
      </c>
      <c r="E2132" s="0" t="inlineStr">
        <is>
          <t>UNI TRISTA W BLACK:113405D-XL</t>
        </is>
      </c>
      <c r="F2132" s="0" t="inlineStr">
        <is>
          <t>'802113405075</t>
        </is>
      </c>
      <c r="G2132" s="0" t="inlineStr">
        <is>
          <t>WOMENS</t>
        </is>
      </c>
      <c r="H2132" s="0" t="inlineStr">
        <is>
          <t>XL</t>
        </is>
      </c>
      <c r="I2132" s="0">
        <v>99.99</v>
      </c>
      <c r="J2132" s="0">
        <v>4</v>
      </c>
    </row>
    <row r="2133" spans="1:10" customHeight="0">
      <c r="A2133" s="0">
        <f>HYPERLINK("https://dl.dropboxusercontent.com/scl/fi/vncpm52zju9qsr95jo1mr/113403af.jpg?rlkey=yngh5q3o3l240graov3vrg8gp&amp;dl=0","Click to download Image")</f>
      </c>
      <c r="B2133" s="0">
        <f>HYPERLINK("https://dl.dropboxusercontent.com/scl/fi/wtuxpyv5mfdap5g7tx9ak/womens-jackets-size-chartstrista.jpg?rlkey=jit4krv800om5g7k529aesyi2&amp;dl=0","Click to download SizeChart")</f>
      </c>
      <c r="C2133" s="0" t="inlineStr">
        <is>
          <t>Trista Women's Puffer Jacket</t>
        </is>
      </c>
      <c r="D2133" s="0" t="inlineStr">
        <is>
          <t>'113405</t>
        </is>
      </c>
      <c r="E2133" s="0" t="inlineStr">
        <is>
          <t>UNI TRISTA W BLACK:113405E-2XL</t>
        </is>
      </c>
      <c r="F2133" s="0" t="inlineStr">
        <is>
          <t>'802113405082</t>
        </is>
      </c>
      <c r="G2133" s="0" t="inlineStr">
        <is>
          <t>WOMENS</t>
        </is>
      </c>
      <c r="H2133" s="0" t="inlineStr">
        <is>
          <t>2XL</t>
        </is>
      </c>
      <c r="I2133" s="0">
        <v>101.99</v>
      </c>
      <c r="J2133" s="0">
        <v>1</v>
      </c>
    </row>
    <row r="2134" spans="1:10" customHeight="0">
      <c r="A2134" s="0">
        <f>HYPERLINK("https://dl.dropboxusercontent.com/scl/fi/vncpm52zju9qsr95jo1mr/113403af.jpg?rlkey=yngh5q3o3l240graov3vrg8gp&amp;dl=0","Click to download Image")</f>
      </c>
      <c r="B2134" s="0">
        <f>HYPERLINK("https://dl.dropboxusercontent.com/scl/fi/wtuxpyv5mfdap5g7tx9ak/womens-jackets-size-chartstrista.jpg?rlkey=jit4krv800om5g7k529aesyi2&amp;dl=0","Click to download SizeChart")</f>
      </c>
      <c r="C2134" s="0" t="inlineStr">
        <is>
          <t>Trista Women's Puffer Jacket</t>
        </is>
      </c>
      <c r="D2134" s="0" t="inlineStr">
        <is>
          <t>'113405</t>
        </is>
      </c>
      <c r="E2134" s="0" t="inlineStr">
        <is>
          <t>UNI TRISTA W BLACK:113405F-3XL</t>
        </is>
      </c>
      <c r="F2134" s="0" t="inlineStr">
        <is>
          <t>'802113405099</t>
        </is>
      </c>
      <c r="G2134" s="0" t="inlineStr">
        <is>
          <t>WOMENS</t>
        </is>
      </c>
      <c r="H2134" s="0" t="inlineStr">
        <is>
          <t>3XL</t>
        </is>
      </c>
      <c r="I2134" s="0">
        <v>101.99</v>
      </c>
      <c r="J2134" s="0">
        <v>1</v>
      </c>
    </row>
    <row r="2135" spans="1:10" customHeight="0">
      <c r="A2135" s="0">
        <f>HYPERLINK("https://dl.dropboxusercontent.com/scl/fi/vncpm52zju9qsr95jo1mr/113403af.jpg?rlkey=yngh5q3o3l240graov3vrg8gp&amp;dl=0","Click to download Image")</f>
      </c>
      <c r="B2135" s="0">
        <f>HYPERLINK("https://dl.dropboxusercontent.com/scl/fi/wtuxpyv5mfdap5g7tx9ak/womens-jackets-size-chartstrista.jpg?rlkey=jit4krv800om5g7k529aesyi2&amp;dl=0","Click to download SizeChart")</f>
      </c>
      <c r="C2135" s="0" t="inlineStr">
        <is>
          <t>Trista Women's Puffer Jacket</t>
        </is>
      </c>
      <c r="D2135" s="0" t="inlineStr">
        <is>
          <t>'113405</t>
        </is>
      </c>
      <c r="E2135" s="0" t="inlineStr">
        <is>
          <t>UNI TRISTA W BLACK 12 PACK:113405Z-12PK</t>
        </is>
      </c>
      <c r="F2135" s="0" t="inlineStr">
        <is>
          <t>'802113405990</t>
        </is>
      </c>
      <c r="G2135" s="0" t="inlineStr">
        <is>
          <t>WOMENS</t>
        </is>
      </c>
      <c r="H2135" s="0" t="inlineStr">
        <is>
          <t>12 PACK</t>
        </is>
      </c>
      <c r="I2135" s="0">
        <v>960</v>
      </c>
      <c r="J2135" s="0">
        <v>0</v>
      </c>
    </row>
    <row r="2136" spans="1:10" customHeight="0">
      <c r="A2136" s="0">
        <f>HYPERLINK("https://dl.dropboxusercontent.com/scl/fi/slv30s13z3a8pb78cazkb/tristaisu31908.jpg?rlkey=eld61p1ikydcr1y6iguqf9wrh&amp;dl=0","Click to download Image")</f>
      </c>
      <c r="B2136" s="0">
        <f>HYPERLINK("https://dl.dropboxusercontent.com/scl/fi/wtuxpyv5mfdap5g7tx9ak/womens-jackets-size-chartstrista.jpg?rlkey=jit4krv800om5g7k529aesyi2&amp;dl=0","Click to download SizeChart")</f>
      </c>
      <c r="C2136" s="0" t="inlineStr">
        <is>
          <t>Trista Women's Puffer Jacket</t>
        </is>
      </c>
      <c r="D2136" s="0" t="inlineStr">
        <is>
          <t>'113404</t>
        </is>
      </c>
      <c r="E2136" s="0" t="inlineStr">
        <is>
          <t>ISU TRISTA W BLACK:113404A-S</t>
        </is>
      </c>
      <c r="F2136" s="0" t="inlineStr">
        <is>
          <t>'801113404040</t>
        </is>
      </c>
      <c r="G2136" s="0" t="inlineStr">
        <is>
          <t>WOMENS</t>
        </is>
      </c>
      <c r="H2136" s="0" t="inlineStr">
        <is>
          <t>S</t>
        </is>
      </c>
      <c r="I2136" s="0">
        <v>99.99</v>
      </c>
      <c r="J2136" s="0">
        <v>0</v>
      </c>
    </row>
    <row r="2137" spans="1:10" customHeight="0">
      <c r="A2137" s="0">
        <f>HYPERLINK("https://dl.dropboxusercontent.com/scl/fi/slv30s13z3a8pb78cazkb/tristaisu31908.jpg?rlkey=eld61p1ikydcr1y6iguqf9wrh&amp;dl=0","Click to download Image")</f>
      </c>
      <c r="B2137" s="0">
        <f>HYPERLINK("https://dl.dropboxusercontent.com/scl/fi/wtuxpyv5mfdap5g7tx9ak/womens-jackets-size-chartstrista.jpg?rlkey=jit4krv800om5g7k529aesyi2&amp;dl=0","Click to download SizeChart")</f>
      </c>
      <c r="C2137" s="0" t="inlineStr">
        <is>
          <t>Trista Women's Puffer Jacket</t>
        </is>
      </c>
      <c r="D2137" s="0" t="inlineStr">
        <is>
          <t>'113404</t>
        </is>
      </c>
      <c r="E2137" s="0" t="inlineStr">
        <is>
          <t>ISU TRISTA W BLACK:113404B-M</t>
        </is>
      </c>
      <c r="F2137" s="0" t="inlineStr">
        <is>
          <t>'801113404057</t>
        </is>
      </c>
      <c r="G2137" s="0" t="inlineStr">
        <is>
          <t>WOMENS</t>
        </is>
      </c>
      <c r="H2137" s="0" t="inlineStr">
        <is>
          <t>M</t>
        </is>
      </c>
      <c r="I2137" s="0">
        <v>99.99</v>
      </c>
      <c r="J2137" s="0">
        <v>2</v>
      </c>
    </row>
    <row r="2138" spans="1:10" customHeight="0">
      <c r="A2138" s="0">
        <f>HYPERLINK("https://dl.dropboxusercontent.com/scl/fi/slv30s13z3a8pb78cazkb/tristaisu31908.jpg?rlkey=eld61p1ikydcr1y6iguqf9wrh&amp;dl=0","Click to download Image")</f>
      </c>
      <c r="B2138" s="0">
        <f>HYPERLINK("https://dl.dropboxusercontent.com/scl/fi/wtuxpyv5mfdap5g7tx9ak/womens-jackets-size-chartstrista.jpg?rlkey=jit4krv800om5g7k529aesyi2&amp;dl=0","Click to download SizeChart")</f>
      </c>
      <c r="C2138" s="0" t="inlineStr">
        <is>
          <t>Trista Women's Puffer Jacket</t>
        </is>
      </c>
      <c r="D2138" s="0" t="inlineStr">
        <is>
          <t>'113404</t>
        </is>
      </c>
      <c r="E2138" s="0" t="inlineStr">
        <is>
          <t>ISU TRISTA W BLACK:113404C-L</t>
        </is>
      </c>
      <c r="F2138" s="0" t="inlineStr">
        <is>
          <t>'801113404064</t>
        </is>
      </c>
      <c r="G2138" s="0" t="inlineStr">
        <is>
          <t>WOMENS</t>
        </is>
      </c>
      <c r="H2138" s="0" t="inlineStr">
        <is>
          <t>L</t>
        </is>
      </c>
      <c r="I2138" s="0">
        <v>99.99</v>
      </c>
      <c r="J2138" s="0">
        <v>10</v>
      </c>
    </row>
    <row r="2139" spans="1:10" customHeight="0">
      <c r="A2139" s="0">
        <f>HYPERLINK("https://dl.dropboxusercontent.com/scl/fi/slv30s13z3a8pb78cazkb/tristaisu31908.jpg?rlkey=eld61p1ikydcr1y6iguqf9wrh&amp;dl=0","Click to download Image")</f>
      </c>
      <c r="B2139" s="0">
        <f>HYPERLINK("https://dl.dropboxusercontent.com/scl/fi/wtuxpyv5mfdap5g7tx9ak/womens-jackets-size-chartstrista.jpg?rlkey=jit4krv800om5g7k529aesyi2&amp;dl=0","Click to download SizeChart")</f>
      </c>
      <c r="C2139" s="0" t="inlineStr">
        <is>
          <t>Trista Women's Puffer Jacket</t>
        </is>
      </c>
      <c r="D2139" s="0" t="inlineStr">
        <is>
          <t>'113404</t>
        </is>
      </c>
      <c r="E2139" s="0" t="inlineStr">
        <is>
          <t>ISU TRISTA W BLACK:113404D-XL</t>
        </is>
      </c>
      <c r="F2139" s="0" t="inlineStr">
        <is>
          <t>'801113404071</t>
        </is>
      </c>
      <c r="G2139" s="0" t="inlineStr">
        <is>
          <t>WOMENS</t>
        </is>
      </c>
      <c r="H2139" s="0" t="inlineStr">
        <is>
          <t>XL</t>
        </is>
      </c>
      <c r="I2139" s="0">
        <v>99.99</v>
      </c>
      <c r="J2139" s="0">
        <v>12</v>
      </c>
    </row>
    <row r="2140" spans="1:10" customHeight="0">
      <c r="A2140" s="0">
        <f>HYPERLINK("https://dl.dropboxusercontent.com/scl/fi/slv30s13z3a8pb78cazkb/tristaisu31908.jpg?rlkey=eld61p1ikydcr1y6iguqf9wrh&amp;dl=0","Click to download Image")</f>
      </c>
      <c r="B2140" s="0">
        <f>HYPERLINK("https://dl.dropboxusercontent.com/scl/fi/wtuxpyv5mfdap5g7tx9ak/womens-jackets-size-chartstrista.jpg?rlkey=jit4krv800om5g7k529aesyi2&amp;dl=0","Click to download SizeChart")</f>
      </c>
      <c r="C2140" s="0" t="inlineStr">
        <is>
          <t>Trista Women's Puffer Jacket</t>
        </is>
      </c>
      <c r="D2140" s="0" t="inlineStr">
        <is>
          <t>'113404</t>
        </is>
      </c>
      <c r="E2140" s="0" t="inlineStr">
        <is>
          <t>ISU TRISTA W BLACK:113404E-2XL</t>
        </is>
      </c>
      <c r="F2140" s="0" t="inlineStr">
        <is>
          <t>'801113404088</t>
        </is>
      </c>
      <c r="G2140" s="0" t="inlineStr">
        <is>
          <t>WOMENS</t>
        </is>
      </c>
      <c r="H2140" s="0" t="inlineStr">
        <is>
          <t>2XL</t>
        </is>
      </c>
      <c r="I2140" s="0">
        <v>101.99</v>
      </c>
      <c r="J2140" s="0">
        <v>11</v>
      </c>
    </row>
    <row r="2141" spans="1:10" customHeight="0">
      <c r="A2141" s="0">
        <f>HYPERLINK("https://dl.dropboxusercontent.com/scl/fi/slv30s13z3a8pb78cazkb/tristaisu31908.jpg?rlkey=eld61p1ikydcr1y6iguqf9wrh&amp;dl=0","Click to download Image")</f>
      </c>
      <c r="B2141" s="0">
        <f>HYPERLINK("https://dl.dropboxusercontent.com/scl/fi/wtuxpyv5mfdap5g7tx9ak/womens-jackets-size-chartstrista.jpg?rlkey=jit4krv800om5g7k529aesyi2&amp;dl=0","Click to download SizeChart")</f>
      </c>
      <c r="C2141" s="0" t="inlineStr">
        <is>
          <t>Trista Women's Puffer Jacket</t>
        </is>
      </c>
      <c r="D2141" s="0" t="inlineStr">
        <is>
          <t>'113404</t>
        </is>
      </c>
      <c r="E2141" s="0" t="inlineStr">
        <is>
          <t>ISU TRISTA W BLACK:113404F-3XL</t>
        </is>
      </c>
      <c r="F2141" s="0" t="inlineStr">
        <is>
          <t>'801113404095</t>
        </is>
      </c>
      <c r="G2141" s="0" t="inlineStr">
        <is>
          <t>WOMENS</t>
        </is>
      </c>
      <c r="H2141" s="0" t="inlineStr">
        <is>
          <t>3XL</t>
        </is>
      </c>
      <c r="I2141" s="0">
        <v>101.99</v>
      </c>
      <c r="J2141" s="0">
        <v>5</v>
      </c>
    </row>
    <row r="2142" spans="1:10" customHeight="0">
      <c r="A2142" s="0">
        <f>HYPERLINK("https://dl.dropboxusercontent.com/scl/fi/slv30s13z3a8pb78cazkb/tristaisu31908.jpg?rlkey=eld61p1ikydcr1y6iguqf9wrh&amp;dl=0","Click to download Image")</f>
      </c>
      <c r="B2142" s="0">
        <f>HYPERLINK("https://dl.dropboxusercontent.com/scl/fi/wtuxpyv5mfdap5g7tx9ak/womens-jackets-size-chartstrista.jpg?rlkey=jit4krv800om5g7k529aesyi2&amp;dl=0","Click to download SizeChart")</f>
      </c>
      <c r="C2142" s="0" t="inlineStr">
        <is>
          <t>Trista Women's Puffer Jacket</t>
        </is>
      </c>
      <c r="D2142" s="0" t="inlineStr">
        <is>
          <t>'113404</t>
        </is>
      </c>
      <c r="E2142" s="0" t="inlineStr">
        <is>
          <t>ISU TRISTA W BLACK 12 PACK:113404Z-12PK</t>
        </is>
      </c>
      <c r="F2142" s="0" t="inlineStr">
        <is>
          <t>'801113404996</t>
        </is>
      </c>
      <c r="G2142" s="0" t="inlineStr">
        <is>
          <t>WOMENS</t>
        </is>
      </c>
      <c r="H2142" s="0" t="inlineStr">
        <is>
          <t>12 PACK</t>
        </is>
      </c>
      <c r="I2142" s="0">
        <v>960</v>
      </c>
      <c r="J2142" s="0">
        <v>0</v>
      </c>
    </row>
    <row r="2143" spans="1:10" customHeight="0">
      <c r="A2143" s="0">
        <f>HYPERLINK("https://dl.dropboxusercontent.com/scl/fi/bqdi4t574n971vmcxyfye/113405af66728.jpg?rlkey=wvdx5mh7w0il9pm2fpoc443l6&amp;dl=0","Click to download Image")</f>
      </c>
      <c r="B2143" s="0">
        <f>HYPERLINK("https://dl.dropboxusercontent.com/scl/fi/wtuxpyv5mfdap5g7tx9ak/womens-jackets-size-chartstrista.jpg?rlkey=jit4krv800om5g7k529aesyi2&amp;dl=0","Click to download SizeChart")</f>
      </c>
      <c r="C2143" s="0" t="inlineStr">
        <is>
          <t>Trista Women's Puffer Jacket</t>
        </is>
      </c>
      <c r="D2143" s="0" t="inlineStr">
        <is>
          <t>'113403</t>
        </is>
      </c>
      <c r="E2143" s="0" t="inlineStr">
        <is>
          <t>IOWA TRISTA W BLACK:113403A-S</t>
        </is>
      </c>
      <c r="F2143" s="0" t="inlineStr">
        <is>
          <t>'800113403046</t>
        </is>
      </c>
      <c r="G2143" s="0" t="inlineStr">
        <is>
          <t>WOMENS</t>
        </is>
      </c>
      <c r="H2143" s="0" t="inlineStr">
        <is>
          <t>S</t>
        </is>
      </c>
      <c r="I2143" s="0">
        <v>99.99</v>
      </c>
      <c r="J2143" s="0">
        <v>6</v>
      </c>
    </row>
    <row r="2144" spans="1:10" customHeight="0">
      <c r="A2144" s="0">
        <f>HYPERLINK("https://dl.dropboxusercontent.com/scl/fi/bqdi4t574n971vmcxyfye/113405af66728.jpg?rlkey=wvdx5mh7w0il9pm2fpoc443l6&amp;dl=0","Click to download Image")</f>
      </c>
      <c r="B2144" s="0">
        <f>HYPERLINK("https://dl.dropboxusercontent.com/scl/fi/wtuxpyv5mfdap5g7tx9ak/womens-jackets-size-chartstrista.jpg?rlkey=jit4krv800om5g7k529aesyi2&amp;dl=0","Click to download SizeChart")</f>
      </c>
      <c r="C2144" s="0" t="inlineStr">
        <is>
          <t>Trista Women's Puffer Jacket</t>
        </is>
      </c>
      <c r="D2144" s="0" t="inlineStr">
        <is>
          <t>'113403</t>
        </is>
      </c>
      <c r="E2144" s="0" t="inlineStr">
        <is>
          <t>IOWA TRISTA W BLACK:113403B-M</t>
        </is>
      </c>
      <c r="F2144" s="0" t="inlineStr">
        <is>
          <t>'800113403053</t>
        </is>
      </c>
      <c r="G2144" s="0" t="inlineStr">
        <is>
          <t>WOMENS</t>
        </is>
      </c>
      <c r="H2144" s="0" t="inlineStr">
        <is>
          <t>M</t>
        </is>
      </c>
      <c r="I2144" s="0">
        <v>99.99</v>
      </c>
      <c r="J2144" s="0">
        <v>15</v>
      </c>
    </row>
    <row r="2145" spans="1:10" customHeight="0">
      <c r="A2145" s="0">
        <f>HYPERLINK("https://dl.dropboxusercontent.com/scl/fi/bqdi4t574n971vmcxyfye/113405af66728.jpg?rlkey=wvdx5mh7w0il9pm2fpoc443l6&amp;dl=0","Click to download Image")</f>
      </c>
      <c r="B2145" s="0">
        <f>HYPERLINK("https://dl.dropboxusercontent.com/scl/fi/wtuxpyv5mfdap5g7tx9ak/womens-jackets-size-chartstrista.jpg?rlkey=jit4krv800om5g7k529aesyi2&amp;dl=0","Click to download SizeChart")</f>
      </c>
      <c r="C2145" s="0" t="inlineStr">
        <is>
          <t>Trista Women's Puffer Jacket</t>
        </is>
      </c>
      <c r="D2145" s="0" t="inlineStr">
        <is>
          <t>'113403</t>
        </is>
      </c>
      <c r="E2145" s="0" t="inlineStr">
        <is>
          <t>IOWA TRISTA W BLACK:113403C-L</t>
        </is>
      </c>
      <c r="F2145" s="0" t="inlineStr">
        <is>
          <t>'800113403060</t>
        </is>
      </c>
      <c r="G2145" s="0" t="inlineStr">
        <is>
          <t>WOMENS</t>
        </is>
      </c>
      <c r="H2145" s="0" t="inlineStr">
        <is>
          <t>L</t>
        </is>
      </c>
      <c r="I2145" s="0">
        <v>99.99</v>
      </c>
      <c r="J2145" s="0">
        <v>15</v>
      </c>
    </row>
    <row r="2146" spans="1:10" customHeight="0">
      <c r="A2146" s="0">
        <f>HYPERLINK("https://dl.dropboxusercontent.com/scl/fi/bqdi4t574n971vmcxyfye/113405af66728.jpg?rlkey=wvdx5mh7w0il9pm2fpoc443l6&amp;dl=0","Click to download Image")</f>
      </c>
      <c r="B2146" s="0">
        <f>HYPERLINK("https://dl.dropboxusercontent.com/scl/fi/wtuxpyv5mfdap5g7tx9ak/womens-jackets-size-chartstrista.jpg?rlkey=jit4krv800om5g7k529aesyi2&amp;dl=0","Click to download SizeChart")</f>
      </c>
      <c r="C2146" s="0" t="inlineStr">
        <is>
          <t>Trista Women's Puffer Jacket</t>
        </is>
      </c>
      <c r="D2146" s="0" t="inlineStr">
        <is>
          <t>'113403</t>
        </is>
      </c>
      <c r="E2146" s="0" t="inlineStr">
        <is>
          <t>IOWA TRISTA W BLACK:113403D-XL</t>
        </is>
      </c>
      <c r="F2146" s="0" t="inlineStr">
        <is>
          <t>'800113403077</t>
        </is>
      </c>
      <c r="G2146" s="0" t="inlineStr">
        <is>
          <t>WOMENS</t>
        </is>
      </c>
      <c r="H2146" s="0" t="inlineStr">
        <is>
          <t>XL</t>
        </is>
      </c>
      <c r="I2146" s="0">
        <v>99.99</v>
      </c>
      <c r="J2146" s="0">
        <v>6</v>
      </c>
    </row>
    <row r="2147" spans="1:10" customHeight="0">
      <c r="A2147" s="0">
        <f>HYPERLINK("https://dl.dropboxusercontent.com/scl/fi/bqdi4t574n971vmcxyfye/113405af66728.jpg?rlkey=wvdx5mh7w0il9pm2fpoc443l6&amp;dl=0","Click to download Image")</f>
      </c>
      <c r="B2147" s="0">
        <f>HYPERLINK("https://dl.dropboxusercontent.com/scl/fi/wtuxpyv5mfdap5g7tx9ak/womens-jackets-size-chartstrista.jpg?rlkey=jit4krv800om5g7k529aesyi2&amp;dl=0","Click to download SizeChart")</f>
      </c>
      <c r="C2147" s="0" t="inlineStr">
        <is>
          <t>Trista Women's Puffer Jacket</t>
        </is>
      </c>
      <c r="D2147" s="0" t="inlineStr">
        <is>
          <t>'113403</t>
        </is>
      </c>
      <c r="E2147" s="0" t="inlineStr">
        <is>
          <t>IOWA TRISTA W BLACK:113403E-2XL</t>
        </is>
      </c>
      <c r="F2147" s="0" t="inlineStr">
        <is>
          <t>'800113403084</t>
        </is>
      </c>
      <c r="G2147" s="0" t="inlineStr">
        <is>
          <t>WOMENS</t>
        </is>
      </c>
      <c r="H2147" s="0" t="inlineStr">
        <is>
          <t>2XL</t>
        </is>
      </c>
      <c r="I2147" s="0">
        <v>101.99</v>
      </c>
      <c r="J2147" s="0">
        <v>4</v>
      </c>
    </row>
    <row r="2148" spans="1:10" customHeight="0">
      <c r="A2148" s="0">
        <f>HYPERLINK("https://dl.dropboxusercontent.com/scl/fi/bqdi4t574n971vmcxyfye/113405af66728.jpg?rlkey=wvdx5mh7w0il9pm2fpoc443l6&amp;dl=0","Click to download Image")</f>
      </c>
      <c r="B2148" s="0">
        <f>HYPERLINK("https://dl.dropboxusercontent.com/scl/fi/wtuxpyv5mfdap5g7tx9ak/womens-jackets-size-chartstrista.jpg?rlkey=jit4krv800om5g7k529aesyi2&amp;dl=0","Click to download SizeChart")</f>
      </c>
      <c r="C2148" s="0" t="inlineStr">
        <is>
          <t>Trista Women's Puffer Jacket</t>
        </is>
      </c>
      <c r="D2148" s="0" t="inlineStr">
        <is>
          <t>'113403</t>
        </is>
      </c>
      <c r="E2148" s="0" t="inlineStr">
        <is>
          <t>IOWA TRISTA W BLACK:113403F-3XL</t>
        </is>
      </c>
      <c r="F2148" s="0" t="inlineStr">
        <is>
          <t>'800113403091</t>
        </is>
      </c>
      <c r="G2148" s="0" t="inlineStr">
        <is>
          <t>WOMENS</t>
        </is>
      </c>
      <c r="H2148" s="0" t="inlineStr">
        <is>
          <t>3XL</t>
        </is>
      </c>
      <c r="I2148" s="0">
        <v>101.99</v>
      </c>
      <c r="J2148" s="0">
        <v>4</v>
      </c>
    </row>
    <row r="2149" spans="1:10" customHeight="0">
      <c r="A2149" s="0">
        <f>HYPERLINK("https://dl.dropboxusercontent.com/scl/fi/bqdi4t574n971vmcxyfye/113405af66728.jpg?rlkey=wvdx5mh7w0il9pm2fpoc443l6&amp;dl=0","Click to download Image")</f>
      </c>
      <c r="B2149" s="0">
        <f>HYPERLINK("https://dl.dropboxusercontent.com/scl/fi/wtuxpyv5mfdap5g7tx9ak/womens-jackets-size-chartstrista.jpg?rlkey=jit4krv800om5g7k529aesyi2&amp;dl=0","Click to download SizeChart")</f>
      </c>
      <c r="C2149" s="0" t="inlineStr">
        <is>
          <t>Trista Women's Puffer Jacket</t>
        </is>
      </c>
      <c r="D2149" s="0" t="inlineStr">
        <is>
          <t>'113403</t>
        </is>
      </c>
      <c r="E2149" s="0" t="inlineStr">
        <is>
          <t>IOWA TRISTA W BLACK 12 PACK:113403Z-12PK</t>
        </is>
      </c>
      <c r="F2149" s="0" t="inlineStr">
        <is>
          <t>'800113403992</t>
        </is>
      </c>
      <c r="G2149" s="0" t="inlineStr">
        <is>
          <t>WOMENS</t>
        </is>
      </c>
      <c r="H2149" s="0" t="inlineStr">
        <is>
          <t>12 PACK</t>
        </is>
      </c>
      <c r="I2149" s="0">
        <v>960</v>
      </c>
      <c r="J2149" s="0">
        <v>3</v>
      </c>
    </row>
    <row r="2150" spans="1:10" customHeight="0">
      <c r="A2150" s="0">
        <f>HYPERLINK("https://dl.dropboxusercontent.com/scl/fi/3hxw4tl7vu6w3l552zx5y/123781-f.jpg?rlkey=fjym34ngcpelvd8jjatytz0u8&amp;dl=0","Click to download Image")</f>
      </c>
      <c r="B2150" s="0">
        <f>HYPERLINK("https://dl.dropboxusercontent.com/scl/fi/pjd35dcfu8oore4evwifv/graphic-update22022-infant.jpg?rlkey=zcbyboa9qlmvc71ijdd6ecjwq&amp;dl=0","Click to download SizeChart")</f>
      </c>
      <c r="C2150" s="0" t="inlineStr">
        <is>
          <t>Veda Infant Bodysuit</t>
        </is>
      </c>
      <c r="D2150" s="0" t="inlineStr">
        <is>
          <t>'123781</t>
        </is>
      </c>
      <c r="E2150" s="0" t="inlineStr">
        <is>
          <t>NDSU VEDA I GN:123781A-0-3M</t>
        </is>
      </c>
      <c r="F2150" s="0" t="inlineStr">
        <is>
          <t>'813123781004</t>
        </is>
      </c>
      <c r="G2150" s="0" t="inlineStr">
        <is>
          <t>INFANT</t>
        </is>
      </c>
      <c r="H2150" s="0" t="inlineStr">
        <is>
          <t>0-3M</t>
        </is>
      </c>
      <c r="I2150" s="0">
        <v>24.99</v>
      </c>
      <c r="J2150" s="0">
        <v>4</v>
      </c>
    </row>
    <row r="2151" spans="1:10" customHeight="0">
      <c r="A2151" s="0">
        <f>HYPERLINK("https://dl.dropboxusercontent.com/scl/fi/3hxw4tl7vu6w3l552zx5y/123781-f.jpg?rlkey=fjym34ngcpelvd8jjatytz0u8&amp;dl=0","Click to download Image")</f>
      </c>
      <c r="B2151" s="0">
        <f>HYPERLINK("https://dl.dropboxusercontent.com/scl/fi/pjd35dcfu8oore4evwifv/graphic-update22022-infant.jpg?rlkey=zcbyboa9qlmvc71ijdd6ecjwq&amp;dl=0","Click to download SizeChart")</f>
      </c>
      <c r="C2151" s="0" t="inlineStr">
        <is>
          <t>Veda Infant Bodysuit</t>
        </is>
      </c>
      <c r="D2151" s="0" t="inlineStr">
        <is>
          <t>'123781</t>
        </is>
      </c>
      <c r="E2151" s="0" t="inlineStr">
        <is>
          <t>NDSU VEDA I GN:123781B-3-6M</t>
        </is>
      </c>
      <c r="F2151" s="0" t="inlineStr">
        <is>
          <t>'813123781011</t>
        </is>
      </c>
      <c r="G2151" s="0" t="inlineStr">
        <is>
          <t>INFANT</t>
        </is>
      </c>
      <c r="H2151" s="0" t="inlineStr">
        <is>
          <t>3-6M</t>
        </is>
      </c>
      <c r="I2151" s="0">
        <v>24.99</v>
      </c>
      <c r="J2151" s="0">
        <v>6</v>
      </c>
    </row>
    <row r="2152" spans="1:10" customHeight="0">
      <c r="A2152" s="0">
        <f>HYPERLINK("https://dl.dropboxusercontent.com/scl/fi/3hxw4tl7vu6w3l552zx5y/123781-f.jpg?rlkey=fjym34ngcpelvd8jjatytz0u8&amp;dl=0","Click to download Image")</f>
      </c>
      <c r="B2152" s="0">
        <f>HYPERLINK("https://dl.dropboxusercontent.com/scl/fi/pjd35dcfu8oore4evwifv/graphic-update22022-infant.jpg?rlkey=zcbyboa9qlmvc71ijdd6ecjwq&amp;dl=0","Click to download SizeChart")</f>
      </c>
      <c r="C2152" s="0" t="inlineStr">
        <is>
          <t>Veda Infant Bodysuit</t>
        </is>
      </c>
      <c r="D2152" s="0" t="inlineStr">
        <is>
          <t>'123781</t>
        </is>
      </c>
      <c r="E2152" s="0" t="inlineStr">
        <is>
          <t>NDSU VEDA I GN:123781C-6-9M</t>
        </is>
      </c>
      <c r="F2152" s="0" t="inlineStr">
        <is>
          <t>'813123781028</t>
        </is>
      </c>
      <c r="G2152" s="0" t="inlineStr">
        <is>
          <t>INFANT</t>
        </is>
      </c>
      <c r="H2152" s="0" t="inlineStr">
        <is>
          <t>6-9M</t>
        </is>
      </c>
      <c r="I2152" s="0">
        <v>24.99</v>
      </c>
      <c r="J2152" s="0">
        <v>1</v>
      </c>
    </row>
    <row r="2153" spans="1:10" customHeight="0">
      <c r="A2153" s="0">
        <f>HYPERLINK("https://dl.dropboxusercontent.com/scl/fi/3hxw4tl7vu6w3l552zx5y/123781-f.jpg?rlkey=fjym34ngcpelvd8jjatytz0u8&amp;dl=0","Click to download Image")</f>
      </c>
      <c r="B2153" s="0">
        <f>HYPERLINK("https://dl.dropboxusercontent.com/scl/fi/pjd35dcfu8oore4evwifv/graphic-update22022-infant.jpg?rlkey=zcbyboa9qlmvc71ijdd6ecjwq&amp;dl=0","Click to download SizeChart")</f>
      </c>
      <c r="C2153" s="0" t="inlineStr">
        <is>
          <t>Veda Infant Bodysuit</t>
        </is>
      </c>
      <c r="D2153" s="0" t="inlineStr">
        <is>
          <t>'123781</t>
        </is>
      </c>
      <c r="E2153" s="0" t="inlineStr">
        <is>
          <t>NDSU VEDA I GN:123781F-12M</t>
        </is>
      </c>
      <c r="F2153" s="0" t="inlineStr">
        <is>
          <t>'813123781035</t>
        </is>
      </c>
      <c r="G2153" s="0" t="inlineStr">
        <is>
          <t>INFANT</t>
        </is>
      </c>
      <c r="H2153" s="0" t="inlineStr">
        <is>
          <t>12M</t>
        </is>
      </c>
      <c r="I2153" s="0">
        <v>24.99</v>
      </c>
      <c r="J2153" s="0">
        <v>7</v>
      </c>
    </row>
    <row r="2154" spans="1:10" customHeight="0">
      <c r="A2154" s="0">
        <f>HYPERLINK("https://dl.dropboxusercontent.com/scl/fi/3hxw4tl7vu6w3l552zx5y/123781-f.jpg?rlkey=fjym34ngcpelvd8jjatytz0u8&amp;dl=0","Click to download Image")</f>
      </c>
      <c r="B2154" s="0">
        <f>HYPERLINK("https://dl.dropboxusercontent.com/scl/fi/pjd35dcfu8oore4evwifv/graphic-update22022-infant.jpg?rlkey=zcbyboa9qlmvc71ijdd6ecjwq&amp;dl=0","Click to download SizeChart")</f>
      </c>
      <c r="C2154" s="0" t="inlineStr">
        <is>
          <t>Veda Infant Bodysuit</t>
        </is>
      </c>
      <c r="D2154" s="0" t="inlineStr">
        <is>
          <t>'123781</t>
        </is>
      </c>
      <c r="E2154" s="0" t="inlineStr">
        <is>
          <t>NDSU VEDA I GN 12PK:123781Z-12PK</t>
        </is>
      </c>
      <c r="F2154" s="0" t="inlineStr">
        <is>
          <t>'813123781998</t>
        </is>
      </c>
      <c r="G2154" s="0" t="inlineStr">
        <is>
          <t>INFANT</t>
        </is>
      </c>
      <c r="H2154" s="0" t="inlineStr">
        <is>
          <t>12 PACK</t>
        </is>
      </c>
      <c r="I2154" s="0">
        <v>240</v>
      </c>
      <c r="J2154" s="0">
        <v>0</v>
      </c>
    </row>
    <row r="2155" spans="1:10" customHeight="0">
      <c r="A2155" s="0">
        <f>HYPERLINK("https://dl.dropboxusercontent.com/scl/fi/i82pp0ihawq88ojgo9u9h/123099-f.jpg?rlkey=acsoou31v1y7ttd0e6mjiw33q&amp;dl=0","Click to download Image")</f>
      </c>
      <c r="B2155" s="0">
        <f>HYPERLINK("https://dl.dropboxusercontent.com/scl/fi/pjd35dcfu8oore4evwifv/graphic-update22022-infant.jpg?rlkey=zcbyboa9qlmvc71ijdd6ecjwq&amp;dl=0","Click to download SizeChart")</f>
      </c>
      <c r="C2155" s="0" t="inlineStr">
        <is>
          <t>Veda Infant Bodysuit</t>
        </is>
      </c>
      <c r="D2155" s="0" t="inlineStr">
        <is>
          <t>'123099</t>
        </is>
      </c>
      <c r="E2155" s="0" t="inlineStr">
        <is>
          <t>UNI VEDA I PE:123099A-0-3M</t>
        </is>
      </c>
      <c r="F2155" s="0" t="inlineStr">
        <is>
          <t>'802123099004</t>
        </is>
      </c>
      <c r="G2155" s="0" t="inlineStr">
        <is>
          <t>INFANT</t>
        </is>
      </c>
      <c r="H2155" s="0" t="inlineStr">
        <is>
          <t>0-3M</t>
        </is>
      </c>
      <c r="I2155" s="0">
        <v>24.99</v>
      </c>
      <c r="J2155" s="0">
        <v>12</v>
      </c>
    </row>
    <row r="2156" spans="1:10" customHeight="0">
      <c r="A2156" s="0">
        <f>HYPERLINK("https://dl.dropboxusercontent.com/scl/fi/i82pp0ihawq88ojgo9u9h/123099-f.jpg?rlkey=acsoou31v1y7ttd0e6mjiw33q&amp;dl=0","Click to download Image")</f>
      </c>
      <c r="B2156" s="0">
        <f>HYPERLINK("https://dl.dropboxusercontent.com/scl/fi/pjd35dcfu8oore4evwifv/graphic-update22022-infant.jpg?rlkey=zcbyboa9qlmvc71ijdd6ecjwq&amp;dl=0","Click to download SizeChart")</f>
      </c>
      <c r="C2156" s="0" t="inlineStr">
        <is>
          <t>Veda Infant Bodysuit</t>
        </is>
      </c>
      <c r="D2156" s="0" t="inlineStr">
        <is>
          <t>'123099</t>
        </is>
      </c>
      <c r="E2156" s="0" t="inlineStr">
        <is>
          <t>UNI VEDA I PE:123099B-3-6M</t>
        </is>
      </c>
      <c r="F2156" s="0" t="inlineStr">
        <is>
          <t>'802123099011</t>
        </is>
      </c>
      <c r="G2156" s="0" t="inlineStr">
        <is>
          <t>INFANT</t>
        </is>
      </c>
      <c r="H2156" s="0" t="inlineStr">
        <is>
          <t>3-6M</t>
        </is>
      </c>
      <c r="I2156" s="0">
        <v>24.99</v>
      </c>
      <c r="J2156" s="0">
        <v>7</v>
      </c>
    </row>
    <row r="2157" spans="1:10" customHeight="0">
      <c r="A2157" s="0">
        <f>HYPERLINK("https://dl.dropboxusercontent.com/scl/fi/i82pp0ihawq88ojgo9u9h/123099-f.jpg?rlkey=acsoou31v1y7ttd0e6mjiw33q&amp;dl=0","Click to download Image")</f>
      </c>
      <c r="B2157" s="0">
        <f>HYPERLINK("https://dl.dropboxusercontent.com/scl/fi/pjd35dcfu8oore4evwifv/graphic-update22022-infant.jpg?rlkey=zcbyboa9qlmvc71ijdd6ecjwq&amp;dl=0","Click to download SizeChart")</f>
      </c>
      <c r="C2157" s="0" t="inlineStr">
        <is>
          <t>Veda Infant Bodysuit</t>
        </is>
      </c>
      <c r="D2157" s="0" t="inlineStr">
        <is>
          <t>'123099</t>
        </is>
      </c>
      <c r="E2157" s="0" t="inlineStr">
        <is>
          <t>UNI VEDA I PE:123099C-6-9M</t>
        </is>
      </c>
      <c r="F2157" s="0" t="inlineStr">
        <is>
          <t>'802123099028</t>
        </is>
      </c>
      <c r="G2157" s="0" t="inlineStr">
        <is>
          <t>INFANT</t>
        </is>
      </c>
      <c r="H2157" s="0" t="inlineStr">
        <is>
          <t>6-9M</t>
        </is>
      </c>
      <c r="I2157" s="0">
        <v>24.99</v>
      </c>
      <c r="J2157" s="0">
        <v>10</v>
      </c>
    </row>
    <row r="2158" spans="1:10" customHeight="0">
      <c r="A2158" s="0">
        <f>HYPERLINK("https://dl.dropboxusercontent.com/scl/fi/i82pp0ihawq88ojgo9u9h/123099-f.jpg?rlkey=acsoou31v1y7ttd0e6mjiw33q&amp;dl=0","Click to download Image")</f>
      </c>
      <c r="B2158" s="0">
        <f>HYPERLINK("https://dl.dropboxusercontent.com/scl/fi/pjd35dcfu8oore4evwifv/graphic-update22022-infant.jpg?rlkey=zcbyboa9qlmvc71ijdd6ecjwq&amp;dl=0","Click to download SizeChart")</f>
      </c>
      <c r="C2158" s="0" t="inlineStr">
        <is>
          <t>Veda Infant Bodysuit</t>
        </is>
      </c>
      <c r="D2158" s="0" t="inlineStr">
        <is>
          <t>'123099</t>
        </is>
      </c>
      <c r="E2158" s="0" t="inlineStr">
        <is>
          <t>UNI VEDA I PE:123099F-12M</t>
        </is>
      </c>
      <c r="F2158" s="0" t="inlineStr">
        <is>
          <t>'802123099035</t>
        </is>
      </c>
      <c r="G2158" s="0" t="inlineStr">
        <is>
          <t>INFANT</t>
        </is>
      </c>
      <c r="H2158" s="0" t="inlineStr">
        <is>
          <t>12M</t>
        </is>
      </c>
      <c r="I2158" s="0">
        <v>24.99</v>
      </c>
      <c r="J2158" s="0">
        <v>8</v>
      </c>
    </row>
    <row r="2159" spans="1:10" customHeight="0">
      <c r="A2159" s="0">
        <f>HYPERLINK("https://dl.dropboxusercontent.com/scl/fi/i82pp0ihawq88ojgo9u9h/123099-f.jpg?rlkey=acsoou31v1y7ttd0e6mjiw33q&amp;dl=0","Click to download Image")</f>
      </c>
      <c r="B2159" s="0">
        <f>HYPERLINK("https://dl.dropboxusercontent.com/scl/fi/pjd35dcfu8oore4evwifv/graphic-update22022-infant.jpg?rlkey=zcbyboa9qlmvc71ijdd6ecjwq&amp;dl=0","Click to download SizeChart")</f>
      </c>
      <c r="C2159" s="0" t="inlineStr">
        <is>
          <t>Veda Infant Bodysuit</t>
        </is>
      </c>
      <c r="D2159" s="0" t="inlineStr">
        <is>
          <t>'123099</t>
        </is>
      </c>
      <c r="E2159" s="0" t="inlineStr">
        <is>
          <t>UNI VEDA I PE 12PK:123099Z-12PK</t>
        </is>
      </c>
      <c r="F2159" s="0" t="inlineStr">
        <is>
          <t>'802123099998</t>
        </is>
      </c>
      <c r="G2159" s="0" t="inlineStr">
        <is>
          <t>INFANT</t>
        </is>
      </c>
      <c r="H2159" s="0" t="inlineStr">
        <is>
          <t>12 PACK</t>
        </is>
      </c>
      <c r="I2159" s="0">
        <v>240</v>
      </c>
      <c r="J2159" s="0">
        <v>3</v>
      </c>
    </row>
    <row r="2160" spans="1:10" customHeight="0">
      <c r="A2160" s="0">
        <f>HYPERLINK("https://dl.dropboxusercontent.com/scl/fi/5a6ujtp6nj4xv00s1m9kk/112851-af.jpg?rlkey=8r0ckslpo2f7vqvwl1sdxhnnd&amp;dl=0","Click to download Image")</f>
      </c>
      <c r="C2160" s="0" t="inlineStr">
        <is>
          <t>Urban Men's Performance Beanie</t>
        </is>
      </c>
      <c r="D2160" s="0" t="inlineStr">
        <is>
          <t>'112851</t>
        </is>
      </c>
      <c r="E2160" s="0" t="inlineStr">
        <is>
          <t>ISU URBAN:112851</t>
        </is>
      </c>
      <c r="F2160" s="0" t="inlineStr">
        <is>
          <t>'701112851015</t>
        </is>
      </c>
      <c r="G2160" s="0" t="inlineStr">
        <is>
          <t>MENS</t>
        </is>
      </c>
      <c r="H2160" s="0" t="inlineStr">
        <is>
          <t>STANDARD MENS</t>
        </is>
      </c>
      <c r="I2160" s="0">
        <v>19.99</v>
      </c>
      <c r="J2160" s="0">
        <v>42</v>
      </c>
    </row>
    <row r="2161" spans="1:10" customHeight="0">
      <c r="A2161" s="0">
        <f>HYPERLINK("https://dl.dropboxusercontent.com/scl/fi/jeo218zffqbj5dn2xuukm/drakeurban-0220436.jpg?rlkey=8wtqw3mopyhh3d37tlsjgbr34&amp;dl=0","Click to download Image")</f>
      </c>
      <c r="C2161" s="0" t="inlineStr">
        <is>
          <t>Urban Men's Performance Beanie</t>
        </is>
      </c>
      <c r="D2161" s="0" t="inlineStr">
        <is>
          <t>'128810</t>
        </is>
      </c>
      <c r="E2161" s="0" t="inlineStr">
        <is>
          <t>DRK URBAN:128810</t>
        </is>
      </c>
      <c r="F2161" s="0" t="inlineStr">
        <is>
          <t>'717128810014</t>
        </is>
      </c>
      <c r="G2161" s="0" t="inlineStr">
        <is>
          <t>MENS</t>
        </is>
      </c>
      <c r="H2161" s="0" t="inlineStr">
        <is>
          <t>STANDARD MENS</t>
        </is>
      </c>
      <c r="I2161" s="0">
        <v>19.99</v>
      </c>
      <c r="J2161" s="0">
        <v>19</v>
      </c>
    </row>
    <row r="2162" spans="1:10" customHeight="0">
      <c r="A2162" s="0">
        <f>HYPERLINK("https://dl.dropboxusercontent.com/scl/fi/hi0hqi5olkc2w2hgmrmsg/veronicaisu79482.jpg?rlkey=749yohqvz042wdvcm6jtyzi50&amp;dl=0","Click to download Image")</f>
      </c>
      <c r="B2162" s="0">
        <f>HYPERLINK("https://dl.dropboxusercontent.com/scl/fi/u244xlhzhorg64z89cs1c/womens-size-chartsveronica.jpg?rlkey=b4t87mt98h9mt2xqqnvr2hghl&amp;dl=0","Click to download SizeChart")</f>
      </c>
      <c r="C2162" s="0" t="inlineStr">
        <is>
          <t>Veronica Women's Canvas Jacket</t>
        </is>
      </c>
      <c r="D2162" s="0" t="inlineStr">
        <is>
          <t>'113275</t>
        </is>
      </c>
      <c r="E2162" s="0" t="inlineStr">
        <is>
          <t>ISU VERONICA GOLD:113275A-S</t>
        </is>
      </c>
      <c r="F2162" s="0" t="inlineStr">
        <is>
          <t>'801113275046</t>
        </is>
      </c>
      <c r="G2162" s="0" t="inlineStr">
        <is>
          <t>WOMENS</t>
        </is>
      </c>
      <c r="H2162" s="0" t="inlineStr">
        <is>
          <t>S</t>
        </is>
      </c>
      <c r="I2162" s="0">
        <v>59.99</v>
      </c>
      <c r="J2162" s="0">
        <v>1</v>
      </c>
    </row>
    <row r="2163" spans="1:10" customHeight="0">
      <c r="A2163" s="0">
        <f>HYPERLINK("https://dl.dropboxusercontent.com/scl/fi/hi0hqi5olkc2w2hgmrmsg/veronicaisu79482.jpg?rlkey=749yohqvz042wdvcm6jtyzi50&amp;dl=0","Click to download Image")</f>
      </c>
      <c r="B2163" s="0">
        <f>HYPERLINK("https://dl.dropboxusercontent.com/scl/fi/u244xlhzhorg64z89cs1c/womens-size-chartsveronica.jpg?rlkey=b4t87mt98h9mt2xqqnvr2hghl&amp;dl=0","Click to download SizeChart")</f>
      </c>
      <c r="C2163" s="0" t="inlineStr">
        <is>
          <t>Veronica Women's Canvas Jacket</t>
        </is>
      </c>
      <c r="D2163" s="0" t="inlineStr">
        <is>
          <t>'113275</t>
        </is>
      </c>
      <c r="E2163" s="0" t="inlineStr">
        <is>
          <t>ISU VERONICA GOLD:113275B-M</t>
        </is>
      </c>
      <c r="F2163" s="0" t="inlineStr">
        <is>
          <t>'801113275053</t>
        </is>
      </c>
      <c r="G2163" s="0" t="inlineStr">
        <is>
          <t>WOMENS</t>
        </is>
      </c>
      <c r="H2163" s="0" t="inlineStr">
        <is>
          <t>M</t>
        </is>
      </c>
      <c r="I2163" s="0">
        <v>59.99</v>
      </c>
      <c r="J2163" s="0">
        <v>9</v>
      </c>
    </row>
    <row r="2164" spans="1:10" customHeight="0">
      <c r="A2164" s="0">
        <f>HYPERLINK("https://dl.dropboxusercontent.com/scl/fi/hi0hqi5olkc2w2hgmrmsg/veronicaisu79482.jpg?rlkey=749yohqvz042wdvcm6jtyzi50&amp;dl=0","Click to download Image")</f>
      </c>
      <c r="B2164" s="0">
        <f>HYPERLINK("https://dl.dropboxusercontent.com/scl/fi/u244xlhzhorg64z89cs1c/womens-size-chartsveronica.jpg?rlkey=b4t87mt98h9mt2xqqnvr2hghl&amp;dl=0","Click to download SizeChart")</f>
      </c>
      <c r="C2164" s="0" t="inlineStr">
        <is>
          <t>Veronica Women's Canvas Jacket</t>
        </is>
      </c>
      <c r="D2164" s="0" t="inlineStr">
        <is>
          <t>'113275</t>
        </is>
      </c>
      <c r="E2164" s="0" t="inlineStr">
        <is>
          <t>ISU VERONICA GOLD:113275C-L</t>
        </is>
      </c>
      <c r="F2164" s="0" t="inlineStr">
        <is>
          <t>'801113275060</t>
        </is>
      </c>
      <c r="G2164" s="0" t="inlineStr">
        <is>
          <t>WOMENS</t>
        </is>
      </c>
      <c r="H2164" s="0" t="inlineStr">
        <is>
          <t>L</t>
        </is>
      </c>
      <c r="I2164" s="0">
        <v>59.99</v>
      </c>
      <c r="J2164" s="0">
        <v>9</v>
      </c>
    </row>
    <row r="2165" spans="1:10" customHeight="0">
      <c r="A2165" s="0">
        <f>HYPERLINK("https://dl.dropboxusercontent.com/scl/fi/hi0hqi5olkc2w2hgmrmsg/veronicaisu79482.jpg?rlkey=749yohqvz042wdvcm6jtyzi50&amp;dl=0","Click to download Image")</f>
      </c>
      <c r="B2165" s="0">
        <f>HYPERLINK("https://dl.dropboxusercontent.com/scl/fi/u244xlhzhorg64z89cs1c/womens-size-chartsveronica.jpg?rlkey=b4t87mt98h9mt2xqqnvr2hghl&amp;dl=0","Click to download SizeChart")</f>
      </c>
      <c r="C2165" s="0" t="inlineStr">
        <is>
          <t>Veronica Women's Canvas Jacket</t>
        </is>
      </c>
      <c r="D2165" s="0" t="inlineStr">
        <is>
          <t>'113275</t>
        </is>
      </c>
      <c r="E2165" s="0" t="inlineStr">
        <is>
          <t>ISU VERONICA GOLD:113275D-XL</t>
        </is>
      </c>
      <c r="F2165" s="0" t="inlineStr">
        <is>
          <t>'801113275077</t>
        </is>
      </c>
      <c r="G2165" s="0" t="inlineStr">
        <is>
          <t>WOMENS</t>
        </is>
      </c>
      <c r="H2165" s="0" t="inlineStr">
        <is>
          <t>XL</t>
        </is>
      </c>
      <c r="I2165" s="0">
        <v>59.99</v>
      </c>
      <c r="J2165" s="0">
        <v>2</v>
      </c>
    </row>
    <row r="2166" spans="1:10" customHeight="0">
      <c r="A2166" s="0">
        <f>HYPERLINK("https://dl.dropboxusercontent.com/scl/fi/hi0hqi5olkc2w2hgmrmsg/veronicaisu79482.jpg?rlkey=749yohqvz042wdvcm6jtyzi50&amp;dl=0","Click to download Image")</f>
      </c>
      <c r="B2166" s="0">
        <f>HYPERLINK("https://dl.dropboxusercontent.com/scl/fi/u244xlhzhorg64z89cs1c/womens-size-chartsveronica.jpg?rlkey=b4t87mt98h9mt2xqqnvr2hghl&amp;dl=0","Click to download SizeChart")</f>
      </c>
      <c r="C2166" s="0" t="inlineStr">
        <is>
          <t>Veronica Women's Canvas Jacket</t>
        </is>
      </c>
      <c r="D2166" s="0" t="inlineStr">
        <is>
          <t>'113275</t>
        </is>
      </c>
      <c r="E2166" s="0" t="inlineStr">
        <is>
          <t>ISU VERONICA GOLD:113275E-2XL</t>
        </is>
      </c>
      <c r="F2166" s="0" t="inlineStr">
        <is>
          <t>'801113275084</t>
        </is>
      </c>
      <c r="G2166" s="0" t="inlineStr">
        <is>
          <t>WOMENS</t>
        </is>
      </c>
      <c r="H2166" s="0" t="inlineStr">
        <is>
          <t>2XL</t>
        </is>
      </c>
      <c r="I2166" s="0">
        <v>61.99</v>
      </c>
      <c r="J2166" s="0">
        <v>0</v>
      </c>
    </row>
    <row r="2167" spans="1:10" customHeight="0">
      <c r="A2167" s="0">
        <f>HYPERLINK("https://dl.dropboxusercontent.com/scl/fi/hi0hqi5olkc2w2hgmrmsg/veronicaisu79482.jpg?rlkey=749yohqvz042wdvcm6jtyzi50&amp;dl=0","Click to download Image")</f>
      </c>
      <c r="B2167" s="0">
        <f>HYPERLINK("https://dl.dropboxusercontent.com/scl/fi/u244xlhzhorg64z89cs1c/womens-size-chartsveronica.jpg?rlkey=b4t87mt98h9mt2xqqnvr2hghl&amp;dl=0","Click to download SizeChart")</f>
      </c>
      <c r="C2167" s="0" t="inlineStr">
        <is>
          <t>Veronica Women's Canvas Jacket</t>
        </is>
      </c>
      <c r="D2167" s="0" t="inlineStr">
        <is>
          <t>'113275</t>
        </is>
      </c>
      <c r="E2167" s="0" t="inlineStr">
        <is>
          <t>ISU VERONICA GOLD:113275F-3XL</t>
        </is>
      </c>
      <c r="F2167" s="0" t="inlineStr">
        <is>
          <t>'801113275091</t>
        </is>
      </c>
      <c r="G2167" s="0" t="inlineStr">
        <is>
          <t>WOMENS</t>
        </is>
      </c>
      <c r="H2167" s="0" t="inlineStr">
        <is>
          <t>3XL</t>
        </is>
      </c>
      <c r="I2167" s="0">
        <v>61.99</v>
      </c>
      <c r="J2167" s="0">
        <v>1</v>
      </c>
    </row>
    <row r="2168" spans="1:10" customHeight="0">
      <c r="A2168" s="0">
        <f>HYPERLINK("https://dl.dropboxusercontent.com/scl/fi/hi0hqi5olkc2w2hgmrmsg/veronicaisu79482.jpg?rlkey=749yohqvz042wdvcm6jtyzi50&amp;dl=0","Click to download Image")</f>
      </c>
      <c r="B2168" s="0">
        <f>HYPERLINK("https://dl.dropboxusercontent.com/scl/fi/u244xlhzhorg64z89cs1c/womens-size-chartsveronica.jpg?rlkey=b4t87mt98h9mt2xqqnvr2hghl&amp;dl=0","Click to download SizeChart")</f>
      </c>
      <c r="C2168" s="0" t="inlineStr">
        <is>
          <t>Veronica Women's Canvas Jacket</t>
        </is>
      </c>
      <c r="D2168" s="0" t="inlineStr">
        <is>
          <t>'113275</t>
        </is>
      </c>
      <c r="E2168" s="0" t="inlineStr">
        <is>
          <t>ISU VERONICA GOLD 12 PACK:113275Z-12PK</t>
        </is>
      </c>
      <c r="F2168" s="0" t="inlineStr">
        <is>
          <t>'801113275992</t>
        </is>
      </c>
      <c r="G2168" s="0" t="inlineStr">
        <is>
          <t>WOMENS</t>
        </is>
      </c>
      <c r="H2168" s="0" t="inlineStr">
        <is>
          <t>12 PACK</t>
        </is>
      </c>
      <c r="I2168" s="0">
        <v>580</v>
      </c>
      <c r="J2168" s="0">
        <v>0</v>
      </c>
    </row>
    <row r="2169" spans="1:10" customHeight="0">
      <c r="A2169" s="0">
        <f>HYPERLINK("https://dl.dropboxusercontent.com/scl/fi/gra4lysyum5ycptwfkwql/113274-af-1.jpg?rlkey=c7puyvlkv7v67fy1jdw9mmayu&amp;dl=0","Click to download Image")</f>
      </c>
      <c r="B2169" s="0">
        <f>HYPERLINK("https://dl.dropboxusercontent.com/scl/fi/u244xlhzhorg64z89cs1c/womens-size-chartsveronica.jpg?rlkey=b4t87mt98h9mt2xqqnvr2hghl&amp;dl=0","Click to download SizeChart")</f>
      </c>
      <c r="C2169" s="0" t="inlineStr">
        <is>
          <t>Veronica Women's Canvas Jacket</t>
        </is>
      </c>
      <c r="D2169" s="0" t="inlineStr">
        <is>
          <t>'113274</t>
        </is>
      </c>
      <c r="E2169" s="0" t="inlineStr">
        <is>
          <t>IOWA VERONICA GOLD:113274A-S</t>
        </is>
      </c>
      <c r="F2169" s="0" t="inlineStr">
        <is>
          <t>'800113274042</t>
        </is>
      </c>
      <c r="G2169" s="0" t="inlineStr">
        <is>
          <t>WOMENS</t>
        </is>
      </c>
      <c r="H2169" s="0" t="inlineStr">
        <is>
          <t>S</t>
        </is>
      </c>
      <c r="I2169" s="0">
        <v>59.99</v>
      </c>
      <c r="J2169" s="0">
        <v>3</v>
      </c>
    </row>
    <row r="2170" spans="1:10" customHeight="0">
      <c r="A2170" s="0">
        <f>HYPERLINK("https://dl.dropboxusercontent.com/scl/fi/gra4lysyum5ycptwfkwql/113274-af-1.jpg?rlkey=c7puyvlkv7v67fy1jdw9mmayu&amp;dl=0","Click to download Image")</f>
      </c>
      <c r="B2170" s="0">
        <f>HYPERLINK("https://dl.dropboxusercontent.com/scl/fi/u244xlhzhorg64z89cs1c/womens-size-chartsveronica.jpg?rlkey=b4t87mt98h9mt2xqqnvr2hghl&amp;dl=0","Click to download SizeChart")</f>
      </c>
      <c r="C2170" s="0" t="inlineStr">
        <is>
          <t>Veronica Women's Canvas Jacket</t>
        </is>
      </c>
      <c r="D2170" s="0" t="inlineStr">
        <is>
          <t>'113274</t>
        </is>
      </c>
      <c r="E2170" s="0" t="inlineStr">
        <is>
          <t>IOWA VERONICA GOLD:113274B-M</t>
        </is>
      </c>
      <c r="F2170" s="0" t="inlineStr">
        <is>
          <t>'800113274059</t>
        </is>
      </c>
      <c r="G2170" s="0" t="inlineStr">
        <is>
          <t>WOMENS</t>
        </is>
      </c>
      <c r="H2170" s="0" t="inlineStr">
        <is>
          <t>M</t>
        </is>
      </c>
      <c r="I2170" s="0">
        <v>59.99</v>
      </c>
      <c r="J2170" s="0">
        <v>24</v>
      </c>
    </row>
    <row r="2171" spans="1:10" customHeight="0">
      <c r="A2171" s="0">
        <f>HYPERLINK("https://dl.dropboxusercontent.com/scl/fi/gra4lysyum5ycptwfkwql/113274-af-1.jpg?rlkey=c7puyvlkv7v67fy1jdw9mmayu&amp;dl=0","Click to download Image")</f>
      </c>
      <c r="B2171" s="0">
        <f>HYPERLINK("https://dl.dropboxusercontent.com/scl/fi/u244xlhzhorg64z89cs1c/womens-size-chartsveronica.jpg?rlkey=b4t87mt98h9mt2xqqnvr2hghl&amp;dl=0","Click to download SizeChart")</f>
      </c>
      <c r="C2171" s="0" t="inlineStr">
        <is>
          <t>Veronica Women's Canvas Jacket</t>
        </is>
      </c>
      <c r="D2171" s="0" t="inlineStr">
        <is>
          <t>'113274</t>
        </is>
      </c>
      <c r="E2171" s="0" t="inlineStr">
        <is>
          <t>IOWA VERONICA GOLD:113274C-L</t>
        </is>
      </c>
      <c r="F2171" s="0" t="inlineStr">
        <is>
          <t>'800113274066</t>
        </is>
      </c>
      <c r="G2171" s="0" t="inlineStr">
        <is>
          <t>WOMENS</t>
        </is>
      </c>
      <c r="H2171" s="0" t="inlineStr">
        <is>
          <t>L</t>
        </is>
      </c>
      <c r="I2171" s="0">
        <v>59.99</v>
      </c>
      <c r="J2171" s="0">
        <v>24</v>
      </c>
    </row>
    <row r="2172" spans="1:10" customHeight="0">
      <c r="A2172" s="0">
        <f>HYPERLINK("https://dl.dropboxusercontent.com/scl/fi/gra4lysyum5ycptwfkwql/113274-af-1.jpg?rlkey=c7puyvlkv7v67fy1jdw9mmayu&amp;dl=0","Click to download Image")</f>
      </c>
      <c r="B2172" s="0">
        <f>HYPERLINK("https://dl.dropboxusercontent.com/scl/fi/u244xlhzhorg64z89cs1c/womens-size-chartsveronica.jpg?rlkey=b4t87mt98h9mt2xqqnvr2hghl&amp;dl=0","Click to download SizeChart")</f>
      </c>
      <c r="C2172" s="0" t="inlineStr">
        <is>
          <t>Veronica Women's Canvas Jacket</t>
        </is>
      </c>
      <c r="D2172" s="0" t="inlineStr">
        <is>
          <t>'113274</t>
        </is>
      </c>
      <c r="E2172" s="0" t="inlineStr">
        <is>
          <t>IOWA VERONICA GOLD:113274D-XL</t>
        </is>
      </c>
      <c r="F2172" s="0" t="inlineStr">
        <is>
          <t>'800113274073</t>
        </is>
      </c>
      <c r="G2172" s="0" t="inlineStr">
        <is>
          <t>WOMENS</t>
        </is>
      </c>
      <c r="H2172" s="0" t="inlineStr">
        <is>
          <t>XL</t>
        </is>
      </c>
      <c r="I2172" s="0">
        <v>59.99</v>
      </c>
      <c r="J2172" s="0">
        <v>4</v>
      </c>
    </row>
    <row r="2173" spans="1:10" customHeight="0">
      <c r="A2173" s="0">
        <f>HYPERLINK("https://dl.dropboxusercontent.com/scl/fi/gra4lysyum5ycptwfkwql/113274-af-1.jpg?rlkey=c7puyvlkv7v67fy1jdw9mmayu&amp;dl=0","Click to download Image")</f>
      </c>
      <c r="B2173" s="0">
        <f>HYPERLINK("https://dl.dropboxusercontent.com/scl/fi/u244xlhzhorg64z89cs1c/womens-size-chartsveronica.jpg?rlkey=b4t87mt98h9mt2xqqnvr2hghl&amp;dl=0","Click to download SizeChart")</f>
      </c>
      <c r="C2173" s="0" t="inlineStr">
        <is>
          <t>Veronica Women's Canvas Jacket</t>
        </is>
      </c>
      <c r="D2173" s="0" t="inlineStr">
        <is>
          <t>'113274</t>
        </is>
      </c>
      <c r="E2173" s="0" t="inlineStr">
        <is>
          <t>IOWA VERONICA GOLD:113274E-2XL</t>
        </is>
      </c>
      <c r="F2173" s="0" t="inlineStr">
        <is>
          <t>'800113274080</t>
        </is>
      </c>
      <c r="G2173" s="0" t="inlineStr">
        <is>
          <t>WOMENS</t>
        </is>
      </c>
      <c r="H2173" s="0" t="inlineStr">
        <is>
          <t>2XL</t>
        </is>
      </c>
      <c r="I2173" s="0">
        <v>61.99</v>
      </c>
      <c r="J2173" s="0">
        <v>3</v>
      </c>
    </row>
    <row r="2174" spans="1:10" customHeight="0">
      <c r="A2174" s="0">
        <f>HYPERLINK("https://dl.dropboxusercontent.com/scl/fi/gra4lysyum5ycptwfkwql/113274-af-1.jpg?rlkey=c7puyvlkv7v67fy1jdw9mmayu&amp;dl=0","Click to download Image")</f>
      </c>
      <c r="B2174" s="0">
        <f>HYPERLINK("https://dl.dropboxusercontent.com/scl/fi/u244xlhzhorg64z89cs1c/womens-size-chartsveronica.jpg?rlkey=b4t87mt98h9mt2xqqnvr2hghl&amp;dl=0","Click to download SizeChart")</f>
      </c>
      <c r="C2174" s="0" t="inlineStr">
        <is>
          <t>Veronica Women's Canvas Jacket</t>
        </is>
      </c>
      <c r="D2174" s="0" t="inlineStr">
        <is>
          <t>'113274</t>
        </is>
      </c>
      <c r="E2174" s="0" t="inlineStr">
        <is>
          <t>IOWA VERONICA GOLD:113274F-3XL</t>
        </is>
      </c>
      <c r="F2174" s="0" t="inlineStr">
        <is>
          <t>'800113274097</t>
        </is>
      </c>
      <c r="G2174" s="0" t="inlineStr">
        <is>
          <t>WOMENS</t>
        </is>
      </c>
      <c r="H2174" s="0" t="inlineStr">
        <is>
          <t>3XL</t>
        </is>
      </c>
      <c r="I2174" s="0">
        <v>61.99</v>
      </c>
      <c r="J2174" s="0">
        <v>0</v>
      </c>
    </row>
    <row r="2175" spans="1:10" customHeight="0">
      <c r="A2175" s="0">
        <f>HYPERLINK("https://dl.dropboxusercontent.com/scl/fi/gra4lysyum5ycptwfkwql/113274-af-1.jpg?rlkey=c7puyvlkv7v67fy1jdw9mmayu&amp;dl=0","Click to download Image")</f>
      </c>
      <c r="B2175" s="0">
        <f>HYPERLINK("https://dl.dropboxusercontent.com/scl/fi/u244xlhzhorg64z89cs1c/womens-size-chartsveronica.jpg?rlkey=b4t87mt98h9mt2xqqnvr2hghl&amp;dl=0","Click to download SizeChart")</f>
      </c>
      <c r="C2175" s="0" t="inlineStr">
        <is>
          <t>Veronica Women's Canvas Jacket</t>
        </is>
      </c>
      <c r="D2175" s="0" t="inlineStr">
        <is>
          <t>'113274</t>
        </is>
      </c>
      <c r="E2175" s="0" t="inlineStr">
        <is>
          <t>IOWA VERONICA GOLD 12 PACK:113274Z-12PK</t>
        </is>
      </c>
      <c r="F2175" s="0" t="inlineStr">
        <is>
          <t>'800113274998</t>
        </is>
      </c>
      <c r="G2175" s="0" t="inlineStr">
        <is>
          <t>WOMENS</t>
        </is>
      </c>
      <c r="H2175" s="0" t="inlineStr">
        <is>
          <t>12 PACK</t>
        </is>
      </c>
      <c r="I2175" s="0">
        <v>580</v>
      </c>
      <c r="J2175" s="0">
        <v>1</v>
      </c>
    </row>
    <row r="2176" spans="1:10" customHeight="0">
      <c r="A2176" s="0">
        <f>HYPERLINK("https://dl.dropboxusercontent.com/scl/fi/hc3b3zcltwszuijl3g8kl/114590-af.jpg?rlkey=61e6cmklxeiuu9sl34zn0zt7l&amp;dl=0","Click to download Image")</f>
      </c>
      <c r="B2176" s="0">
        <f>HYPERLINK("https://dl.dropboxusercontent.com/scl/fi/u244xlhzhorg64z89cs1c/womens-size-chartsveronica.jpg?rlkey=b4t87mt98h9mt2xqqnvr2hghl&amp;dl=0","Click to download SizeChart")</f>
      </c>
      <c r="C2176" s="0" t="inlineStr">
        <is>
          <t>Veronica Women's Canvas Jacket</t>
        </is>
      </c>
      <c r="D2176" s="0" t="inlineStr">
        <is>
          <t>'114590</t>
        </is>
      </c>
      <c r="E2176" s="0" t="inlineStr">
        <is>
          <t>UNI VERONI W GY:114590A-S</t>
        </is>
      </c>
      <c r="F2176" s="0" t="inlineStr">
        <is>
          <t>'802114590046</t>
        </is>
      </c>
      <c r="G2176" s="0" t="inlineStr">
        <is>
          <t>WOMENS</t>
        </is>
      </c>
      <c r="H2176" s="0" t="inlineStr">
        <is>
          <t>S</t>
        </is>
      </c>
      <c r="I2176" s="0">
        <v>59.99</v>
      </c>
      <c r="J2176" s="0">
        <v>5</v>
      </c>
    </row>
    <row r="2177" spans="1:10" customHeight="0">
      <c r="A2177" s="0">
        <f>HYPERLINK("https://dl.dropboxusercontent.com/scl/fi/hc3b3zcltwszuijl3g8kl/114590-af.jpg?rlkey=61e6cmklxeiuu9sl34zn0zt7l&amp;dl=0","Click to download Image")</f>
      </c>
      <c r="B2177" s="0">
        <f>HYPERLINK("https://dl.dropboxusercontent.com/scl/fi/u244xlhzhorg64z89cs1c/womens-size-chartsveronica.jpg?rlkey=b4t87mt98h9mt2xqqnvr2hghl&amp;dl=0","Click to download SizeChart")</f>
      </c>
      <c r="C2177" s="0" t="inlineStr">
        <is>
          <t>Veronica Women's Canvas Jacket</t>
        </is>
      </c>
      <c r="D2177" s="0" t="inlineStr">
        <is>
          <t>'114590</t>
        </is>
      </c>
      <c r="E2177" s="0" t="inlineStr">
        <is>
          <t>UNI VERONI W GY:114590B-M</t>
        </is>
      </c>
      <c r="F2177" s="0" t="inlineStr">
        <is>
          <t>'802114590053</t>
        </is>
      </c>
      <c r="G2177" s="0" t="inlineStr">
        <is>
          <t>WOMENS</t>
        </is>
      </c>
      <c r="H2177" s="0" t="inlineStr">
        <is>
          <t>M</t>
        </is>
      </c>
      <c r="I2177" s="0">
        <v>59.99</v>
      </c>
      <c r="J2177" s="0">
        <v>13</v>
      </c>
    </row>
    <row r="2178" spans="1:10" customHeight="0">
      <c r="A2178" s="0">
        <f>HYPERLINK("https://dl.dropboxusercontent.com/scl/fi/hc3b3zcltwszuijl3g8kl/114590-af.jpg?rlkey=61e6cmklxeiuu9sl34zn0zt7l&amp;dl=0","Click to download Image")</f>
      </c>
      <c r="B2178" s="0">
        <f>HYPERLINK("https://dl.dropboxusercontent.com/scl/fi/u244xlhzhorg64z89cs1c/womens-size-chartsveronica.jpg?rlkey=b4t87mt98h9mt2xqqnvr2hghl&amp;dl=0","Click to download SizeChart")</f>
      </c>
      <c r="C2178" s="0" t="inlineStr">
        <is>
          <t>Veronica Women's Canvas Jacket</t>
        </is>
      </c>
      <c r="D2178" s="0" t="inlineStr">
        <is>
          <t>'114590</t>
        </is>
      </c>
      <c r="E2178" s="0" t="inlineStr">
        <is>
          <t>UNI VERONI W GY:114590C-L</t>
        </is>
      </c>
      <c r="F2178" s="0" t="inlineStr">
        <is>
          <t>'802114590060</t>
        </is>
      </c>
      <c r="G2178" s="0" t="inlineStr">
        <is>
          <t>WOMENS</t>
        </is>
      </c>
      <c r="H2178" s="0" t="inlineStr">
        <is>
          <t>L</t>
        </is>
      </c>
      <c r="I2178" s="0">
        <v>59.99</v>
      </c>
      <c r="J2178" s="0">
        <v>8</v>
      </c>
    </row>
    <row r="2179" spans="1:10" customHeight="0">
      <c r="A2179" s="0">
        <f>HYPERLINK("https://dl.dropboxusercontent.com/scl/fi/hc3b3zcltwszuijl3g8kl/114590-af.jpg?rlkey=61e6cmklxeiuu9sl34zn0zt7l&amp;dl=0","Click to download Image")</f>
      </c>
      <c r="B2179" s="0">
        <f>HYPERLINK("https://dl.dropboxusercontent.com/scl/fi/u244xlhzhorg64z89cs1c/womens-size-chartsveronica.jpg?rlkey=b4t87mt98h9mt2xqqnvr2hghl&amp;dl=0","Click to download SizeChart")</f>
      </c>
      <c r="C2179" s="0" t="inlineStr">
        <is>
          <t>Veronica Women's Canvas Jacket</t>
        </is>
      </c>
      <c r="D2179" s="0" t="inlineStr">
        <is>
          <t>'114590</t>
        </is>
      </c>
      <c r="E2179" s="0" t="inlineStr">
        <is>
          <t>UNI VERONI W GY:114590D-XL</t>
        </is>
      </c>
      <c r="F2179" s="0" t="inlineStr">
        <is>
          <t>'802114590077</t>
        </is>
      </c>
      <c r="G2179" s="0" t="inlineStr">
        <is>
          <t>WOMENS</t>
        </is>
      </c>
      <c r="H2179" s="0" t="inlineStr">
        <is>
          <t>XL</t>
        </is>
      </c>
      <c r="I2179" s="0">
        <v>59.99</v>
      </c>
      <c r="J2179" s="0">
        <v>4</v>
      </c>
    </row>
    <row r="2180" spans="1:10" customHeight="0">
      <c r="A2180" s="0">
        <f>HYPERLINK("https://dl.dropboxusercontent.com/scl/fi/hc3b3zcltwszuijl3g8kl/114590-af.jpg?rlkey=61e6cmklxeiuu9sl34zn0zt7l&amp;dl=0","Click to download Image")</f>
      </c>
      <c r="B2180" s="0">
        <f>HYPERLINK("https://dl.dropboxusercontent.com/scl/fi/u244xlhzhorg64z89cs1c/womens-size-chartsveronica.jpg?rlkey=b4t87mt98h9mt2xqqnvr2hghl&amp;dl=0","Click to download SizeChart")</f>
      </c>
      <c r="C2180" s="0" t="inlineStr">
        <is>
          <t>Veronica Women's Canvas Jacket</t>
        </is>
      </c>
      <c r="D2180" s="0" t="inlineStr">
        <is>
          <t>'114590</t>
        </is>
      </c>
      <c r="E2180" s="0" t="inlineStr">
        <is>
          <t>UNI VERONI W GY:114590E-2XL</t>
        </is>
      </c>
      <c r="F2180" s="0" t="inlineStr">
        <is>
          <t>'802114590084</t>
        </is>
      </c>
      <c r="G2180" s="0" t="inlineStr">
        <is>
          <t>WOMENS</t>
        </is>
      </c>
      <c r="H2180" s="0" t="inlineStr">
        <is>
          <t>2XL</t>
        </is>
      </c>
      <c r="I2180" s="0">
        <v>61.99</v>
      </c>
      <c r="J2180" s="0">
        <v>3</v>
      </c>
    </row>
    <row r="2181" spans="1:10" customHeight="0">
      <c r="A2181" s="0">
        <f>HYPERLINK("https://dl.dropboxusercontent.com/scl/fi/hc3b3zcltwszuijl3g8kl/114590-af.jpg?rlkey=61e6cmklxeiuu9sl34zn0zt7l&amp;dl=0","Click to download Image")</f>
      </c>
      <c r="B2181" s="0">
        <f>HYPERLINK("https://dl.dropboxusercontent.com/scl/fi/u244xlhzhorg64z89cs1c/womens-size-chartsveronica.jpg?rlkey=b4t87mt98h9mt2xqqnvr2hghl&amp;dl=0","Click to download SizeChart")</f>
      </c>
      <c r="C2181" s="0" t="inlineStr">
        <is>
          <t>Veronica Women's Canvas Jacket</t>
        </is>
      </c>
      <c r="D2181" s="0" t="inlineStr">
        <is>
          <t>'114590</t>
        </is>
      </c>
      <c r="E2181" s="0" t="inlineStr">
        <is>
          <t>UNI VERONI W GY:114590F-3XL</t>
        </is>
      </c>
      <c r="F2181" s="0" t="inlineStr">
        <is>
          <t>'802114590091</t>
        </is>
      </c>
      <c r="G2181" s="0" t="inlineStr">
        <is>
          <t>WOMENS</t>
        </is>
      </c>
      <c r="H2181" s="0" t="inlineStr">
        <is>
          <t>3XL</t>
        </is>
      </c>
      <c r="I2181" s="0">
        <v>61.99</v>
      </c>
      <c r="J2181" s="0">
        <v>1</v>
      </c>
    </row>
    <row r="2182" spans="1:10" customHeight="0">
      <c r="A2182" s="0">
        <f>HYPERLINK("https://dl.dropboxusercontent.com/scl/fi/hc3b3zcltwszuijl3g8kl/114590-af.jpg?rlkey=61e6cmklxeiuu9sl34zn0zt7l&amp;dl=0","Click to download Image")</f>
      </c>
      <c r="B2182" s="0">
        <f>HYPERLINK("https://dl.dropboxusercontent.com/scl/fi/u244xlhzhorg64z89cs1c/womens-size-chartsveronica.jpg?rlkey=b4t87mt98h9mt2xqqnvr2hghl&amp;dl=0","Click to download SizeChart")</f>
      </c>
      <c r="C2182" s="0" t="inlineStr">
        <is>
          <t>Veronica Women's Canvas Jacket</t>
        </is>
      </c>
      <c r="D2182" s="0" t="inlineStr">
        <is>
          <t>'114590</t>
        </is>
      </c>
      <c r="E2182" s="0" t="inlineStr">
        <is>
          <t>UNI VERONI W GY 12PK:114590Z-12PK</t>
        </is>
      </c>
      <c r="F2182" s="0" t="inlineStr">
        <is>
          <t>'802114590992</t>
        </is>
      </c>
      <c r="G2182" s="0" t="inlineStr">
        <is>
          <t>WOMENS</t>
        </is>
      </c>
      <c r="H2182" s="0" t="inlineStr">
        <is>
          <t>12 PACK</t>
        </is>
      </c>
      <c r="I2182" s="0">
        <v>580</v>
      </c>
      <c r="J2182" s="0">
        <v>0</v>
      </c>
    </row>
    <row r="2183" spans="1:10" customHeight="0">
      <c r="A2183" s="0">
        <f>HYPERLINK("https://dl.dropboxusercontent.com/scl/fi/16y039ehzqvbc2u17sbn2/drakeveronica-1-0220174.jpg?rlkey=au9vytzosjyoxkx8q75e9er3k&amp;dl=0","Click to download Image")</f>
      </c>
      <c r="B2183" s="0">
        <f>HYPERLINK("https://dl.dropboxusercontent.com/scl/fi/u244xlhzhorg64z89cs1c/womens-size-chartsveronica.jpg?rlkey=b4t87mt98h9mt2xqqnvr2hghl&amp;dl=0","Click to download SizeChart")</f>
      </c>
      <c r="C2183" s="0" t="inlineStr">
        <is>
          <t>Veronica Women's Canvas Jacket</t>
        </is>
      </c>
      <c r="D2183" s="0" t="inlineStr">
        <is>
          <t>'128802</t>
        </is>
      </c>
      <c r="E2183" s="0" t="inlineStr">
        <is>
          <t>DRK VERONI W GY:128802A-S</t>
        </is>
      </c>
      <c r="F2183" s="0" t="inlineStr">
        <is>
          <t>'817128802047</t>
        </is>
      </c>
      <c r="G2183" s="0" t="inlineStr">
        <is>
          <t>WOMENS</t>
        </is>
      </c>
      <c r="H2183" s="0" t="inlineStr">
        <is>
          <t>S</t>
        </is>
      </c>
      <c r="I2183" s="0">
        <v>59.99</v>
      </c>
      <c r="J2183" s="0">
        <v>4</v>
      </c>
    </row>
    <row r="2184" spans="1:10" customHeight="0">
      <c r="A2184" s="0">
        <f>HYPERLINK("https://dl.dropboxusercontent.com/scl/fi/16y039ehzqvbc2u17sbn2/drakeveronica-1-0220174.jpg?rlkey=au9vytzosjyoxkx8q75e9er3k&amp;dl=0","Click to download Image")</f>
      </c>
      <c r="B2184" s="0">
        <f>HYPERLINK("https://dl.dropboxusercontent.com/scl/fi/u244xlhzhorg64z89cs1c/womens-size-chartsveronica.jpg?rlkey=b4t87mt98h9mt2xqqnvr2hghl&amp;dl=0","Click to download SizeChart")</f>
      </c>
      <c r="C2184" s="0" t="inlineStr">
        <is>
          <t>Veronica Women's Canvas Jacket</t>
        </is>
      </c>
      <c r="D2184" s="0" t="inlineStr">
        <is>
          <t>'128802</t>
        </is>
      </c>
      <c r="E2184" s="0" t="inlineStr">
        <is>
          <t>DRK VERONI W GY:128802B-M</t>
        </is>
      </c>
      <c r="F2184" s="0" t="inlineStr">
        <is>
          <t>'817128802054</t>
        </is>
      </c>
      <c r="G2184" s="0" t="inlineStr">
        <is>
          <t>WOMENS</t>
        </is>
      </c>
      <c r="H2184" s="0" t="inlineStr">
        <is>
          <t>M</t>
        </is>
      </c>
      <c r="I2184" s="0">
        <v>59.99</v>
      </c>
      <c r="J2184" s="0">
        <v>7</v>
      </c>
    </row>
    <row r="2185" spans="1:10" customHeight="0">
      <c r="A2185" s="0">
        <f>HYPERLINK("https://dl.dropboxusercontent.com/scl/fi/16y039ehzqvbc2u17sbn2/drakeveronica-1-0220174.jpg?rlkey=au9vytzosjyoxkx8q75e9er3k&amp;dl=0","Click to download Image")</f>
      </c>
      <c r="B2185" s="0">
        <f>HYPERLINK("https://dl.dropboxusercontent.com/scl/fi/u244xlhzhorg64z89cs1c/womens-size-chartsveronica.jpg?rlkey=b4t87mt98h9mt2xqqnvr2hghl&amp;dl=0","Click to download SizeChart")</f>
      </c>
      <c r="C2185" s="0" t="inlineStr">
        <is>
          <t>Veronica Women's Canvas Jacket</t>
        </is>
      </c>
      <c r="D2185" s="0" t="inlineStr">
        <is>
          <t>'128802</t>
        </is>
      </c>
      <c r="E2185" s="0" t="inlineStr">
        <is>
          <t>DRK VERONI W GY:128802C-L</t>
        </is>
      </c>
      <c r="F2185" s="0" t="inlineStr">
        <is>
          <t>'817128802061</t>
        </is>
      </c>
      <c r="G2185" s="0" t="inlineStr">
        <is>
          <t>WOMENS</t>
        </is>
      </c>
      <c r="H2185" s="0" t="inlineStr">
        <is>
          <t>L</t>
        </is>
      </c>
      <c r="I2185" s="0">
        <v>59.99</v>
      </c>
      <c r="J2185" s="0">
        <v>7</v>
      </c>
    </row>
    <row r="2186" spans="1:10" customHeight="0">
      <c r="A2186" s="0">
        <f>HYPERLINK("https://dl.dropboxusercontent.com/scl/fi/16y039ehzqvbc2u17sbn2/drakeveronica-1-0220174.jpg?rlkey=au9vytzosjyoxkx8q75e9er3k&amp;dl=0","Click to download Image")</f>
      </c>
      <c r="B2186" s="0">
        <f>HYPERLINK("https://dl.dropboxusercontent.com/scl/fi/u244xlhzhorg64z89cs1c/womens-size-chartsveronica.jpg?rlkey=b4t87mt98h9mt2xqqnvr2hghl&amp;dl=0","Click to download SizeChart")</f>
      </c>
      <c r="C2186" s="0" t="inlineStr">
        <is>
          <t>Veronica Women's Canvas Jacket</t>
        </is>
      </c>
      <c r="D2186" s="0" t="inlineStr">
        <is>
          <t>'128802</t>
        </is>
      </c>
      <c r="E2186" s="0" t="inlineStr">
        <is>
          <t>DRK VERONI W GY:128802D-XL</t>
        </is>
      </c>
      <c r="F2186" s="0" t="inlineStr">
        <is>
          <t>'817128802078</t>
        </is>
      </c>
      <c r="G2186" s="0" t="inlineStr">
        <is>
          <t>WOMENS</t>
        </is>
      </c>
      <c r="H2186" s="0" t="inlineStr">
        <is>
          <t>XL</t>
        </is>
      </c>
      <c r="I2186" s="0">
        <v>59.99</v>
      </c>
      <c r="J2186" s="0">
        <v>3</v>
      </c>
    </row>
    <row r="2187" spans="1:10" customHeight="0">
      <c r="A2187" s="0">
        <f>HYPERLINK("https://dl.dropboxusercontent.com/scl/fi/16y039ehzqvbc2u17sbn2/drakeveronica-1-0220174.jpg?rlkey=au9vytzosjyoxkx8q75e9er3k&amp;dl=0","Click to download Image")</f>
      </c>
      <c r="B2187" s="0">
        <f>HYPERLINK("https://dl.dropboxusercontent.com/scl/fi/u244xlhzhorg64z89cs1c/womens-size-chartsveronica.jpg?rlkey=b4t87mt98h9mt2xqqnvr2hghl&amp;dl=0","Click to download SizeChart")</f>
      </c>
      <c r="C2187" s="0" t="inlineStr">
        <is>
          <t>Veronica Women's Canvas Jacket</t>
        </is>
      </c>
      <c r="D2187" s="0" t="inlineStr">
        <is>
          <t>'128802</t>
        </is>
      </c>
      <c r="E2187" s="0" t="inlineStr">
        <is>
          <t>DRK VERONI W GY:128802E-2XL</t>
        </is>
      </c>
      <c r="F2187" s="0" t="inlineStr">
        <is>
          <t>'817128802085</t>
        </is>
      </c>
      <c r="G2187" s="0" t="inlineStr">
        <is>
          <t>WOMENS</t>
        </is>
      </c>
      <c r="H2187" s="0" t="inlineStr">
        <is>
          <t>2XL</t>
        </is>
      </c>
      <c r="I2187" s="0">
        <v>61.99</v>
      </c>
      <c r="J2187" s="0">
        <v>1</v>
      </c>
    </row>
    <row r="2188" spans="1:10" customHeight="0">
      <c r="A2188" s="0">
        <f>HYPERLINK("https://dl.dropboxusercontent.com/scl/fi/16y039ehzqvbc2u17sbn2/drakeveronica-1-0220174.jpg?rlkey=au9vytzosjyoxkx8q75e9er3k&amp;dl=0","Click to download Image")</f>
      </c>
      <c r="B2188" s="0">
        <f>HYPERLINK("https://dl.dropboxusercontent.com/scl/fi/u244xlhzhorg64z89cs1c/womens-size-chartsveronica.jpg?rlkey=b4t87mt98h9mt2xqqnvr2hghl&amp;dl=0","Click to download SizeChart")</f>
      </c>
      <c r="C2188" s="0" t="inlineStr">
        <is>
          <t>Veronica Women's Canvas Jacket</t>
        </is>
      </c>
      <c r="D2188" s="0" t="inlineStr">
        <is>
          <t>'128802</t>
        </is>
      </c>
      <c r="E2188" s="0" t="inlineStr">
        <is>
          <t>DRK VERONI W GY:128802F-3XL</t>
        </is>
      </c>
      <c r="F2188" s="0" t="inlineStr">
        <is>
          <t>'817128802092</t>
        </is>
      </c>
      <c r="G2188" s="0" t="inlineStr">
        <is>
          <t>WOMENS</t>
        </is>
      </c>
      <c r="H2188" s="0" t="inlineStr">
        <is>
          <t>3XL</t>
        </is>
      </c>
      <c r="I2188" s="0">
        <v>61.99</v>
      </c>
      <c r="J2188" s="0">
        <v>1</v>
      </c>
    </row>
    <row r="2189" spans="1:10" customHeight="0">
      <c r="A2189" s="0">
        <f>HYPERLINK("https://dl.dropboxusercontent.com/scl/fi/m6akcl1zt52b6ri3x8oaq/113135-af.jpg?rlkey=s7mwknnmaykje02n3cn5brfw5&amp;dl=0","Click to download Image")</f>
      </c>
      <c r="C2189" s="0" t="inlineStr">
        <is>
          <t>Violette Infant Beanie</t>
        </is>
      </c>
      <c r="D2189" s="0" t="inlineStr">
        <is>
          <t>'113135</t>
        </is>
      </c>
      <c r="E2189" s="0" t="inlineStr">
        <is>
          <t>IOWA VIOLETTE:113135</t>
        </is>
      </c>
      <c r="F2189" s="0" t="inlineStr">
        <is>
          <t>'700113135018</t>
        </is>
      </c>
      <c r="G2189" s="0" t="inlineStr">
        <is>
          <t>INFANT</t>
        </is>
      </c>
      <c r="H2189" s="0" t="inlineStr">
        <is>
          <t>INFANT</t>
        </is>
      </c>
      <c r="I2189" s="0">
        <v>19.99</v>
      </c>
      <c r="J2189" s="0">
        <v>98</v>
      </c>
    </row>
    <row r="2190" spans="1:10" customHeight="0">
      <c r="A2190" s="0">
        <f>HYPERLINK("https://dl.dropboxusercontent.com/scl/fi/gru444712htahqix8ril1/123316-af.jpg?rlkey=md9hymca16c99dzxd5g9imwxa&amp;dl=0","Click to download Image")</f>
      </c>
      <c r="C2190" s="0" t="inlineStr">
        <is>
          <t>Violette Infant Beanie</t>
        </is>
      </c>
      <c r="D2190" s="0" t="inlineStr">
        <is>
          <t>'123316</t>
        </is>
      </c>
      <c r="E2190" s="0" t="inlineStr">
        <is>
          <t>ISU VIOLET:123316</t>
        </is>
      </c>
      <c r="F2190" s="0" t="inlineStr">
        <is>
          <t>'701123316015</t>
        </is>
      </c>
      <c r="G2190" s="0" t="inlineStr">
        <is>
          <t>INFANT</t>
        </is>
      </c>
      <c r="H2190" s="0" t="inlineStr">
        <is>
          <t>INFANT</t>
        </is>
      </c>
      <c r="I2190" s="0">
        <v>19.99</v>
      </c>
      <c r="J2190" s="0">
        <v>60</v>
      </c>
    </row>
    <row r="2191" spans="1:10" customHeight="0">
      <c r="A2191" s="0">
        <f>HYPERLINK("https://dl.dropboxusercontent.com/scl/fi/5r27q0tcw7ckid5rasonq/126650af13288.jpg?rlkey=g01dbysrta26wpkf9gyffpgv1&amp;dl=0","Click to download Image")</f>
      </c>
      <c r="C2191" s="0" t="inlineStr">
        <is>
          <t>Violette Infant Beanie</t>
        </is>
      </c>
      <c r="D2191" s="0" t="inlineStr">
        <is>
          <t>'124065</t>
        </is>
      </c>
      <c r="E2191" s="0" t="inlineStr">
        <is>
          <t>USD VIOLET:124065</t>
        </is>
      </c>
      <c r="F2191" s="0" t="inlineStr">
        <is>
          <t>'711124065010</t>
        </is>
      </c>
      <c r="G2191" s="0" t="inlineStr">
        <is>
          <t>INFANT</t>
        </is>
      </c>
      <c r="H2191" s="0" t="inlineStr">
        <is>
          <t>INFANT</t>
        </is>
      </c>
      <c r="I2191" s="0">
        <v>19.99</v>
      </c>
      <c r="J2191" s="0">
        <v>60</v>
      </c>
    </row>
    <row r="2192" spans="1:10" customHeight="0">
      <c r="A2192" s="0">
        <f>HYPERLINK("https://dl.dropboxusercontent.com/scl/fi/09izo2vjndpdaw2bs1tlb/126653-af.jpg?rlkey=xajhewk0xbleuqjaplufcezc3&amp;dl=0","Click to download Image")</f>
      </c>
      <c r="C2192" s="0" t="inlineStr">
        <is>
          <t>Violette Infant Beanie</t>
        </is>
      </c>
      <c r="D2192" s="0" t="inlineStr">
        <is>
          <t>'124093</t>
        </is>
      </c>
      <c r="E2192" s="0" t="inlineStr">
        <is>
          <t>UNI VIOLET:124093</t>
        </is>
      </c>
      <c r="F2192" s="0" t="inlineStr">
        <is>
          <t>'702124093011</t>
        </is>
      </c>
      <c r="G2192" s="0" t="inlineStr">
        <is>
          <t>INFANT</t>
        </is>
      </c>
      <c r="H2192" s="0" t="inlineStr">
        <is>
          <t>INFANT</t>
        </is>
      </c>
      <c r="I2192" s="0">
        <v>19.99</v>
      </c>
      <c r="J2192" s="0">
        <v>45</v>
      </c>
    </row>
    <row r="2193" spans="1:10" customHeight="0">
      <c r="A2193" s="0">
        <f>HYPERLINK("https://dl.dropboxusercontent.com/scl/fi/7y7po9w3msy1koh5vjydk/126653-af.jpg?rlkey=axbfbi4bf9ln5ru2xxmg65dbb&amp;dl=0","Click to download Image")</f>
      </c>
      <c r="C2193" s="0" t="inlineStr">
        <is>
          <t>Violette Women's Beanie</t>
        </is>
      </c>
      <c r="D2193" s="0" t="inlineStr">
        <is>
          <t>'126653</t>
        </is>
      </c>
      <c r="E2193" s="0" t="inlineStr">
        <is>
          <t>UNI VIOLET A:126653</t>
        </is>
      </c>
      <c r="F2193" s="0" t="inlineStr">
        <is>
          <t>'702126653015</t>
        </is>
      </c>
      <c r="G2193" s="0" t="inlineStr">
        <is>
          <t>WOMENS</t>
        </is>
      </c>
      <c r="H2193" s="0" t="inlineStr">
        <is>
          <t>WOMENS</t>
        </is>
      </c>
      <c r="I2193" s="0">
        <v>19.99</v>
      </c>
      <c r="J2193" s="0">
        <v>34</v>
      </c>
    </row>
    <row r="2194" spans="1:10" customHeight="0">
      <c r="A2194" s="0">
        <f>HYPERLINK("https://dl.dropboxusercontent.com/scl/fi/ht25b28tu3agocdqloumn/126650af13288.jpg?rlkey=qpiw5ndj3dk17th4o4c9t7vhb&amp;dl=0","Click to download Image")</f>
      </c>
      <c r="C2194" s="0" t="inlineStr">
        <is>
          <t>Violette Women's Beanie</t>
        </is>
      </c>
      <c r="D2194" s="0" t="inlineStr">
        <is>
          <t>'126650</t>
        </is>
      </c>
      <c r="E2194" s="0" t="inlineStr">
        <is>
          <t>USD VIOLET A:126650</t>
        </is>
      </c>
      <c r="F2194" s="0" t="inlineStr">
        <is>
          <t>'711126650016</t>
        </is>
      </c>
      <c r="G2194" s="0" t="inlineStr">
        <is>
          <t>WOMENS</t>
        </is>
      </c>
      <c r="H2194" s="0" t="inlineStr">
        <is>
          <t>WOMENS</t>
        </is>
      </c>
      <c r="I2194" s="0">
        <v>19.99</v>
      </c>
      <c r="J2194" s="0">
        <v>72</v>
      </c>
    </row>
    <row r="2195" spans="1:10" customHeight="0">
      <c r="A2195" s="0">
        <f>HYPERLINK("https://dl.dropboxusercontent.com/scl/fi/wwwxipeje9h938v4zhjmu/115938-af.jpg?rlkey=7xbyak6x2dwpyf3k281sreajb&amp;dl=0","Click to download Image")</f>
      </c>
      <c r="C2195" s="0" t="inlineStr">
        <is>
          <t>Serena Women's Lined Beanie</t>
        </is>
      </c>
      <c r="D2195" s="0" t="inlineStr">
        <is>
          <t>'115938</t>
        </is>
      </c>
      <c r="E2195" s="0" t="inlineStr">
        <is>
          <t>MU SERENA:115938</t>
        </is>
      </c>
      <c r="F2195" s="0" t="inlineStr">
        <is>
          <t>'703115938014</t>
        </is>
      </c>
      <c r="G2195" s="0" t="inlineStr">
        <is>
          <t>WOMENS</t>
        </is>
      </c>
      <c r="H2195" s="0" t="inlineStr">
        <is>
          <t>WOMENS</t>
        </is>
      </c>
      <c r="I2195" s="0">
        <v>24.99</v>
      </c>
      <c r="J2195" s="0">
        <v>78</v>
      </c>
    </row>
    <row r="2196" spans="1:10" customHeight="0">
      <c r="A2196" s="0">
        <f>HYPERLINK("https://dl.dropboxusercontent.com/scl/fi/gi0fufb1ga10x0c7r1rvl/113342-af.jpg?rlkey=zpuogtp5koxb7w8c56cyqxqls&amp;dl=0","Click to download Image")</f>
      </c>
      <c r="B2196" s="0">
        <f>HYPERLINK("https://dl.dropboxusercontent.com/scl/fi/31wnsxbucqcl42y5z1h4u/graphic-update22022-toddler.jpg?rlkey=bex3iqw4ziwnqka5kfrkwwmwk&amp;dl=0","Click to download SizeChart")</f>
      </c>
      <c r="C2196" s="0" t="inlineStr">
        <is>
          <t>Opal Toddler Girl's Shirt</t>
        </is>
      </c>
      <c r="D2196" s="0" t="inlineStr">
        <is>
          <t>'114868</t>
        </is>
      </c>
      <c r="E2196" s="0" t="inlineStr">
        <is>
          <t>IOWA OPAL T BLACK:114868A-2T</t>
        </is>
      </c>
      <c r="F2196" s="0" t="inlineStr">
        <is>
          <t>'800114868080</t>
        </is>
      </c>
      <c r="G2196" s="0" t="inlineStr">
        <is>
          <t>TODDLER</t>
        </is>
      </c>
      <c r="H2196" s="0" t="inlineStr">
        <is>
          <t>2T</t>
        </is>
      </c>
      <c r="I2196" s="0">
        <v>29.99</v>
      </c>
      <c r="J2196" s="0">
        <v>0</v>
      </c>
    </row>
    <row r="2197" spans="1:10" customHeight="0">
      <c r="A2197" s="0">
        <f>HYPERLINK("https://dl.dropboxusercontent.com/scl/fi/gi0fufb1ga10x0c7r1rvl/113342-af.jpg?rlkey=zpuogtp5koxb7w8c56cyqxqls&amp;dl=0","Click to download Image")</f>
      </c>
      <c r="B2197" s="0">
        <f>HYPERLINK("https://dl.dropboxusercontent.com/scl/fi/31wnsxbucqcl42y5z1h4u/graphic-update22022-toddler.jpg?rlkey=bex3iqw4ziwnqka5kfrkwwmwk&amp;dl=0","Click to download SizeChart")</f>
      </c>
      <c r="C2197" s="0" t="inlineStr">
        <is>
          <t>Opal Toddler Girl's Shirt</t>
        </is>
      </c>
      <c r="D2197" s="0" t="inlineStr">
        <is>
          <t>'114868</t>
        </is>
      </c>
      <c r="E2197" s="0" t="inlineStr">
        <is>
          <t>IOWA OPAL T BLACK:114868B-3T</t>
        </is>
      </c>
      <c r="F2197" s="0" t="inlineStr">
        <is>
          <t>'800114868097</t>
        </is>
      </c>
      <c r="G2197" s="0" t="inlineStr">
        <is>
          <t>TODDLER</t>
        </is>
      </c>
      <c r="H2197" s="0" t="inlineStr">
        <is>
          <t>3T</t>
        </is>
      </c>
      <c r="I2197" s="0">
        <v>29.99</v>
      </c>
      <c r="J2197" s="0">
        <v>0</v>
      </c>
    </row>
    <row r="2198" spans="1:10" customHeight="0">
      <c r="A2198" s="0">
        <f>HYPERLINK("https://dl.dropboxusercontent.com/scl/fi/gi0fufb1ga10x0c7r1rvl/113342-af.jpg?rlkey=zpuogtp5koxb7w8c56cyqxqls&amp;dl=0","Click to download Image")</f>
      </c>
      <c r="B2198" s="0">
        <f>HYPERLINK("https://dl.dropboxusercontent.com/scl/fi/31wnsxbucqcl42y5z1h4u/graphic-update22022-toddler.jpg?rlkey=bex3iqw4ziwnqka5kfrkwwmwk&amp;dl=0","Click to download SizeChart")</f>
      </c>
      <c r="C2198" s="0" t="inlineStr">
        <is>
          <t>Opal Toddler Girl's Shirt</t>
        </is>
      </c>
      <c r="D2198" s="0" t="inlineStr">
        <is>
          <t>'114868</t>
        </is>
      </c>
      <c r="E2198" s="0" t="inlineStr">
        <is>
          <t>IOWA OPAL T BLACK:114868C-4T</t>
        </is>
      </c>
      <c r="F2198" s="0" t="inlineStr">
        <is>
          <t>'800114868103</t>
        </is>
      </c>
      <c r="G2198" s="0" t="inlineStr">
        <is>
          <t>TODDLER</t>
        </is>
      </c>
      <c r="H2198" s="0" t="inlineStr">
        <is>
          <t>4T</t>
        </is>
      </c>
      <c r="I2198" s="0">
        <v>29.99</v>
      </c>
      <c r="J2198" s="0">
        <v>0</v>
      </c>
    </row>
    <row r="2199" spans="1:10" customHeight="0">
      <c r="A2199" s="0">
        <f>HYPERLINK("https://dl.dropboxusercontent.com/scl/fi/gi0fufb1ga10x0c7r1rvl/113342-af.jpg?rlkey=zpuogtp5koxb7w8c56cyqxqls&amp;dl=0","Click to download Image")</f>
      </c>
      <c r="B2199" s="0">
        <f>HYPERLINK("https://dl.dropboxusercontent.com/scl/fi/31wnsxbucqcl42y5z1h4u/graphic-update22022-toddler.jpg?rlkey=bex3iqw4ziwnqka5kfrkwwmwk&amp;dl=0","Click to download SizeChart")</f>
      </c>
      <c r="C2199" s="0" t="inlineStr">
        <is>
          <t>Opal Toddler Girl's Shirt</t>
        </is>
      </c>
      <c r="D2199" s="0" t="inlineStr">
        <is>
          <t>'114868</t>
        </is>
      </c>
      <c r="E2199" s="0" t="inlineStr">
        <is>
          <t>IOWA OPAL T BLACK:114868D-5T</t>
        </is>
      </c>
      <c r="F2199" s="0" t="inlineStr">
        <is>
          <t>'800114868110</t>
        </is>
      </c>
      <c r="G2199" s="0" t="inlineStr">
        <is>
          <t>TODDLER</t>
        </is>
      </c>
      <c r="H2199" s="0" t="inlineStr">
        <is>
          <t>5T</t>
        </is>
      </c>
      <c r="I2199" s="0">
        <v>29.99</v>
      </c>
      <c r="J2199" s="0">
        <v>3</v>
      </c>
    </row>
    <row r="2200" spans="1:10" customHeight="0">
      <c r="A2200" s="0">
        <f>HYPERLINK("https://dl.dropboxusercontent.com/scl/fi/gi0fufb1ga10x0c7r1rvl/113342-af.jpg?rlkey=zpuogtp5koxb7w8c56cyqxqls&amp;dl=0","Click to download Image")</f>
      </c>
      <c r="B2200" s="0">
        <f>HYPERLINK("https://dl.dropboxusercontent.com/scl/fi/31wnsxbucqcl42y5z1h4u/graphic-update22022-toddler.jpg?rlkey=bex3iqw4ziwnqka5kfrkwwmwk&amp;dl=0","Click to download SizeChart")</f>
      </c>
      <c r="C2200" s="0" t="inlineStr">
        <is>
          <t>Opal Toddler Girl's Shirt</t>
        </is>
      </c>
      <c r="D2200" s="0" t="inlineStr">
        <is>
          <t>'114868</t>
        </is>
      </c>
      <c r="E2200" s="0" t="inlineStr">
        <is>
          <t>IOWA OPAL T BLACK 12 PACK:114868Z-12PK</t>
        </is>
      </c>
      <c r="F2200" s="0" t="inlineStr">
        <is>
          <t>'800114868998</t>
        </is>
      </c>
      <c r="G2200" s="0" t="inlineStr">
        <is>
          <t>TODDLER</t>
        </is>
      </c>
      <c r="H2200" s="0" t="inlineStr">
        <is>
          <t>12 PACK</t>
        </is>
      </c>
      <c r="I2200" s="0">
        <v>288</v>
      </c>
      <c r="J2200" s="0">
        <v>0</v>
      </c>
    </row>
    <row r="2201" spans="1:10" customHeight="0">
      <c r="A2201" s="0">
        <f>HYPERLINK("https://dl.dropboxusercontent.com/scl/fi/5zmrnbp2ypf13y7dr2ckl/113343af76885.jpg?rlkey=am81ent6vkpb488qkvy8jfwos&amp;dl=0","Click to download Image")</f>
      </c>
      <c r="B2201" s="0">
        <f>HYPERLINK("https://dl.dropboxusercontent.com/scl/fi/31wnsxbucqcl42y5z1h4u/graphic-update22022-toddler.jpg?rlkey=bex3iqw4ziwnqka5kfrkwwmwk&amp;dl=0","Click to download SizeChart")</f>
      </c>
      <c r="C2201" s="0" t="inlineStr">
        <is>
          <t>Opal Toddler Girl's Shirt</t>
        </is>
      </c>
      <c r="D2201" s="0" t="inlineStr">
        <is>
          <t>'114870</t>
        </is>
      </c>
      <c r="E2201" s="0" t="inlineStr">
        <is>
          <t>ISU OPAL T CARDINAL:114870A-2T</t>
        </is>
      </c>
      <c r="F2201" s="0" t="inlineStr">
        <is>
          <t>'801114870080</t>
        </is>
      </c>
      <c r="G2201" s="0" t="inlineStr">
        <is>
          <t>TODDLER</t>
        </is>
      </c>
      <c r="H2201" s="0" t="inlineStr">
        <is>
          <t>2T</t>
        </is>
      </c>
      <c r="I2201" s="0">
        <v>29.99</v>
      </c>
      <c r="J2201" s="0">
        <v>0</v>
      </c>
    </row>
    <row r="2202" spans="1:10" customHeight="0">
      <c r="A2202" s="0">
        <f>HYPERLINK("https://dl.dropboxusercontent.com/scl/fi/5zmrnbp2ypf13y7dr2ckl/113343af76885.jpg?rlkey=am81ent6vkpb488qkvy8jfwos&amp;dl=0","Click to download Image")</f>
      </c>
      <c r="B2202" s="0">
        <f>HYPERLINK("https://dl.dropboxusercontent.com/scl/fi/31wnsxbucqcl42y5z1h4u/graphic-update22022-toddler.jpg?rlkey=bex3iqw4ziwnqka5kfrkwwmwk&amp;dl=0","Click to download SizeChart")</f>
      </c>
      <c r="C2202" s="0" t="inlineStr">
        <is>
          <t>Opal Toddler Girl's Shirt</t>
        </is>
      </c>
      <c r="D2202" s="0" t="inlineStr">
        <is>
          <t>'114870</t>
        </is>
      </c>
      <c r="E2202" s="0" t="inlineStr">
        <is>
          <t>ISU OPAL T CARDINAL:114870B-3T</t>
        </is>
      </c>
      <c r="F2202" s="0" t="inlineStr">
        <is>
          <t>'801114870097</t>
        </is>
      </c>
      <c r="G2202" s="0" t="inlineStr">
        <is>
          <t>TODDLER</t>
        </is>
      </c>
      <c r="H2202" s="0" t="inlineStr">
        <is>
          <t>3T</t>
        </is>
      </c>
      <c r="I2202" s="0">
        <v>29.99</v>
      </c>
      <c r="J2202" s="0">
        <v>0</v>
      </c>
    </row>
    <row r="2203" spans="1:10" customHeight="0">
      <c r="A2203" s="0">
        <f>HYPERLINK("https://dl.dropboxusercontent.com/scl/fi/5zmrnbp2ypf13y7dr2ckl/113343af76885.jpg?rlkey=am81ent6vkpb488qkvy8jfwos&amp;dl=0","Click to download Image")</f>
      </c>
      <c r="B2203" s="0">
        <f>HYPERLINK("https://dl.dropboxusercontent.com/scl/fi/31wnsxbucqcl42y5z1h4u/graphic-update22022-toddler.jpg?rlkey=bex3iqw4ziwnqka5kfrkwwmwk&amp;dl=0","Click to download SizeChart")</f>
      </c>
      <c r="C2203" s="0" t="inlineStr">
        <is>
          <t>Opal Toddler Girl's Shirt</t>
        </is>
      </c>
      <c r="D2203" s="0" t="inlineStr">
        <is>
          <t>'114870</t>
        </is>
      </c>
      <c r="E2203" s="0" t="inlineStr">
        <is>
          <t>ISU OPAL T CARDINAL:114870C-4T</t>
        </is>
      </c>
      <c r="F2203" s="0" t="inlineStr">
        <is>
          <t>'801114870103</t>
        </is>
      </c>
      <c r="G2203" s="0" t="inlineStr">
        <is>
          <t>TODDLER</t>
        </is>
      </c>
      <c r="H2203" s="0" t="inlineStr">
        <is>
          <t>4T</t>
        </is>
      </c>
      <c r="I2203" s="0">
        <v>29.99</v>
      </c>
      <c r="J2203" s="0">
        <v>0</v>
      </c>
    </row>
    <row r="2204" spans="1:10" customHeight="0">
      <c r="A2204" s="0">
        <f>HYPERLINK("https://dl.dropboxusercontent.com/scl/fi/5zmrnbp2ypf13y7dr2ckl/113343af76885.jpg?rlkey=am81ent6vkpb488qkvy8jfwos&amp;dl=0","Click to download Image")</f>
      </c>
      <c r="B2204" s="0">
        <f>HYPERLINK("https://dl.dropboxusercontent.com/scl/fi/31wnsxbucqcl42y5z1h4u/graphic-update22022-toddler.jpg?rlkey=bex3iqw4ziwnqka5kfrkwwmwk&amp;dl=0","Click to download SizeChart")</f>
      </c>
      <c r="C2204" s="0" t="inlineStr">
        <is>
          <t>Opal Toddler Girl's Shirt</t>
        </is>
      </c>
      <c r="D2204" s="0" t="inlineStr">
        <is>
          <t>'114870</t>
        </is>
      </c>
      <c r="E2204" s="0" t="inlineStr">
        <is>
          <t>ISU OPAL T CARDINAL:114870D-5T</t>
        </is>
      </c>
      <c r="F2204" s="0" t="inlineStr">
        <is>
          <t>'801114870110</t>
        </is>
      </c>
      <c r="G2204" s="0" t="inlineStr">
        <is>
          <t>TODDLER</t>
        </is>
      </c>
      <c r="H2204" s="0" t="inlineStr">
        <is>
          <t>5T</t>
        </is>
      </c>
      <c r="I2204" s="0">
        <v>29.99</v>
      </c>
      <c r="J2204" s="0">
        <v>5</v>
      </c>
    </row>
    <row r="2205" spans="1:10" customHeight="0">
      <c r="A2205" s="0">
        <f>HYPERLINK("https://dl.dropboxusercontent.com/scl/fi/5zmrnbp2ypf13y7dr2ckl/113343af76885.jpg?rlkey=am81ent6vkpb488qkvy8jfwos&amp;dl=0","Click to download Image")</f>
      </c>
      <c r="B2205" s="0">
        <f>HYPERLINK("https://dl.dropboxusercontent.com/scl/fi/31wnsxbucqcl42y5z1h4u/graphic-update22022-toddler.jpg?rlkey=bex3iqw4ziwnqka5kfrkwwmwk&amp;dl=0","Click to download SizeChart")</f>
      </c>
      <c r="C2205" s="0" t="inlineStr">
        <is>
          <t>Opal Toddler Girl's Shirt</t>
        </is>
      </c>
      <c r="D2205" s="0" t="inlineStr">
        <is>
          <t>'114870</t>
        </is>
      </c>
      <c r="E2205" s="0" t="inlineStr">
        <is>
          <t>ISU OPAL T CARDINAL 12 PACK:114870Z-12PK</t>
        </is>
      </c>
      <c r="F2205" s="0" t="inlineStr">
        <is>
          <t>'801114870998</t>
        </is>
      </c>
      <c r="G2205" s="0" t="inlineStr">
        <is>
          <t>TODDLER</t>
        </is>
      </c>
      <c r="H2205" s="0" t="inlineStr">
        <is>
          <t>12 PACK</t>
        </is>
      </c>
      <c r="I2205" s="0">
        <v>288</v>
      </c>
      <c r="J2205" s="0">
        <v>0</v>
      </c>
    </row>
    <row r="2206" spans="1:10" customHeight="0">
      <c r="A2206" s="0">
        <f>HYPERLINK("https://dl.dropboxusercontent.com/scl/fi/anv51mzyklolztsjjecge/114872-af.jpg?rlkey=td62j4m50joacdmn22xb4m6v5&amp;dl=0","Click to download Image")</f>
      </c>
      <c r="B2206" s="0">
        <f>HYPERLINK("https://dl.dropboxusercontent.com/scl/fi/31wnsxbucqcl42y5z1h4u/graphic-update22022-toddler.jpg?rlkey=bex3iqw4ziwnqka5kfrkwwmwk&amp;dl=0","Click to download SizeChart")</f>
      </c>
      <c r="C2206" s="0" t="inlineStr">
        <is>
          <t>Opal Toddler Girl's Shirt</t>
        </is>
      </c>
      <c r="D2206" s="0" t="inlineStr">
        <is>
          <t>'114982</t>
        </is>
      </c>
      <c r="E2206" s="0" t="inlineStr">
        <is>
          <t>PURDUE OPAL T BLACK:114982A-2T</t>
        </is>
      </c>
      <c r="F2206" s="0" t="inlineStr">
        <is>
          <t>'804114982081</t>
        </is>
      </c>
      <c r="G2206" s="0" t="inlineStr">
        <is>
          <t>TODDLER</t>
        </is>
      </c>
      <c r="H2206" s="0" t="inlineStr">
        <is>
          <t>2T</t>
        </is>
      </c>
      <c r="I2206" s="0">
        <v>29.99</v>
      </c>
      <c r="J2206" s="0">
        <v>6</v>
      </c>
    </row>
    <row r="2207" spans="1:10" customHeight="0">
      <c r="A2207" s="0">
        <f>HYPERLINK("https://dl.dropboxusercontent.com/scl/fi/anv51mzyklolztsjjecge/114872-af.jpg?rlkey=td62j4m50joacdmn22xb4m6v5&amp;dl=0","Click to download Image")</f>
      </c>
      <c r="B2207" s="0">
        <f>HYPERLINK("https://dl.dropboxusercontent.com/scl/fi/31wnsxbucqcl42y5z1h4u/graphic-update22022-toddler.jpg?rlkey=bex3iqw4ziwnqka5kfrkwwmwk&amp;dl=0","Click to download SizeChart")</f>
      </c>
      <c r="C2207" s="0" t="inlineStr">
        <is>
          <t>Opal Toddler Girl's Shirt</t>
        </is>
      </c>
      <c r="D2207" s="0" t="inlineStr">
        <is>
          <t>'114982</t>
        </is>
      </c>
      <c r="E2207" s="0" t="inlineStr">
        <is>
          <t>PURDUE OPAL T BLACK:114982B-3T</t>
        </is>
      </c>
      <c r="F2207" s="0" t="inlineStr">
        <is>
          <t>'804114982098</t>
        </is>
      </c>
      <c r="G2207" s="0" t="inlineStr">
        <is>
          <t>TODDLER</t>
        </is>
      </c>
      <c r="H2207" s="0" t="inlineStr">
        <is>
          <t>3T</t>
        </is>
      </c>
      <c r="I2207" s="0">
        <v>29.99</v>
      </c>
      <c r="J2207" s="0">
        <v>6</v>
      </c>
    </row>
    <row r="2208" spans="1:10" customHeight="0">
      <c r="A2208" s="0">
        <f>HYPERLINK("https://dl.dropboxusercontent.com/scl/fi/anv51mzyklolztsjjecge/114872-af.jpg?rlkey=td62j4m50joacdmn22xb4m6v5&amp;dl=0","Click to download Image")</f>
      </c>
      <c r="B2208" s="0">
        <f>HYPERLINK("https://dl.dropboxusercontent.com/scl/fi/31wnsxbucqcl42y5z1h4u/graphic-update22022-toddler.jpg?rlkey=bex3iqw4ziwnqka5kfrkwwmwk&amp;dl=0","Click to download SizeChart")</f>
      </c>
      <c r="C2208" s="0" t="inlineStr">
        <is>
          <t>Opal Toddler Girl's Shirt</t>
        </is>
      </c>
      <c r="D2208" s="0" t="inlineStr">
        <is>
          <t>'114982</t>
        </is>
      </c>
      <c r="E2208" s="0" t="inlineStr">
        <is>
          <t>PURDUE OPAL T BLACK:114982C-4T</t>
        </is>
      </c>
      <c r="F2208" s="0" t="inlineStr">
        <is>
          <t>'804114982104</t>
        </is>
      </c>
      <c r="G2208" s="0" t="inlineStr">
        <is>
          <t>TODDLER</t>
        </is>
      </c>
      <c r="H2208" s="0" t="inlineStr">
        <is>
          <t>4T</t>
        </is>
      </c>
      <c r="I2208" s="0">
        <v>29.99</v>
      </c>
      <c r="J2208" s="0">
        <v>6</v>
      </c>
    </row>
    <row r="2209" spans="1:10" customHeight="0">
      <c r="A2209" s="0">
        <f>HYPERLINK("https://dl.dropboxusercontent.com/scl/fi/anv51mzyklolztsjjecge/114872-af.jpg?rlkey=td62j4m50joacdmn22xb4m6v5&amp;dl=0","Click to download Image")</f>
      </c>
      <c r="B2209" s="0">
        <f>HYPERLINK("https://dl.dropboxusercontent.com/scl/fi/31wnsxbucqcl42y5z1h4u/graphic-update22022-toddler.jpg?rlkey=bex3iqw4ziwnqka5kfrkwwmwk&amp;dl=0","Click to download SizeChart")</f>
      </c>
      <c r="C2209" s="0" t="inlineStr">
        <is>
          <t>Opal Toddler Girl's Shirt</t>
        </is>
      </c>
      <c r="D2209" s="0" t="inlineStr">
        <is>
          <t>'114982</t>
        </is>
      </c>
      <c r="E2209" s="0" t="inlineStr">
        <is>
          <t>PURDUE OPAL T BLACK:114982D-5T</t>
        </is>
      </c>
      <c r="F2209" s="0" t="inlineStr">
        <is>
          <t>'804114982111</t>
        </is>
      </c>
      <c r="G2209" s="0" t="inlineStr">
        <is>
          <t>TODDLER</t>
        </is>
      </c>
      <c r="H2209" s="0" t="inlineStr">
        <is>
          <t>5T</t>
        </is>
      </c>
      <c r="I2209" s="0">
        <v>29.99</v>
      </c>
      <c r="J2209" s="0">
        <v>6</v>
      </c>
    </row>
    <row r="2210" spans="1:10" customHeight="0">
      <c r="A2210" s="0">
        <f>HYPERLINK("https://dl.dropboxusercontent.com/scl/fi/anv51mzyklolztsjjecge/114872-af.jpg?rlkey=td62j4m50joacdmn22xb4m6v5&amp;dl=0","Click to download Image")</f>
      </c>
      <c r="B2210" s="0">
        <f>HYPERLINK("https://dl.dropboxusercontent.com/scl/fi/31wnsxbucqcl42y5z1h4u/graphic-update22022-toddler.jpg?rlkey=bex3iqw4ziwnqka5kfrkwwmwk&amp;dl=0","Click to download SizeChart")</f>
      </c>
      <c r="C2210" s="0" t="inlineStr">
        <is>
          <t>Opal Toddler Girl's Shirt</t>
        </is>
      </c>
      <c r="D2210" s="0" t="inlineStr">
        <is>
          <t>'114982</t>
        </is>
      </c>
      <c r="E2210" s="0" t="inlineStr">
        <is>
          <t>PURDUE OPAL T BLACK 12 PACK:114982Z-12PK</t>
        </is>
      </c>
      <c r="F2210" s="0" t="inlineStr">
        <is>
          <t>'804114982999</t>
        </is>
      </c>
      <c r="G2210" s="0" t="inlineStr">
        <is>
          <t>TODDLER</t>
        </is>
      </c>
      <c r="H2210" s="0" t="inlineStr">
        <is>
          <t>12 PACK</t>
        </is>
      </c>
      <c r="I2210" s="0">
        <v>288</v>
      </c>
      <c r="J2210" s="0">
        <v>2</v>
      </c>
    </row>
    <row r="2211" spans="1:10" customHeight="0">
      <c r="A2211" s="0">
        <f>HYPERLINK("https://dl.dropboxusercontent.com/scl/fi/z4cnhmiwgb9irqut8cuof/123982af35314.jpg?rlkey=64l6yv3wqte56esg8dcaddiy7&amp;dl=0","Click to download Image")</f>
      </c>
      <c r="B2211" s="0">
        <f>HYPERLINK("https://dl.dropboxusercontent.com/scl/fi/31wnsxbucqcl42y5z1h4u/graphic-update22022-toddler.jpg?rlkey=bex3iqw4ziwnqka5kfrkwwmwk&amp;dl=0","Click to download SizeChart")</f>
      </c>
      <c r="C2211" s="0" t="inlineStr">
        <is>
          <t>Opal Toddler Girl's Shirt</t>
        </is>
      </c>
      <c r="D2211" s="0" t="inlineStr">
        <is>
          <t>'125065</t>
        </is>
      </c>
      <c r="E2211" s="0" t="inlineStr">
        <is>
          <t>NDSU OPAL T GN:125065A-2T</t>
        </is>
      </c>
      <c r="F2211" s="0" t="inlineStr">
        <is>
          <t>'813125065089</t>
        </is>
      </c>
      <c r="G2211" s="0" t="inlineStr">
        <is>
          <t>TODDLER</t>
        </is>
      </c>
      <c r="H2211" s="0" t="inlineStr">
        <is>
          <t>2T</t>
        </is>
      </c>
      <c r="I2211" s="0">
        <v>29.99</v>
      </c>
      <c r="J2211" s="0">
        <v>3</v>
      </c>
    </row>
    <row r="2212" spans="1:10" customHeight="0">
      <c r="A2212" s="0">
        <f>HYPERLINK("https://dl.dropboxusercontent.com/scl/fi/z4cnhmiwgb9irqut8cuof/123982af35314.jpg?rlkey=64l6yv3wqte56esg8dcaddiy7&amp;dl=0","Click to download Image")</f>
      </c>
      <c r="B2212" s="0">
        <f>HYPERLINK("https://dl.dropboxusercontent.com/scl/fi/31wnsxbucqcl42y5z1h4u/graphic-update22022-toddler.jpg?rlkey=bex3iqw4ziwnqka5kfrkwwmwk&amp;dl=0","Click to download SizeChart")</f>
      </c>
      <c r="C2212" s="0" t="inlineStr">
        <is>
          <t>Opal Toddler Girl's Shirt</t>
        </is>
      </c>
      <c r="D2212" s="0" t="inlineStr">
        <is>
          <t>'125065</t>
        </is>
      </c>
      <c r="E2212" s="0" t="inlineStr">
        <is>
          <t>NDSU OPAL T GN:125065B-3T</t>
        </is>
      </c>
      <c r="F2212" s="0" t="inlineStr">
        <is>
          <t>'813125065096</t>
        </is>
      </c>
      <c r="G2212" s="0" t="inlineStr">
        <is>
          <t>TODDLER</t>
        </is>
      </c>
      <c r="H2212" s="0" t="inlineStr">
        <is>
          <t>3T</t>
        </is>
      </c>
      <c r="I2212" s="0">
        <v>29.99</v>
      </c>
      <c r="J2212" s="0">
        <v>3</v>
      </c>
    </row>
    <row r="2213" spans="1:10" customHeight="0">
      <c r="A2213" s="0">
        <f>HYPERLINK("https://dl.dropboxusercontent.com/scl/fi/z4cnhmiwgb9irqut8cuof/123982af35314.jpg?rlkey=64l6yv3wqte56esg8dcaddiy7&amp;dl=0","Click to download Image")</f>
      </c>
      <c r="B2213" s="0">
        <f>HYPERLINK("https://dl.dropboxusercontent.com/scl/fi/31wnsxbucqcl42y5z1h4u/graphic-update22022-toddler.jpg?rlkey=bex3iqw4ziwnqka5kfrkwwmwk&amp;dl=0","Click to download SizeChart")</f>
      </c>
      <c r="C2213" s="0" t="inlineStr">
        <is>
          <t>Opal Toddler Girl's Shirt</t>
        </is>
      </c>
      <c r="D2213" s="0" t="inlineStr">
        <is>
          <t>'125065</t>
        </is>
      </c>
      <c r="E2213" s="0" t="inlineStr">
        <is>
          <t>NDSU OPAL T GN:125065C-4T</t>
        </is>
      </c>
      <c r="F2213" s="0" t="inlineStr">
        <is>
          <t>'813125065102</t>
        </is>
      </c>
      <c r="G2213" s="0" t="inlineStr">
        <is>
          <t>TODDLER</t>
        </is>
      </c>
      <c r="H2213" s="0" t="inlineStr">
        <is>
          <t>4T</t>
        </is>
      </c>
      <c r="I2213" s="0">
        <v>29.99</v>
      </c>
      <c r="J2213" s="0">
        <v>3</v>
      </c>
    </row>
    <row r="2214" spans="1:10" customHeight="0">
      <c r="A2214" s="0">
        <f>HYPERLINK("https://dl.dropboxusercontent.com/scl/fi/z4cnhmiwgb9irqut8cuof/123982af35314.jpg?rlkey=64l6yv3wqte56esg8dcaddiy7&amp;dl=0","Click to download Image")</f>
      </c>
      <c r="B2214" s="0">
        <f>HYPERLINK("https://dl.dropboxusercontent.com/scl/fi/31wnsxbucqcl42y5z1h4u/graphic-update22022-toddler.jpg?rlkey=bex3iqw4ziwnqka5kfrkwwmwk&amp;dl=0","Click to download SizeChart")</f>
      </c>
      <c r="C2214" s="0" t="inlineStr">
        <is>
          <t>Opal Toddler Girl's Shirt</t>
        </is>
      </c>
      <c r="D2214" s="0" t="inlineStr">
        <is>
          <t>'125065</t>
        </is>
      </c>
      <c r="E2214" s="0" t="inlineStr">
        <is>
          <t>NDSU OPAL T GN:125065D-5T</t>
        </is>
      </c>
      <c r="F2214" s="0" t="inlineStr">
        <is>
          <t>'813125065119</t>
        </is>
      </c>
      <c r="G2214" s="0" t="inlineStr">
        <is>
          <t>TODDLER</t>
        </is>
      </c>
      <c r="H2214" s="0" t="inlineStr">
        <is>
          <t>5T</t>
        </is>
      </c>
      <c r="I2214" s="0">
        <v>29.99</v>
      </c>
      <c r="J2214" s="0">
        <v>3</v>
      </c>
    </row>
    <row r="2215" spans="1:10" customHeight="0">
      <c r="A2215" s="0">
        <f>HYPERLINK("https://dl.dropboxusercontent.com/scl/fi/z4cnhmiwgb9irqut8cuof/123982af35314.jpg?rlkey=64l6yv3wqte56esg8dcaddiy7&amp;dl=0","Click to download Image")</f>
      </c>
      <c r="B2215" s="0">
        <f>HYPERLINK("https://dl.dropboxusercontent.com/scl/fi/31wnsxbucqcl42y5z1h4u/graphic-update22022-toddler.jpg?rlkey=bex3iqw4ziwnqka5kfrkwwmwk&amp;dl=0","Click to download SizeChart")</f>
      </c>
      <c r="C2215" s="0" t="inlineStr">
        <is>
          <t>Opal Toddler Girl's Shirt</t>
        </is>
      </c>
      <c r="D2215" s="0" t="inlineStr">
        <is>
          <t>'125065</t>
        </is>
      </c>
      <c r="E2215" s="0" t="inlineStr">
        <is>
          <t>NDSU OPAL T GN:125065Z-12PK</t>
        </is>
      </c>
      <c r="F2215" s="0" t="inlineStr">
        <is>
          <t>'899123983990</t>
        </is>
      </c>
      <c r="G2215" s="0" t="inlineStr">
        <is>
          <t>TODDLER</t>
        </is>
      </c>
      <c r="H2215" s="0" t="inlineStr">
        <is>
          <t>12 PACK</t>
        </is>
      </c>
      <c r="I2215" s="0">
        <v>288</v>
      </c>
      <c r="J2215" s="0">
        <v>0</v>
      </c>
    </row>
    <row r="2216" spans="1:10" customHeight="0">
      <c r="A2216" s="0">
        <f>HYPERLINK("https://dl.dropboxusercontent.com/scl/fi/e3h87cwsink6gsy3c2yup/113343af76885.jpg?rlkey=nmbjosq7qwtnva1k0ptykuxwz&amp;dl=0","Click to download Image")</f>
      </c>
      <c r="B2216" s="0">
        <f>HYPERLINK("https://dl.dropboxusercontent.com/scl/fi/hn9r47959ok92fl34nzuu/graphic-update22022-youth.jpg?rlkey=5s0y6eh369recndbky6wy0dny&amp;dl=0","Click to download SizeChart")</f>
      </c>
      <c r="C2216" s="0" t="inlineStr">
        <is>
          <t>Opal Youth Girls Shirt</t>
        </is>
      </c>
      <c r="D2216" s="0" t="inlineStr">
        <is>
          <t>'113343</t>
        </is>
      </c>
      <c r="E2216" s="0" t="inlineStr">
        <is>
          <t>ISU OPAL Y CARDINAL:113343B-YS</t>
        </is>
      </c>
      <c r="F2216" s="0" t="inlineStr">
        <is>
          <t>'801113343011</t>
        </is>
      </c>
      <c r="G2216" s="0" t="inlineStr">
        <is>
          <t>YOUTH</t>
        </is>
      </c>
      <c r="H2216" s="0" t="inlineStr">
        <is>
          <t>YS</t>
        </is>
      </c>
      <c r="I2216" s="0">
        <v>29.99</v>
      </c>
      <c r="J2216" s="0">
        <v>4</v>
      </c>
    </row>
    <row r="2217" spans="1:10" customHeight="0">
      <c r="A2217" s="0">
        <f>HYPERLINK("https://dl.dropboxusercontent.com/scl/fi/e3h87cwsink6gsy3c2yup/113343af76885.jpg?rlkey=nmbjosq7qwtnva1k0ptykuxwz&amp;dl=0","Click to download Image")</f>
      </c>
      <c r="B2217" s="0">
        <f>HYPERLINK("https://dl.dropboxusercontent.com/scl/fi/hn9r47959ok92fl34nzuu/graphic-update22022-youth.jpg?rlkey=5s0y6eh369recndbky6wy0dny&amp;dl=0","Click to download SizeChart")</f>
      </c>
      <c r="C2217" s="0" t="inlineStr">
        <is>
          <t>Opal Youth Girls Shirt</t>
        </is>
      </c>
      <c r="D2217" s="0" t="inlineStr">
        <is>
          <t>'113343</t>
        </is>
      </c>
      <c r="E2217" s="0" t="inlineStr">
        <is>
          <t>ISU OPAL Y CARDINAL:113343C-YM</t>
        </is>
      </c>
      <c r="F2217" s="0" t="inlineStr">
        <is>
          <t>'801113343028</t>
        </is>
      </c>
      <c r="G2217" s="0" t="inlineStr">
        <is>
          <t>YOUTH</t>
        </is>
      </c>
      <c r="H2217" s="0" t="inlineStr">
        <is>
          <t>YM</t>
        </is>
      </c>
      <c r="I2217" s="0">
        <v>29.99</v>
      </c>
      <c r="J2217" s="0">
        <v>6</v>
      </c>
    </row>
    <row r="2218" spans="1:10" customHeight="0">
      <c r="A2218" s="0">
        <f>HYPERLINK("https://dl.dropboxusercontent.com/scl/fi/e3h87cwsink6gsy3c2yup/113343af76885.jpg?rlkey=nmbjosq7qwtnva1k0ptykuxwz&amp;dl=0","Click to download Image")</f>
      </c>
      <c r="B2218" s="0">
        <f>HYPERLINK("https://dl.dropboxusercontent.com/scl/fi/hn9r47959ok92fl34nzuu/graphic-update22022-youth.jpg?rlkey=5s0y6eh369recndbky6wy0dny&amp;dl=0","Click to download SizeChart")</f>
      </c>
      <c r="C2218" s="0" t="inlineStr">
        <is>
          <t>Opal Youth Girls Shirt</t>
        </is>
      </c>
      <c r="D2218" s="0" t="inlineStr">
        <is>
          <t>'113343</t>
        </is>
      </c>
      <c r="E2218" s="0" t="inlineStr">
        <is>
          <t>ISU OPAL Y CARDINAL:113343D-YL</t>
        </is>
      </c>
      <c r="F2218" s="0" t="inlineStr">
        <is>
          <t>'801113343035</t>
        </is>
      </c>
      <c r="G2218" s="0" t="inlineStr">
        <is>
          <t>YOUTH</t>
        </is>
      </c>
      <c r="H2218" s="0" t="inlineStr">
        <is>
          <t>YL</t>
        </is>
      </c>
      <c r="I2218" s="0">
        <v>29.99</v>
      </c>
      <c r="J2218" s="0">
        <v>6</v>
      </c>
    </row>
    <row r="2219" spans="1:10" customHeight="0">
      <c r="A2219" s="0">
        <f>HYPERLINK("https://dl.dropboxusercontent.com/scl/fi/e3h87cwsink6gsy3c2yup/113343af76885.jpg?rlkey=nmbjosq7qwtnva1k0ptykuxwz&amp;dl=0","Click to download Image")</f>
      </c>
      <c r="B2219" s="0">
        <f>HYPERLINK("https://dl.dropboxusercontent.com/scl/fi/hn9r47959ok92fl34nzuu/graphic-update22022-youth.jpg?rlkey=5s0y6eh369recndbky6wy0dny&amp;dl=0","Click to download SizeChart")</f>
      </c>
      <c r="C2219" s="0" t="inlineStr">
        <is>
          <t>Opal Youth Girls Shirt</t>
        </is>
      </c>
      <c r="D2219" s="0" t="inlineStr">
        <is>
          <t>'113343</t>
        </is>
      </c>
      <c r="E2219" s="0" t="inlineStr">
        <is>
          <t>ISU OPAL Y CARDINAL:113343E-YXL</t>
        </is>
      </c>
      <c r="F2219" s="0" t="inlineStr">
        <is>
          <t>'801113343042</t>
        </is>
      </c>
      <c r="G2219" s="0" t="inlineStr">
        <is>
          <t>YOUTH</t>
        </is>
      </c>
      <c r="H2219" s="0" t="inlineStr">
        <is>
          <t>YXL</t>
        </is>
      </c>
      <c r="I2219" s="0">
        <v>29.99</v>
      </c>
      <c r="J2219" s="0">
        <v>6</v>
      </c>
    </row>
    <row r="2220" spans="1:10" customHeight="0">
      <c r="A2220" s="0">
        <f>HYPERLINK("https://dl.dropboxusercontent.com/scl/fi/e3h87cwsink6gsy3c2yup/113343af76885.jpg?rlkey=nmbjosq7qwtnva1k0ptykuxwz&amp;dl=0","Click to download Image")</f>
      </c>
      <c r="B2220" s="0">
        <f>HYPERLINK("https://dl.dropboxusercontent.com/scl/fi/hn9r47959ok92fl34nzuu/graphic-update22022-youth.jpg?rlkey=5s0y6eh369recndbky6wy0dny&amp;dl=0","Click to download SizeChart")</f>
      </c>
      <c r="C2220" s="0" t="inlineStr">
        <is>
          <t>Opal Youth Girls Shirt</t>
        </is>
      </c>
      <c r="D2220" s="0" t="inlineStr">
        <is>
          <t>'113343</t>
        </is>
      </c>
      <c r="E2220" s="0" t="inlineStr">
        <is>
          <t>ISU OPAL Y CARDINAL :113343Z-12PK</t>
        </is>
      </c>
      <c r="F2220" s="0" t="inlineStr">
        <is>
          <t>'801113343998</t>
        </is>
      </c>
      <c r="G2220" s="0" t="inlineStr">
        <is>
          <t>YOUTH</t>
        </is>
      </c>
      <c r="H2220" s="0" t="inlineStr">
        <is>
          <t>12 PACK</t>
        </is>
      </c>
      <c r="I2220" s="0">
        <v>288</v>
      </c>
      <c r="J2220" s="0">
        <v>1</v>
      </c>
    </row>
    <row r="2221" spans="1:10" customHeight="0">
      <c r="A2221" s="0">
        <f>HYPERLINK("https://dl.dropboxusercontent.com/scl/fi/b4565ryhkmsgltvgyvpuq/114873-f.jpg?rlkey=tcah0slrecsfld1wy1p8u3wt5&amp;dl=0","Click to download Image")</f>
      </c>
      <c r="B2221" s="0">
        <f>HYPERLINK("https://dl.dropboxusercontent.com/scl/fi/hn9r47959ok92fl34nzuu/graphic-update22022-youth.jpg?rlkey=5s0y6eh369recndbky6wy0dny&amp;dl=0","Click to download SizeChart")</f>
      </c>
      <c r="C2221" s="0" t="inlineStr">
        <is>
          <t>Opal Youth Girls Shirt</t>
        </is>
      </c>
      <c r="D2221" s="0" t="inlineStr">
        <is>
          <t>'114873</t>
        </is>
      </c>
      <c r="E2221" s="0" t="inlineStr">
        <is>
          <t>INDIANA OPAL Y CARDINAL:114873B-YS</t>
        </is>
      </c>
      <c r="F2221" s="0" t="inlineStr">
        <is>
          <t>'806114873017</t>
        </is>
      </c>
      <c r="G2221" s="0" t="inlineStr">
        <is>
          <t>YOUTH</t>
        </is>
      </c>
      <c r="H2221" s="0" t="inlineStr">
        <is>
          <t>YS</t>
        </is>
      </c>
      <c r="I2221" s="0">
        <v>29.99</v>
      </c>
      <c r="J2221" s="0">
        <v>7</v>
      </c>
    </row>
    <row r="2222" spans="1:10" customHeight="0">
      <c r="A2222" s="0">
        <f>HYPERLINK("https://dl.dropboxusercontent.com/scl/fi/b4565ryhkmsgltvgyvpuq/114873-f.jpg?rlkey=tcah0slrecsfld1wy1p8u3wt5&amp;dl=0","Click to download Image")</f>
      </c>
      <c r="B2222" s="0">
        <f>HYPERLINK("https://dl.dropboxusercontent.com/scl/fi/hn9r47959ok92fl34nzuu/graphic-update22022-youth.jpg?rlkey=5s0y6eh369recndbky6wy0dny&amp;dl=0","Click to download SizeChart")</f>
      </c>
      <c r="C2222" s="0" t="inlineStr">
        <is>
          <t>Opal Youth Girls Shirt</t>
        </is>
      </c>
      <c r="D2222" s="0" t="inlineStr">
        <is>
          <t>'114873</t>
        </is>
      </c>
      <c r="E2222" s="0" t="inlineStr">
        <is>
          <t>INDIANA OPAL Y CARDINAL:114873C-YM</t>
        </is>
      </c>
      <c r="F2222" s="0" t="inlineStr">
        <is>
          <t>'806114873024</t>
        </is>
      </c>
      <c r="G2222" s="0" t="inlineStr">
        <is>
          <t>YOUTH</t>
        </is>
      </c>
      <c r="H2222" s="0" t="inlineStr">
        <is>
          <t>YM</t>
        </is>
      </c>
      <c r="I2222" s="0">
        <v>29.99</v>
      </c>
      <c r="J2222" s="0">
        <v>6</v>
      </c>
    </row>
    <row r="2223" spans="1:10" customHeight="0">
      <c r="A2223" s="0">
        <f>HYPERLINK("https://dl.dropboxusercontent.com/scl/fi/b4565ryhkmsgltvgyvpuq/114873-f.jpg?rlkey=tcah0slrecsfld1wy1p8u3wt5&amp;dl=0","Click to download Image")</f>
      </c>
      <c r="B2223" s="0">
        <f>HYPERLINK("https://dl.dropboxusercontent.com/scl/fi/hn9r47959ok92fl34nzuu/graphic-update22022-youth.jpg?rlkey=5s0y6eh369recndbky6wy0dny&amp;dl=0","Click to download SizeChart")</f>
      </c>
      <c r="C2223" s="0" t="inlineStr">
        <is>
          <t>Opal Youth Girls Shirt</t>
        </is>
      </c>
      <c r="D2223" s="0" t="inlineStr">
        <is>
          <t>'114873</t>
        </is>
      </c>
      <c r="E2223" s="0" t="inlineStr">
        <is>
          <t>INDIANA OPAL Y CARDINAL:114873D-YL</t>
        </is>
      </c>
      <c r="F2223" s="0" t="inlineStr">
        <is>
          <t>'806114873031</t>
        </is>
      </c>
      <c r="G2223" s="0" t="inlineStr">
        <is>
          <t>YOUTH</t>
        </is>
      </c>
      <c r="H2223" s="0" t="inlineStr">
        <is>
          <t>YL</t>
        </is>
      </c>
      <c r="I2223" s="0">
        <v>29.99</v>
      </c>
      <c r="J2223" s="0">
        <v>6</v>
      </c>
    </row>
    <row r="2224" spans="1:10" customHeight="0">
      <c r="A2224" s="0">
        <f>HYPERLINK("https://dl.dropboxusercontent.com/scl/fi/b4565ryhkmsgltvgyvpuq/114873-f.jpg?rlkey=tcah0slrecsfld1wy1p8u3wt5&amp;dl=0","Click to download Image")</f>
      </c>
      <c r="B2224" s="0">
        <f>HYPERLINK("https://dl.dropboxusercontent.com/scl/fi/hn9r47959ok92fl34nzuu/graphic-update22022-youth.jpg?rlkey=5s0y6eh369recndbky6wy0dny&amp;dl=0","Click to download SizeChart")</f>
      </c>
      <c r="C2224" s="0" t="inlineStr">
        <is>
          <t>Opal Youth Girls Shirt</t>
        </is>
      </c>
      <c r="D2224" s="0" t="inlineStr">
        <is>
          <t>'114873</t>
        </is>
      </c>
      <c r="E2224" s="0" t="inlineStr">
        <is>
          <t>INDIANA OPAL Y CARDINAL:114873E-YXL</t>
        </is>
      </c>
      <c r="F2224" s="0" t="inlineStr">
        <is>
          <t>'806114873048</t>
        </is>
      </c>
      <c r="G2224" s="0" t="inlineStr">
        <is>
          <t>YOUTH</t>
        </is>
      </c>
      <c r="H2224" s="0" t="inlineStr">
        <is>
          <t>YXL</t>
        </is>
      </c>
      <c r="I2224" s="0">
        <v>29.99</v>
      </c>
      <c r="J2224" s="0">
        <v>6</v>
      </c>
    </row>
    <row r="2225" spans="1:10" customHeight="0">
      <c r="A2225" s="0">
        <f>HYPERLINK("https://dl.dropboxusercontent.com/scl/fi/b4565ryhkmsgltvgyvpuq/114873-f.jpg?rlkey=tcah0slrecsfld1wy1p8u3wt5&amp;dl=0","Click to download Image")</f>
      </c>
      <c r="B2225" s="0">
        <f>HYPERLINK("https://dl.dropboxusercontent.com/scl/fi/hn9r47959ok92fl34nzuu/graphic-update22022-youth.jpg?rlkey=5s0y6eh369recndbky6wy0dny&amp;dl=0","Click to download SizeChart")</f>
      </c>
      <c r="C2225" s="0" t="inlineStr">
        <is>
          <t>Opal Youth Girls Shirt</t>
        </is>
      </c>
      <c r="D2225" s="0" t="inlineStr">
        <is>
          <t>'114873</t>
        </is>
      </c>
      <c r="E2225" s="0" t="inlineStr">
        <is>
          <t>INDIANA OPAL Y CARDINAL 12 PACK:114873Z-12PK</t>
        </is>
      </c>
      <c r="F2225" s="0" t="inlineStr">
        <is>
          <t>'806114873994</t>
        </is>
      </c>
      <c r="G2225" s="0" t="inlineStr">
        <is>
          <t>YOUTH</t>
        </is>
      </c>
      <c r="H2225" s="0" t="inlineStr">
        <is>
          <t>12 PACK</t>
        </is>
      </c>
      <c r="I2225" s="0">
        <v>288</v>
      </c>
      <c r="J2225" s="0">
        <v>2</v>
      </c>
    </row>
    <row r="2226" spans="1:10" customHeight="0">
      <c r="A2226" s="0">
        <f>HYPERLINK("https://dl.dropboxusercontent.com/scl/fi/c7n8nx3p7ls472t6amc5m/114872-f.jpg?rlkey=6ohbd68n91h9g53ezwzsvr1s0&amp;dl=0","Click to download Image")</f>
      </c>
      <c r="B2226" s="0">
        <f>HYPERLINK("https://dl.dropboxusercontent.com/scl/fi/hn9r47959ok92fl34nzuu/graphic-update22022-youth.jpg?rlkey=5s0y6eh369recndbky6wy0dny&amp;dl=0","Click to download SizeChart")</f>
      </c>
      <c r="C2226" s="0" t="inlineStr">
        <is>
          <t>Opal Youth Girls Shirt</t>
        </is>
      </c>
      <c r="D2226" s="0" t="inlineStr">
        <is>
          <t>'114872</t>
        </is>
      </c>
      <c r="E2226" s="0" t="inlineStr">
        <is>
          <t>PURDUE OPAL Y BLACK:114872B-YS</t>
        </is>
      </c>
      <c r="F2226" s="0" t="inlineStr">
        <is>
          <t>'804114872016</t>
        </is>
      </c>
      <c r="G2226" s="0" t="inlineStr">
        <is>
          <t>YOUTH</t>
        </is>
      </c>
      <c r="H2226" s="0" t="inlineStr">
        <is>
          <t>YS</t>
        </is>
      </c>
      <c r="I2226" s="0">
        <v>29.99</v>
      </c>
      <c r="J2226" s="0">
        <v>7</v>
      </c>
    </row>
    <row r="2227" spans="1:10" customHeight="0">
      <c r="A2227" s="0">
        <f>HYPERLINK("https://dl.dropboxusercontent.com/scl/fi/c7n8nx3p7ls472t6amc5m/114872-f.jpg?rlkey=6ohbd68n91h9g53ezwzsvr1s0&amp;dl=0","Click to download Image")</f>
      </c>
      <c r="B2227" s="0">
        <f>HYPERLINK("https://dl.dropboxusercontent.com/scl/fi/hn9r47959ok92fl34nzuu/graphic-update22022-youth.jpg?rlkey=5s0y6eh369recndbky6wy0dny&amp;dl=0","Click to download SizeChart")</f>
      </c>
      <c r="C2227" s="0" t="inlineStr">
        <is>
          <t>Opal Youth Girls Shirt</t>
        </is>
      </c>
      <c r="D2227" s="0" t="inlineStr">
        <is>
          <t>'114872</t>
        </is>
      </c>
      <c r="E2227" s="0" t="inlineStr">
        <is>
          <t>PURDUE OPAL Y BLACK:114872C-YM</t>
        </is>
      </c>
      <c r="F2227" s="0" t="inlineStr">
        <is>
          <t>'804114872023</t>
        </is>
      </c>
      <c r="G2227" s="0" t="inlineStr">
        <is>
          <t>YOUTH</t>
        </is>
      </c>
      <c r="H2227" s="0" t="inlineStr">
        <is>
          <t>YM</t>
        </is>
      </c>
      <c r="I2227" s="0">
        <v>29.99</v>
      </c>
      <c r="J2227" s="0">
        <v>6</v>
      </c>
    </row>
    <row r="2228" spans="1:10" customHeight="0">
      <c r="A2228" s="0">
        <f>HYPERLINK("https://dl.dropboxusercontent.com/scl/fi/c7n8nx3p7ls472t6amc5m/114872-f.jpg?rlkey=6ohbd68n91h9g53ezwzsvr1s0&amp;dl=0","Click to download Image")</f>
      </c>
      <c r="B2228" s="0">
        <f>HYPERLINK("https://dl.dropboxusercontent.com/scl/fi/hn9r47959ok92fl34nzuu/graphic-update22022-youth.jpg?rlkey=5s0y6eh369recndbky6wy0dny&amp;dl=0","Click to download SizeChart")</f>
      </c>
      <c r="C2228" s="0" t="inlineStr">
        <is>
          <t>Opal Youth Girls Shirt</t>
        </is>
      </c>
      <c r="D2228" s="0" t="inlineStr">
        <is>
          <t>'114872</t>
        </is>
      </c>
      <c r="E2228" s="0" t="inlineStr">
        <is>
          <t>PURDUE OPAL Y BLACK:114872D-YL</t>
        </is>
      </c>
      <c r="F2228" s="0" t="inlineStr">
        <is>
          <t>'804114872030</t>
        </is>
      </c>
      <c r="G2228" s="0" t="inlineStr">
        <is>
          <t>YOUTH</t>
        </is>
      </c>
      <c r="H2228" s="0" t="inlineStr">
        <is>
          <t>YL</t>
        </is>
      </c>
      <c r="I2228" s="0">
        <v>29.99</v>
      </c>
      <c r="J2228" s="0">
        <v>6</v>
      </c>
    </row>
    <row r="2229" spans="1:10" customHeight="0">
      <c r="A2229" s="0">
        <f>HYPERLINK("https://dl.dropboxusercontent.com/scl/fi/c7n8nx3p7ls472t6amc5m/114872-f.jpg?rlkey=6ohbd68n91h9g53ezwzsvr1s0&amp;dl=0","Click to download Image")</f>
      </c>
      <c r="B2229" s="0">
        <f>HYPERLINK("https://dl.dropboxusercontent.com/scl/fi/hn9r47959ok92fl34nzuu/graphic-update22022-youth.jpg?rlkey=5s0y6eh369recndbky6wy0dny&amp;dl=0","Click to download SizeChart")</f>
      </c>
      <c r="C2229" s="0" t="inlineStr">
        <is>
          <t>Opal Youth Girls Shirt</t>
        </is>
      </c>
      <c r="D2229" s="0" t="inlineStr">
        <is>
          <t>'114872</t>
        </is>
      </c>
      <c r="E2229" s="0" t="inlineStr">
        <is>
          <t>PURDUE OPAL Y BLACK:114872E-YXL</t>
        </is>
      </c>
      <c r="F2229" s="0" t="inlineStr">
        <is>
          <t>'804114872047</t>
        </is>
      </c>
      <c r="G2229" s="0" t="inlineStr">
        <is>
          <t>YOUTH</t>
        </is>
      </c>
      <c r="H2229" s="0" t="inlineStr">
        <is>
          <t>YXL</t>
        </is>
      </c>
      <c r="I2229" s="0">
        <v>29.99</v>
      </c>
      <c r="J2229" s="0">
        <v>6</v>
      </c>
    </row>
    <row r="2230" spans="1:10" customHeight="0">
      <c r="A2230" s="0">
        <f>HYPERLINK("https://dl.dropboxusercontent.com/scl/fi/c7n8nx3p7ls472t6amc5m/114872-f.jpg?rlkey=6ohbd68n91h9g53ezwzsvr1s0&amp;dl=0","Click to download Image")</f>
      </c>
      <c r="B2230" s="0">
        <f>HYPERLINK("https://dl.dropboxusercontent.com/scl/fi/hn9r47959ok92fl34nzuu/graphic-update22022-youth.jpg?rlkey=5s0y6eh369recndbky6wy0dny&amp;dl=0","Click to download SizeChart")</f>
      </c>
      <c r="C2230" s="0" t="inlineStr">
        <is>
          <t>Opal Youth Girls Shirt</t>
        </is>
      </c>
      <c r="D2230" s="0" t="inlineStr">
        <is>
          <t>'114872</t>
        </is>
      </c>
      <c r="E2230" s="0" t="inlineStr">
        <is>
          <t>PURDUE OPAL Y BLACK 12 PACK:114872Z-12PK</t>
        </is>
      </c>
      <c r="F2230" s="0" t="inlineStr">
        <is>
          <t>'804114872993</t>
        </is>
      </c>
      <c r="G2230" s="0" t="inlineStr">
        <is>
          <t>YOUTH</t>
        </is>
      </c>
      <c r="H2230" s="0" t="inlineStr">
        <is>
          <t>12 PACK</t>
        </is>
      </c>
      <c r="I2230" s="0">
        <v>288</v>
      </c>
      <c r="J2230" s="0">
        <v>2</v>
      </c>
    </row>
    <row r="2231" spans="1:10" customHeight="0">
      <c r="A2231" s="0">
        <f>HYPERLINK("https://dl.dropboxusercontent.com/scl/fi/o4tilauiu6emr3dna8qsf/124084-af.jpg?rlkey=3lai1zkunpwfb6k01d0ryk39m&amp;dl=0","Click to download Image")</f>
      </c>
      <c r="B2231" s="0">
        <f>HYPERLINK("https://dl.dropboxusercontent.com/scl/fi/hn9r47959ok92fl34nzuu/graphic-update22022-youth.jpg?rlkey=5s0y6eh369recndbky6wy0dny&amp;dl=0","Click to download SizeChart")</f>
      </c>
      <c r="C2231" s="0" t="inlineStr">
        <is>
          <t>Opal Youth Girls Shirt</t>
        </is>
      </c>
      <c r="D2231" s="0" t="inlineStr">
        <is>
          <t>'124084</t>
        </is>
      </c>
      <c r="E2231" s="0" t="inlineStr">
        <is>
          <t>USD OPAL Y BK:124084B-YS</t>
        </is>
      </c>
      <c r="F2231" s="0" t="inlineStr">
        <is>
          <t>'811124084018</t>
        </is>
      </c>
      <c r="G2231" s="0" t="inlineStr">
        <is>
          <t>YOUTH</t>
        </is>
      </c>
      <c r="H2231" s="0" t="inlineStr">
        <is>
          <t>YS</t>
        </is>
      </c>
      <c r="I2231" s="0">
        <v>29.99</v>
      </c>
      <c r="J2231" s="0">
        <v>4</v>
      </c>
    </row>
    <row r="2232" spans="1:10" customHeight="0">
      <c r="A2232" s="0">
        <f>HYPERLINK("https://dl.dropboxusercontent.com/scl/fi/o4tilauiu6emr3dna8qsf/124084-af.jpg?rlkey=3lai1zkunpwfb6k01d0ryk39m&amp;dl=0","Click to download Image")</f>
      </c>
      <c r="B2232" s="0">
        <f>HYPERLINK("https://dl.dropboxusercontent.com/scl/fi/hn9r47959ok92fl34nzuu/graphic-update22022-youth.jpg?rlkey=5s0y6eh369recndbky6wy0dny&amp;dl=0","Click to download SizeChart")</f>
      </c>
      <c r="C2232" s="0" t="inlineStr">
        <is>
          <t>Opal Youth Girls Shirt</t>
        </is>
      </c>
      <c r="D2232" s="0" t="inlineStr">
        <is>
          <t>'124084</t>
        </is>
      </c>
      <c r="E2232" s="0" t="inlineStr">
        <is>
          <t>USD OPAL Y BK:124084C-YM</t>
        </is>
      </c>
      <c r="F2232" s="0" t="inlineStr">
        <is>
          <t>'811124084025</t>
        </is>
      </c>
      <c r="G2232" s="0" t="inlineStr">
        <is>
          <t>YOUTH</t>
        </is>
      </c>
      <c r="H2232" s="0" t="inlineStr">
        <is>
          <t>YM</t>
        </is>
      </c>
      <c r="I2232" s="0">
        <v>29.99</v>
      </c>
      <c r="J2232" s="0">
        <v>3</v>
      </c>
    </row>
    <row r="2233" spans="1:10" customHeight="0">
      <c r="A2233" s="0">
        <f>HYPERLINK("https://dl.dropboxusercontent.com/scl/fi/o4tilauiu6emr3dna8qsf/124084-af.jpg?rlkey=3lai1zkunpwfb6k01d0ryk39m&amp;dl=0","Click to download Image")</f>
      </c>
      <c r="B2233" s="0">
        <f>HYPERLINK("https://dl.dropboxusercontent.com/scl/fi/hn9r47959ok92fl34nzuu/graphic-update22022-youth.jpg?rlkey=5s0y6eh369recndbky6wy0dny&amp;dl=0","Click to download SizeChart")</f>
      </c>
      <c r="C2233" s="0" t="inlineStr">
        <is>
          <t>Opal Youth Girls Shirt</t>
        </is>
      </c>
      <c r="D2233" s="0" t="inlineStr">
        <is>
          <t>'124084</t>
        </is>
      </c>
      <c r="E2233" s="0" t="inlineStr">
        <is>
          <t>USD OPAL Y BK:124084D-YL</t>
        </is>
      </c>
      <c r="F2233" s="0" t="inlineStr">
        <is>
          <t>'811124084032</t>
        </is>
      </c>
      <c r="G2233" s="0" t="inlineStr">
        <is>
          <t>YOUTH</t>
        </is>
      </c>
      <c r="H2233" s="0" t="inlineStr">
        <is>
          <t>YL</t>
        </is>
      </c>
      <c r="I2233" s="0">
        <v>29.99</v>
      </c>
      <c r="J2233" s="0">
        <v>3</v>
      </c>
    </row>
    <row r="2234" spans="1:10" customHeight="0">
      <c r="A2234" s="0">
        <f>HYPERLINK("https://dl.dropboxusercontent.com/scl/fi/o4tilauiu6emr3dna8qsf/124084-af.jpg?rlkey=3lai1zkunpwfb6k01d0ryk39m&amp;dl=0","Click to download Image")</f>
      </c>
      <c r="B2234" s="0">
        <f>HYPERLINK("https://dl.dropboxusercontent.com/scl/fi/hn9r47959ok92fl34nzuu/graphic-update22022-youth.jpg?rlkey=5s0y6eh369recndbky6wy0dny&amp;dl=0","Click to download SizeChart")</f>
      </c>
      <c r="C2234" s="0" t="inlineStr">
        <is>
          <t>Opal Youth Girls Shirt</t>
        </is>
      </c>
      <c r="D2234" s="0" t="inlineStr">
        <is>
          <t>'124084</t>
        </is>
      </c>
      <c r="E2234" s="0" t="inlineStr">
        <is>
          <t>USD OPAL Y BK:124084E-YXL</t>
        </is>
      </c>
      <c r="F2234" s="0" t="inlineStr">
        <is>
          <t>'811124084049</t>
        </is>
      </c>
      <c r="G2234" s="0" t="inlineStr">
        <is>
          <t>YOUTH</t>
        </is>
      </c>
      <c r="H2234" s="0" t="inlineStr">
        <is>
          <t>YXL</t>
        </is>
      </c>
      <c r="I2234" s="0">
        <v>29.99</v>
      </c>
      <c r="J2234" s="0">
        <v>3</v>
      </c>
    </row>
    <row r="2235" spans="1:10" customHeight="0">
      <c r="A2235" s="0">
        <f>HYPERLINK("https://dl.dropboxusercontent.com/scl/fi/o4tilauiu6emr3dna8qsf/124084-af.jpg?rlkey=3lai1zkunpwfb6k01d0ryk39m&amp;dl=0","Click to download Image")</f>
      </c>
      <c r="B2235" s="0">
        <f>HYPERLINK("https://dl.dropboxusercontent.com/scl/fi/hn9r47959ok92fl34nzuu/graphic-update22022-youth.jpg?rlkey=5s0y6eh369recndbky6wy0dny&amp;dl=0","Click to download SizeChart")</f>
      </c>
      <c r="C2235" s="0" t="inlineStr">
        <is>
          <t>Opal Youth Girls Shirt</t>
        </is>
      </c>
      <c r="D2235" s="0" t="inlineStr">
        <is>
          <t>'124084</t>
        </is>
      </c>
      <c r="E2235" s="0" t="inlineStr">
        <is>
          <t>USD OPAL Y BK 12PK:124084Z-12PK</t>
        </is>
      </c>
      <c r="F2235" s="0" t="inlineStr">
        <is>
          <t>'811124084995</t>
        </is>
      </c>
      <c r="G2235" s="0" t="inlineStr">
        <is>
          <t>YOUTH</t>
        </is>
      </c>
      <c r="H2235" s="0" t="inlineStr">
        <is>
          <t>12 PACK</t>
        </is>
      </c>
      <c r="I2235" s="0">
        <v>288</v>
      </c>
      <c r="J2235" s="0">
        <v>1</v>
      </c>
    </row>
    <row r="2236" spans="1:10" customHeight="0">
      <c r="A2236" s="0">
        <f>HYPERLINK("https://dl.dropboxusercontent.com/scl/fi/q43vmwwiwpu8cstnjhnrt/123965-af.jpg?rlkey=zk1xczjm30x7z0uek4sbjc14n&amp;dl=0","Click to download Image")</f>
      </c>
      <c r="B2236" s="0">
        <f>HYPERLINK("https://dl.dropboxusercontent.com/scl/fi/wyis6ha6yyac4ilz9jed1/graphic-update22022-toddler.jpg?rlkey=go4jlt83qtsk9umkmi4nz2a8a&amp;dl=0","Click to download SizeChart")</f>
      </c>
      <c r="C2236" s="0" t="inlineStr">
        <is>
          <t>Columbia Toddler Sweatshirt</t>
        </is>
      </c>
      <c r="D2236" s="0" t="inlineStr">
        <is>
          <t>'123109</t>
        </is>
      </c>
      <c r="E2236" s="0" t="inlineStr">
        <is>
          <t>UNI COLUMB T BK:123109A-2T</t>
        </is>
      </c>
      <c r="F2236" s="0" t="inlineStr">
        <is>
          <t>'802123109086</t>
        </is>
      </c>
      <c r="G2236" s="0" t="inlineStr">
        <is>
          <t>TODDLER</t>
        </is>
      </c>
      <c r="H2236" s="0" t="inlineStr">
        <is>
          <t>2T</t>
        </is>
      </c>
      <c r="I2236" s="0">
        <v>39.99</v>
      </c>
      <c r="J2236" s="0">
        <v>12</v>
      </c>
    </row>
    <row r="2237" spans="1:10" customHeight="0">
      <c r="A2237" s="0">
        <f>HYPERLINK("https://dl.dropboxusercontent.com/scl/fi/q43vmwwiwpu8cstnjhnrt/123965-af.jpg?rlkey=zk1xczjm30x7z0uek4sbjc14n&amp;dl=0","Click to download Image")</f>
      </c>
      <c r="B2237" s="0">
        <f>HYPERLINK("https://dl.dropboxusercontent.com/scl/fi/wyis6ha6yyac4ilz9jed1/graphic-update22022-toddler.jpg?rlkey=go4jlt83qtsk9umkmi4nz2a8a&amp;dl=0","Click to download SizeChart")</f>
      </c>
      <c r="C2237" s="0" t="inlineStr">
        <is>
          <t>Columbia Toddler Sweatshirt</t>
        </is>
      </c>
      <c r="D2237" s="0" t="inlineStr">
        <is>
          <t>'123109</t>
        </is>
      </c>
      <c r="E2237" s="0" t="inlineStr">
        <is>
          <t>UNI COLUMB T BK:123109B-3T</t>
        </is>
      </c>
      <c r="F2237" s="0" t="inlineStr">
        <is>
          <t>'802123109093</t>
        </is>
      </c>
      <c r="G2237" s="0" t="inlineStr">
        <is>
          <t>TODDLER</t>
        </is>
      </c>
      <c r="H2237" s="0" t="inlineStr">
        <is>
          <t>3T</t>
        </is>
      </c>
      <c r="I2237" s="0">
        <v>39.99</v>
      </c>
      <c r="J2237" s="0">
        <v>12</v>
      </c>
    </row>
    <row r="2238" spans="1:10" customHeight="0">
      <c r="A2238" s="0">
        <f>HYPERLINK("https://dl.dropboxusercontent.com/scl/fi/q43vmwwiwpu8cstnjhnrt/123965-af.jpg?rlkey=zk1xczjm30x7z0uek4sbjc14n&amp;dl=0","Click to download Image")</f>
      </c>
      <c r="B2238" s="0">
        <f>HYPERLINK("https://dl.dropboxusercontent.com/scl/fi/wyis6ha6yyac4ilz9jed1/graphic-update22022-toddler.jpg?rlkey=go4jlt83qtsk9umkmi4nz2a8a&amp;dl=0","Click to download SizeChart")</f>
      </c>
      <c r="C2238" s="0" t="inlineStr">
        <is>
          <t>Columbia Toddler Sweatshirt</t>
        </is>
      </c>
      <c r="D2238" s="0" t="inlineStr">
        <is>
          <t>'123109</t>
        </is>
      </c>
      <c r="E2238" s="0" t="inlineStr">
        <is>
          <t>UNI COLUMB T BK:123109C-4T</t>
        </is>
      </c>
      <c r="F2238" s="0" t="inlineStr">
        <is>
          <t>'802123109109</t>
        </is>
      </c>
      <c r="G2238" s="0" t="inlineStr">
        <is>
          <t>TODDLER</t>
        </is>
      </c>
      <c r="H2238" s="0" t="inlineStr">
        <is>
          <t>4T</t>
        </is>
      </c>
      <c r="I2238" s="0">
        <v>39.99</v>
      </c>
      <c r="J2238" s="0">
        <v>12</v>
      </c>
    </row>
    <row r="2239" spans="1:10" customHeight="0">
      <c r="A2239" s="0">
        <f>HYPERLINK("https://dl.dropboxusercontent.com/scl/fi/q43vmwwiwpu8cstnjhnrt/123965-af.jpg?rlkey=zk1xczjm30x7z0uek4sbjc14n&amp;dl=0","Click to download Image")</f>
      </c>
      <c r="B2239" s="0">
        <f>HYPERLINK("https://dl.dropboxusercontent.com/scl/fi/wyis6ha6yyac4ilz9jed1/graphic-update22022-toddler.jpg?rlkey=go4jlt83qtsk9umkmi4nz2a8a&amp;dl=0","Click to download SizeChart")</f>
      </c>
      <c r="C2239" s="0" t="inlineStr">
        <is>
          <t>Columbia Toddler Sweatshirt</t>
        </is>
      </c>
      <c r="D2239" s="0" t="inlineStr">
        <is>
          <t>'123109</t>
        </is>
      </c>
      <c r="E2239" s="0" t="inlineStr">
        <is>
          <t>UNI COLUMB T BK:123109D-5T</t>
        </is>
      </c>
      <c r="F2239" s="0" t="inlineStr">
        <is>
          <t>'802123109116</t>
        </is>
      </c>
      <c r="G2239" s="0" t="inlineStr">
        <is>
          <t>TODDLER</t>
        </is>
      </c>
      <c r="H2239" s="0" t="inlineStr">
        <is>
          <t>5T</t>
        </is>
      </c>
      <c r="I2239" s="0">
        <v>39.99</v>
      </c>
      <c r="J2239" s="0">
        <v>12</v>
      </c>
    </row>
    <row r="2240" spans="1:10" customHeight="0">
      <c r="A2240" s="0">
        <f>HYPERLINK("https://dl.dropboxusercontent.com/scl/fi/q43vmwwiwpu8cstnjhnrt/123965-af.jpg?rlkey=zk1xczjm30x7z0uek4sbjc14n&amp;dl=0","Click to download Image")</f>
      </c>
      <c r="B2240" s="0">
        <f>HYPERLINK("https://dl.dropboxusercontent.com/scl/fi/wyis6ha6yyac4ilz9jed1/graphic-update22022-toddler.jpg?rlkey=go4jlt83qtsk9umkmi4nz2a8a&amp;dl=0","Click to download SizeChart")</f>
      </c>
      <c r="C2240" s="0" t="inlineStr">
        <is>
          <t>Columbia Toddler Sweatshirt</t>
        </is>
      </c>
      <c r="D2240" s="0" t="inlineStr">
        <is>
          <t>'123109</t>
        </is>
      </c>
      <c r="E2240" s="0" t="inlineStr">
        <is>
          <t>UNI COLUMB T BK 12PK:123109Z-12PK</t>
        </is>
      </c>
      <c r="F2240" s="0" t="inlineStr">
        <is>
          <t>'802123109994</t>
        </is>
      </c>
      <c r="G2240" s="0" t="inlineStr">
        <is>
          <t>TODDLER</t>
        </is>
      </c>
      <c r="H2240" s="0" t="inlineStr">
        <is>
          <t>12 PACK</t>
        </is>
      </c>
      <c r="I2240" s="0">
        <v>390</v>
      </c>
      <c r="J2240" s="0">
        <v>4</v>
      </c>
    </row>
    <row r="2241" spans="1:10" customHeight="0">
      <c r="A2241" s="0">
        <f>HYPERLINK("https://dl.dropboxusercontent.com/scl/fi/8pbq7cspja0k6z4v813kc/109658-black-af.jpg?rlkey=orazqr502mi00iedpuex8orq3&amp;dl=0","Click to download Image")</f>
      </c>
      <c r="B2241" s="0">
        <f>HYPERLINK("https://dl.dropboxusercontent.com/scl/fi/wyis6ha6yyac4ilz9jed1/graphic-update22022-toddler.jpg?rlkey=go4jlt83qtsk9umkmi4nz2a8a&amp;dl=0","Click to download SizeChart")</f>
      </c>
      <c r="C2241" s="0" t="inlineStr">
        <is>
          <t>Columbia Toddler Sweatshirt</t>
        </is>
      </c>
      <c r="D2241" s="0" t="inlineStr">
        <is>
          <t>'123985</t>
        </is>
      </c>
      <c r="E2241" s="0" t="inlineStr">
        <is>
          <t>IOWA COLUMB T ALT:123985A-2T</t>
        </is>
      </c>
      <c r="F2241" s="0" t="inlineStr">
        <is>
          <t>'800123985082</t>
        </is>
      </c>
      <c r="G2241" s="0" t="inlineStr">
        <is>
          <t>TODDLER</t>
        </is>
      </c>
      <c r="H2241" s="0" t="inlineStr">
        <is>
          <t>2T</t>
        </is>
      </c>
      <c r="I2241" s="0">
        <v>39.99</v>
      </c>
      <c r="J2241" s="0">
        <v>19</v>
      </c>
    </row>
    <row r="2242" spans="1:10" customHeight="0">
      <c r="A2242" s="0">
        <f>HYPERLINK("https://dl.dropboxusercontent.com/scl/fi/8pbq7cspja0k6z4v813kc/109658-black-af.jpg?rlkey=orazqr502mi00iedpuex8orq3&amp;dl=0","Click to download Image")</f>
      </c>
      <c r="B2242" s="0">
        <f>HYPERLINK("https://dl.dropboxusercontent.com/scl/fi/wyis6ha6yyac4ilz9jed1/graphic-update22022-toddler.jpg?rlkey=go4jlt83qtsk9umkmi4nz2a8a&amp;dl=0","Click to download SizeChart")</f>
      </c>
      <c r="C2242" s="0" t="inlineStr">
        <is>
          <t>Columbia Toddler Sweatshirt</t>
        </is>
      </c>
      <c r="D2242" s="0" t="inlineStr">
        <is>
          <t>'123985</t>
        </is>
      </c>
      <c r="E2242" s="0" t="inlineStr">
        <is>
          <t>IOWA COLUMB T ALT:123985B-3T</t>
        </is>
      </c>
      <c r="F2242" s="0" t="inlineStr">
        <is>
          <t>'800123985099</t>
        </is>
      </c>
      <c r="G2242" s="0" t="inlineStr">
        <is>
          <t>TODDLER</t>
        </is>
      </c>
      <c r="H2242" s="0" t="inlineStr">
        <is>
          <t>3T</t>
        </is>
      </c>
      <c r="I2242" s="0">
        <v>39.99</v>
      </c>
      <c r="J2242" s="0">
        <v>17</v>
      </c>
    </row>
    <row r="2243" spans="1:10" customHeight="0">
      <c r="A2243" s="0">
        <f>HYPERLINK("https://dl.dropboxusercontent.com/scl/fi/8pbq7cspja0k6z4v813kc/109658-black-af.jpg?rlkey=orazqr502mi00iedpuex8orq3&amp;dl=0","Click to download Image")</f>
      </c>
      <c r="B2243" s="0">
        <f>HYPERLINK("https://dl.dropboxusercontent.com/scl/fi/wyis6ha6yyac4ilz9jed1/graphic-update22022-toddler.jpg?rlkey=go4jlt83qtsk9umkmi4nz2a8a&amp;dl=0","Click to download SizeChart")</f>
      </c>
      <c r="C2243" s="0" t="inlineStr">
        <is>
          <t>Columbia Toddler Sweatshirt</t>
        </is>
      </c>
      <c r="D2243" s="0" t="inlineStr">
        <is>
          <t>'123985</t>
        </is>
      </c>
      <c r="E2243" s="0" t="inlineStr">
        <is>
          <t>IOWA COLUMB T ALT:123985C-4T</t>
        </is>
      </c>
      <c r="F2243" s="0" t="inlineStr">
        <is>
          <t>'800123985105</t>
        </is>
      </c>
      <c r="G2243" s="0" t="inlineStr">
        <is>
          <t>TODDLER</t>
        </is>
      </c>
      <c r="H2243" s="0" t="inlineStr">
        <is>
          <t>4T</t>
        </is>
      </c>
      <c r="I2243" s="0">
        <v>39.99</v>
      </c>
      <c r="J2243" s="0">
        <v>17</v>
      </c>
    </row>
    <row r="2244" spans="1:10" customHeight="0">
      <c r="A2244" s="0">
        <f>HYPERLINK("https://dl.dropboxusercontent.com/scl/fi/8pbq7cspja0k6z4v813kc/109658-black-af.jpg?rlkey=orazqr502mi00iedpuex8orq3&amp;dl=0","Click to download Image")</f>
      </c>
      <c r="B2244" s="0">
        <f>HYPERLINK("https://dl.dropboxusercontent.com/scl/fi/wyis6ha6yyac4ilz9jed1/graphic-update22022-toddler.jpg?rlkey=go4jlt83qtsk9umkmi4nz2a8a&amp;dl=0","Click to download SizeChart")</f>
      </c>
      <c r="C2244" s="0" t="inlineStr">
        <is>
          <t>Columbia Toddler Sweatshirt</t>
        </is>
      </c>
      <c r="D2244" s="0" t="inlineStr">
        <is>
          <t>'123985</t>
        </is>
      </c>
      <c r="E2244" s="0" t="inlineStr">
        <is>
          <t>IOWA COLUMB T ALT:123985D-5T</t>
        </is>
      </c>
      <c r="F2244" s="0" t="inlineStr">
        <is>
          <t>'800123985112</t>
        </is>
      </c>
      <c r="G2244" s="0" t="inlineStr">
        <is>
          <t>TODDLER</t>
        </is>
      </c>
      <c r="H2244" s="0" t="inlineStr">
        <is>
          <t>5T</t>
        </is>
      </c>
      <c r="I2244" s="0">
        <v>39.99</v>
      </c>
      <c r="J2244" s="0">
        <v>17</v>
      </c>
    </row>
    <row r="2245" spans="1:10" customHeight="0">
      <c r="A2245" s="0">
        <f>HYPERLINK("https://dl.dropboxusercontent.com/scl/fi/8pbq7cspja0k6z4v813kc/109658-black-af.jpg?rlkey=orazqr502mi00iedpuex8orq3&amp;dl=0","Click to download Image")</f>
      </c>
      <c r="B2245" s="0">
        <f>HYPERLINK("https://dl.dropboxusercontent.com/scl/fi/wyis6ha6yyac4ilz9jed1/graphic-update22022-toddler.jpg?rlkey=go4jlt83qtsk9umkmi4nz2a8a&amp;dl=0","Click to download SizeChart")</f>
      </c>
      <c r="C2245" s="0" t="inlineStr">
        <is>
          <t>Columbia Toddler Sweatshirt</t>
        </is>
      </c>
      <c r="D2245" s="0" t="inlineStr">
        <is>
          <t>'123985</t>
        </is>
      </c>
      <c r="E2245" s="0" t="inlineStr">
        <is>
          <t>IOWA COLUMB T ALT 12PK:123985Z-12PK</t>
        </is>
      </c>
      <c r="F2245" s="0" t="inlineStr">
        <is>
          <t>'800123985990</t>
        </is>
      </c>
      <c r="G2245" s="0" t="inlineStr">
        <is>
          <t>TODDLER</t>
        </is>
      </c>
      <c r="H2245" s="0" t="inlineStr">
        <is>
          <t>12 PACK</t>
        </is>
      </c>
      <c r="I2245" s="0">
        <v>390</v>
      </c>
      <c r="J2245" s="0">
        <v>0</v>
      </c>
    </row>
    <row r="2246" spans="1:10" customHeight="0">
      <c r="A2246" s="0">
        <f>HYPERLINK("https://dl.dropboxusercontent.com/scl/fi/t8d66zqaq0l4vpub2aoc3/123111-af.jpg?rlkey=01bj3ho78ldp89qnass9ffime&amp;dl=0","Click to download Image")</f>
      </c>
      <c r="B2246" s="0">
        <f>HYPERLINK("https://dl.dropboxusercontent.com/scl/fi/7a80etxmbtwccz1mddheo/graphic-update22022-youth.jpg?rlkey=0kjwvvn0a1ntoy6fnm532mrur&amp;dl=0","Click to download SizeChart")</f>
      </c>
      <c r="C2246" s="0" t="inlineStr">
        <is>
          <t>Columbia Youth Sweatshirt</t>
        </is>
      </c>
      <c r="D2246" s="0" t="inlineStr">
        <is>
          <t>'123111</t>
        </is>
      </c>
      <c r="E2246" s="0" t="inlineStr">
        <is>
          <t>UNI COLUMB Y BK:123111B-YS</t>
        </is>
      </c>
      <c r="F2246" s="0" t="inlineStr">
        <is>
          <t>'802123111010</t>
        </is>
      </c>
      <c r="G2246" s="0" t="inlineStr">
        <is>
          <t>YOUTH</t>
        </is>
      </c>
      <c r="H2246" s="0" t="inlineStr">
        <is>
          <t>YS</t>
        </is>
      </c>
      <c r="I2246" s="0">
        <v>39.99</v>
      </c>
      <c r="J2246" s="0">
        <v>10</v>
      </c>
    </row>
    <row r="2247" spans="1:10" customHeight="0">
      <c r="A2247" s="0">
        <f>HYPERLINK("https://dl.dropboxusercontent.com/scl/fi/t8d66zqaq0l4vpub2aoc3/123111-af.jpg?rlkey=01bj3ho78ldp89qnass9ffime&amp;dl=0","Click to download Image")</f>
      </c>
      <c r="B2247" s="0">
        <f>HYPERLINK("https://dl.dropboxusercontent.com/scl/fi/7a80etxmbtwccz1mddheo/graphic-update22022-youth.jpg?rlkey=0kjwvvn0a1ntoy6fnm532mrur&amp;dl=0","Click to download SizeChart")</f>
      </c>
      <c r="C2247" s="0" t="inlineStr">
        <is>
          <t>Columbia Youth Sweatshirt</t>
        </is>
      </c>
      <c r="D2247" s="0" t="inlineStr">
        <is>
          <t>'123111</t>
        </is>
      </c>
      <c r="E2247" s="0" t="inlineStr">
        <is>
          <t>UNI COLUMB Y BK:123111C-YM</t>
        </is>
      </c>
      <c r="F2247" s="0" t="inlineStr">
        <is>
          <t>'802123111027</t>
        </is>
      </c>
      <c r="G2247" s="0" t="inlineStr">
        <is>
          <t>YOUTH</t>
        </is>
      </c>
      <c r="H2247" s="0" t="inlineStr">
        <is>
          <t>YM</t>
        </is>
      </c>
      <c r="I2247" s="0">
        <v>39.99</v>
      </c>
      <c r="J2247" s="0">
        <v>11</v>
      </c>
    </row>
    <row r="2248" spans="1:10" customHeight="0">
      <c r="A2248" s="0">
        <f>HYPERLINK("https://dl.dropboxusercontent.com/scl/fi/t8d66zqaq0l4vpub2aoc3/123111-af.jpg?rlkey=01bj3ho78ldp89qnass9ffime&amp;dl=0","Click to download Image")</f>
      </c>
      <c r="B2248" s="0">
        <f>HYPERLINK("https://dl.dropboxusercontent.com/scl/fi/7a80etxmbtwccz1mddheo/graphic-update22022-youth.jpg?rlkey=0kjwvvn0a1ntoy6fnm532mrur&amp;dl=0","Click to download SizeChart")</f>
      </c>
      <c r="C2248" s="0" t="inlineStr">
        <is>
          <t>Columbia Youth Sweatshirt</t>
        </is>
      </c>
      <c r="D2248" s="0" t="inlineStr">
        <is>
          <t>'123111</t>
        </is>
      </c>
      <c r="E2248" s="0" t="inlineStr">
        <is>
          <t>UNI COLUMB Y BK:123111D-YL</t>
        </is>
      </c>
      <c r="F2248" s="0" t="inlineStr">
        <is>
          <t>'802123111034</t>
        </is>
      </c>
      <c r="G2248" s="0" t="inlineStr">
        <is>
          <t>YOUTH</t>
        </is>
      </c>
      <c r="H2248" s="0" t="inlineStr">
        <is>
          <t>YL</t>
        </is>
      </c>
      <c r="I2248" s="0">
        <v>39.99</v>
      </c>
      <c r="J2248" s="0">
        <v>11</v>
      </c>
    </row>
    <row r="2249" spans="1:10" customHeight="0">
      <c r="A2249" s="0">
        <f>HYPERLINK("https://dl.dropboxusercontent.com/scl/fi/t8d66zqaq0l4vpub2aoc3/123111-af.jpg?rlkey=01bj3ho78ldp89qnass9ffime&amp;dl=0","Click to download Image")</f>
      </c>
      <c r="B2249" s="0">
        <f>HYPERLINK("https://dl.dropboxusercontent.com/scl/fi/7a80etxmbtwccz1mddheo/graphic-update22022-youth.jpg?rlkey=0kjwvvn0a1ntoy6fnm532mrur&amp;dl=0","Click to download SizeChart")</f>
      </c>
      <c r="C2249" s="0" t="inlineStr">
        <is>
          <t>Columbia Youth Sweatshirt</t>
        </is>
      </c>
      <c r="D2249" s="0" t="inlineStr">
        <is>
          <t>'123111</t>
        </is>
      </c>
      <c r="E2249" s="0" t="inlineStr">
        <is>
          <t>UNI COLUMB Y BK:123111E-YXL</t>
        </is>
      </c>
      <c r="F2249" s="0" t="inlineStr">
        <is>
          <t>'802123111041</t>
        </is>
      </c>
      <c r="G2249" s="0" t="inlineStr">
        <is>
          <t>YOUTH</t>
        </is>
      </c>
      <c r="H2249" s="0" t="inlineStr">
        <is>
          <t>YXL</t>
        </is>
      </c>
      <c r="I2249" s="0">
        <v>39.99</v>
      </c>
      <c r="J2249" s="0">
        <v>11</v>
      </c>
    </row>
    <row r="2250" spans="1:10" customHeight="0">
      <c r="A2250" s="0">
        <f>HYPERLINK("https://dl.dropboxusercontent.com/scl/fi/t8d66zqaq0l4vpub2aoc3/123111-af.jpg?rlkey=01bj3ho78ldp89qnass9ffime&amp;dl=0","Click to download Image")</f>
      </c>
      <c r="B2250" s="0">
        <f>HYPERLINK("https://dl.dropboxusercontent.com/scl/fi/7a80etxmbtwccz1mddheo/graphic-update22022-youth.jpg?rlkey=0kjwvvn0a1ntoy6fnm532mrur&amp;dl=0","Click to download SizeChart")</f>
      </c>
      <c r="C2250" s="0" t="inlineStr">
        <is>
          <t>Columbia Youth Sweatshirt</t>
        </is>
      </c>
      <c r="D2250" s="0" t="inlineStr">
        <is>
          <t>'123111</t>
        </is>
      </c>
      <c r="E2250" s="0" t="inlineStr">
        <is>
          <t>UNI COLUMB Y BK 12PK:123111Z-12PK</t>
        </is>
      </c>
      <c r="F2250" s="0" t="inlineStr">
        <is>
          <t>'802123111997</t>
        </is>
      </c>
      <c r="G2250" s="0" t="inlineStr">
        <is>
          <t>YOUTH</t>
        </is>
      </c>
      <c r="H2250" s="0" t="inlineStr">
        <is>
          <t>12 PACK</t>
        </is>
      </c>
      <c r="I2250" s="0">
        <v>390</v>
      </c>
      <c r="J2250" s="0">
        <v>3</v>
      </c>
    </row>
    <row r="2251" spans="1:10" customHeight="0">
      <c r="A2251" s="0">
        <f>HYPERLINK("https://dl.dropboxusercontent.com/scl/fi/tcxr76qsfu1gqq7nphos2/123733-af.jpg?rlkey=lsi3cc4n4n7f716ofaa30yz42&amp;dl=0","Click to download Image")</f>
      </c>
      <c r="B2251" s="0">
        <f>HYPERLINK("https://dl.dropboxusercontent.com/scl/fi/7a80etxmbtwccz1mddheo/graphic-update22022-youth.jpg?rlkey=0kjwvvn0a1ntoy6fnm532mrur&amp;dl=0","Click to download SizeChart")</f>
      </c>
      <c r="C2251" s="0" t="inlineStr">
        <is>
          <t>Columbia Youth Sweatshirt</t>
        </is>
      </c>
      <c r="D2251" s="0" t="inlineStr">
        <is>
          <t>'123733</t>
        </is>
      </c>
      <c r="E2251" s="0" t="inlineStr">
        <is>
          <t>USD COLUMB Y BK:123733B-YS</t>
        </is>
      </c>
      <c r="F2251" s="0" t="inlineStr">
        <is>
          <t>'811123733016</t>
        </is>
      </c>
      <c r="G2251" s="0" t="inlineStr">
        <is>
          <t>YOUTH</t>
        </is>
      </c>
      <c r="H2251" s="0" t="inlineStr">
        <is>
          <t>YS</t>
        </is>
      </c>
      <c r="I2251" s="0">
        <v>39.99</v>
      </c>
      <c r="J2251" s="0">
        <v>4</v>
      </c>
    </row>
    <row r="2252" spans="1:10" customHeight="0">
      <c r="A2252" s="0">
        <f>HYPERLINK("https://dl.dropboxusercontent.com/scl/fi/tcxr76qsfu1gqq7nphos2/123733-af.jpg?rlkey=lsi3cc4n4n7f716ofaa30yz42&amp;dl=0","Click to download Image")</f>
      </c>
      <c r="B2252" s="0">
        <f>HYPERLINK("https://dl.dropboxusercontent.com/scl/fi/7a80etxmbtwccz1mddheo/graphic-update22022-youth.jpg?rlkey=0kjwvvn0a1ntoy6fnm532mrur&amp;dl=0","Click to download SizeChart")</f>
      </c>
      <c r="C2252" s="0" t="inlineStr">
        <is>
          <t>Columbia Youth Sweatshirt</t>
        </is>
      </c>
      <c r="D2252" s="0" t="inlineStr">
        <is>
          <t>'123733</t>
        </is>
      </c>
      <c r="E2252" s="0" t="inlineStr">
        <is>
          <t>USD COLUMB Y BK:123733C-YM</t>
        </is>
      </c>
      <c r="F2252" s="0" t="inlineStr">
        <is>
          <t>'811123733023</t>
        </is>
      </c>
      <c r="G2252" s="0" t="inlineStr">
        <is>
          <t>YOUTH</t>
        </is>
      </c>
      <c r="H2252" s="0" t="inlineStr">
        <is>
          <t>YM</t>
        </is>
      </c>
      <c r="I2252" s="0">
        <v>39.99</v>
      </c>
      <c r="J2252" s="0">
        <v>2</v>
      </c>
    </row>
    <row r="2253" spans="1:10" customHeight="0">
      <c r="A2253" s="0">
        <f>HYPERLINK("https://dl.dropboxusercontent.com/scl/fi/tcxr76qsfu1gqq7nphos2/123733-af.jpg?rlkey=lsi3cc4n4n7f716ofaa30yz42&amp;dl=0","Click to download Image")</f>
      </c>
      <c r="B2253" s="0">
        <f>HYPERLINK("https://dl.dropboxusercontent.com/scl/fi/7a80etxmbtwccz1mddheo/graphic-update22022-youth.jpg?rlkey=0kjwvvn0a1ntoy6fnm532mrur&amp;dl=0","Click to download SizeChart")</f>
      </c>
      <c r="C2253" s="0" t="inlineStr">
        <is>
          <t>Columbia Youth Sweatshirt</t>
        </is>
      </c>
      <c r="D2253" s="0" t="inlineStr">
        <is>
          <t>'123733</t>
        </is>
      </c>
      <c r="E2253" s="0" t="inlineStr">
        <is>
          <t>USD COLUMB Y BK:123733D-YL</t>
        </is>
      </c>
      <c r="F2253" s="0" t="inlineStr">
        <is>
          <t>'811123733030</t>
        </is>
      </c>
      <c r="G2253" s="0" t="inlineStr">
        <is>
          <t>YOUTH</t>
        </is>
      </c>
      <c r="H2253" s="0" t="inlineStr">
        <is>
          <t>YL</t>
        </is>
      </c>
      <c r="I2253" s="0">
        <v>39.99</v>
      </c>
      <c r="J2253" s="0">
        <v>2</v>
      </c>
    </row>
    <row r="2254" spans="1:10" customHeight="0">
      <c r="A2254" s="0">
        <f>HYPERLINK("https://dl.dropboxusercontent.com/scl/fi/tcxr76qsfu1gqq7nphos2/123733-af.jpg?rlkey=lsi3cc4n4n7f716ofaa30yz42&amp;dl=0","Click to download Image")</f>
      </c>
      <c r="B2254" s="0">
        <f>HYPERLINK("https://dl.dropboxusercontent.com/scl/fi/7a80etxmbtwccz1mddheo/graphic-update22022-youth.jpg?rlkey=0kjwvvn0a1ntoy6fnm532mrur&amp;dl=0","Click to download SizeChart")</f>
      </c>
      <c r="C2254" s="0" t="inlineStr">
        <is>
          <t>Columbia Youth Sweatshirt</t>
        </is>
      </c>
      <c r="D2254" s="0" t="inlineStr">
        <is>
          <t>'123733</t>
        </is>
      </c>
      <c r="E2254" s="0" t="inlineStr">
        <is>
          <t>USD COLUMB Y BK:123733E-YXL</t>
        </is>
      </c>
      <c r="F2254" s="0" t="inlineStr">
        <is>
          <t>'811123733047</t>
        </is>
      </c>
      <c r="G2254" s="0" t="inlineStr">
        <is>
          <t>YOUTH</t>
        </is>
      </c>
      <c r="H2254" s="0" t="inlineStr">
        <is>
          <t>YXL</t>
        </is>
      </c>
      <c r="I2254" s="0">
        <v>39.99</v>
      </c>
      <c r="J2254" s="0">
        <v>3</v>
      </c>
    </row>
    <row r="2255" spans="1:10" customHeight="0">
      <c r="A2255" s="0">
        <f>HYPERLINK("https://dl.dropboxusercontent.com/scl/fi/tcxr76qsfu1gqq7nphos2/123733-af.jpg?rlkey=lsi3cc4n4n7f716ofaa30yz42&amp;dl=0","Click to download Image")</f>
      </c>
      <c r="B2255" s="0">
        <f>HYPERLINK("https://dl.dropboxusercontent.com/scl/fi/7a80etxmbtwccz1mddheo/graphic-update22022-youth.jpg?rlkey=0kjwvvn0a1ntoy6fnm532mrur&amp;dl=0","Click to download SizeChart")</f>
      </c>
      <c r="C2255" s="0" t="inlineStr">
        <is>
          <t>Columbia Youth Sweatshirt</t>
        </is>
      </c>
      <c r="D2255" s="0" t="inlineStr">
        <is>
          <t>'123733</t>
        </is>
      </c>
      <c r="E2255" s="0" t="inlineStr">
        <is>
          <t>USD COLUMB Y BK 12PK:123733Z-12PK</t>
        </is>
      </c>
      <c r="F2255" s="0" t="inlineStr">
        <is>
          <t>'811123733993</t>
        </is>
      </c>
      <c r="G2255" s="0" t="inlineStr">
        <is>
          <t>YOUTH</t>
        </is>
      </c>
      <c r="H2255" s="0" t="inlineStr">
        <is>
          <t>12 PACK</t>
        </is>
      </c>
      <c r="I2255" s="0">
        <v>390</v>
      </c>
      <c r="J2255" s="0">
        <v>0</v>
      </c>
    </row>
    <row r="2256" spans="1:10" customHeight="0">
      <c r="A2256" s="0">
        <f>HYPERLINK("https://dl.dropboxusercontent.com/scl/fi/gx94xwala69f8u1oq5cju/123758-af.jpg?rlkey=a4so7z4xl8ifbtp9inikrthvf&amp;dl=0","Click to download Image")</f>
      </c>
      <c r="B2256" s="0">
        <f>HYPERLINK("https://dl.dropboxusercontent.com/scl/fi/7a80etxmbtwccz1mddheo/graphic-update22022-youth.jpg?rlkey=0kjwvvn0a1ntoy6fnm532mrur&amp;dl=0","Click to download SizeChart")</f>
      </c>
      <c r="C2256" s="0" t="inlineStr">
        <is>
          <t>Columbia Youth Sweatshirt</t>
        </is>
      </c>
      <c r="D2256" s="0" t="inlineStr">
        <is>
          <t>'123758</t>
        </is>
      </c>
      <c r="E2256" s="0" t="inlineStr">
        <is>
          <t>NDSU COLUMB Y BK:123758B-YS</t>
        </is>
      </c>
      <c r="F2256" s="0" t="inlineStr">
        <is>
          <t>'813123758013</t>
        </is>
      </c>
      <c r="G2256" s="0" t="inlineStr">
        <is>
          <t>YOUTH</t>
        </is>
      </c>
      <c r="H2256" s="0" t="inlineStr">
        <is>
          <t>YS</t>
        </is>
      </c>
      <c r="I2256" s="0">
        <v>39.99</v>
      </c>
      <c r="J2256" s="0">
        <v>11</v>
      </c>
    </row>
    <row r="2257" spans="1:10" customHeight="0">
      <c r="A2257" s="0">
        <f>HYPERLINK("https://dl.dropboxusercontent.com/scl/fi/gx94xwala69f8u1oq5cju/123758-af.jpg?rlkey=a4so7z4xl8ifbtp9inikrthvf&amp;dl=0","Click to download Image")</f>
      </c>
      <c r="B2257" s="0">
        <f>HYPERLINK("https://dl.dropboxusercontent.com/scl/fi/7a80etxmbtwccz1mddheo/graphic-update22022-youth.jpg?rlkey=0kjwvvn0a1ntoy6fnm532mrur&amp;dl=0","Click to download SizeChart")</f>
      </c>
      <c r="C2257" s="0" t="inlineStr">
        <is>
          <t>Columbia Youth Sweatshirt</t>
        </is>
      </c>
      <c r="D2257" s="0" t="inlineStr">
        <is>
          <t>'123758</t>
        </is>
      </c>
      <c r="E2257" s="0" t="inlineStr">
        <is>
          <t>NDSU COLUMB Y BK:123758C-YM</t>
        </is>
      </c>
      <c r="F2257" s="0" t="inlineStr">
        <is>
          <t>'813123758020</t>
        </is>
      </c>
      <c r="G2257" s="0" t="inlineStr">
        <is>
          <t>YOUTH</t>
        </is>
      </c>
      <c r="H2257" s="0" t="inlineStr">
        <is>
          <t>YM</t>
        </is>
      </c>
      <c r="I2257" s="0">
        <v>39.99</v>
      </c>
      <c r="J2257" s="0">
        <v>9</v>
      </c>
    </row>
    <row r="2258" spans="1:10" customHeight="0">
      <c r="A2258" s="0">
        <f>HYPERLINK("https://dl.dropboxusercontent.com/scl/fi/gx94xwala69f8u1oq5cju/123758-af.jpg?rlkey=a4so7z4xl8ifbtp9inikrthvf&amp;dl=0","Click to download Image")</f>
      </c>
      <c r="B2258" s="0">
        <f>HYPERLINK("https://dl.dropboxusercontent.com/scl/fi/7a80etxmbtwccz1mddheo/graphic-update22022-youth.jpg?rlkey=0kjwvvn0a1ntoy6fnm532mrur&amp;dl=0","Click to download SizeChart")</f>
      </c>
      <c r="C2258" s="0" t="inlineStr">
        <is>
          <t>Columbia Youth Sweatshirt</t>
        </is>
      </c>
      <c r="D2258" s="0" t="inlineStr">
        <is>
          <t>'123758</t>
        </is>
      </c>
      <c r="E2258" s="0" t="inlineStr">
        <is>
          <t>NDSU COLUMB Y BK:123758D-YL</t>
        </is>
      </c>
      <c r="F2258" s="0" t="inlineStr">
        <is>
          <t>'813123758037</t>
        </is>
      </c>
      <c r="G2258" s="0" t="inlineStr">
        <is>
          <t>YOUTH</t>
        </is>
      </c>
      <c r="H2258" s="0" t="inlineStr">
        <is>
          <t>YL</t>
        </is>
      </c>
      <c r="I2258" s="0">
        <v>39.99</v>
      </c>
      <c r="J2258" s="0">
        <v>5</v>
      </c>
    </row>
    <row r="2259" spans="1:10" customHeight="0">
      <c r="A2259" s="0">
        <f>HYPERLINK("https://dl.dropboxusercontent.com/scl/fi/gx94xwala69f8u1oq5cju/123758-af.jpg?rlkey=a4so7z4xl8ifbtp9inikrthvf&amp;dl=0","Click to download Image")</f>
      </c>
      <c r="B2259" s="0">
        <f>HYPERLINK("https://dl.dropboxusercontent.com/scl/fi/7a80etxmbtwccz1mddheo/graphic-update22022-youth.jpg?rlkey=0kjwvvn0a1ntoy6fnm532mrur&amp;dl=0","Click to download SizeChart")</f>
      </c>
      <c r="C2259" s="0" t="inlineStr">
        <is>
          <t>Columbia Youth Sweatshirt</t>
        </is>
      </c>
      <c r="D2259" s="0" t="inlineStr">
        <is>
          <t>'123758</t>
        </is>
      </c>
      <c r="E2259" s="0" t="inlineStr">
        <is>
          <t>NDSU COLUMB Y BK:123758E-YXL</t>
        </is>
      </c>
      <c r="F2259" s="0" t="inlineStr">
        <is>
          <t>'813123758044</t>
        </is>
      </c>
      <c r="G2259" s="0" t="inlineStr">
        <is>
          <t>YOUTH</t>
        </is>
      </c>
      <c r="H2259" s="0" t="inlineStr">
        <is>
          <t>YXL</t>
        </is>
      </c>
      <c r="I2259" s="0">
        <v>39.99</v>
      </c>
      <c r="J2259" s="0">
        <v>8</v>
      </c>
    </row>
    <row r="2260" spans="1:10" customHeight="0">
      <c r="A2260" s="0">
        <f>HYPERLINK("https://dl.dropboxusercontent.com/scl/fi/gx94xwala69f8u1oq5cju/123758-af.jpg?rlkey=a4so7z4xl8ifbtp9inikrthvf&amp;dl=0","Click to download Image")</f>
      </c>
      <c r="B2260" s="0">
        <f>HYPERLINK("https://dl.dropboxusercontent.com/scl/fi/7a80etxmbtwccz1mddheo/graphic-update22022-youth.jpg?rlkey=0kjwvvn0a1ntoy6fnm532mrur&amp;dl=0","Click to download SizeChart")</f>
      </c>
      <c r="C2260" s="0" t="inlineStr">
        <is>
          <t>Columbia Youth Sweatshirt</t>
        </is>
      </c>
      <c r="D2260" s="0" t="inlineStr">
        <is>
          <t>'123758</t>
        </is>
      </c>
      <c r="E2260" s="0" t="inlineStr">
        <is>
          <t>NDSU COLUMB Y BK 12PK:123758Z-12PK</t>
        </is>
      </c>
      <c r="F2260" s="0" t="inlineStr">
        <is>
          <t>'813123758990</t>
        </is>
      </c>
      <c r="G2260" s="0" t="inlineStr">
        <is>
          <t>YOUTH</t>
        </is>
      </c>
      <c r="H2260" s="0" t="inlineStr">
        <is>
          <t>12 PACK</t>
        </is>
      </c>
      <c r="I2260" s="0">
        <v>390</v>
      </c>
      <c r="J2260" s="0">
        <v>1</v>
      </c>
    </row>
    <row r="2261" spans="1:10" customHeight="0">
      <c r="A2261" s="0">
        <f>HYPERLINK("https://dl.dropboxusercontent.com/scl/fi/41szuu2ad5d54g9ja7l48/123966-af.jpg?rlkey=tr04woe5xo1r3gd7li2ktacmi&amp;dl=0","Click to download Image")</f>
      </c>
      <c r="B2261" s="0">
        <f>HYPERLINK("https://dl.dropboxusercontent.com/scl/fi/7a80etxmbtwccz1mddheo/graphic-update22022-youth.jpg?rlkey=0kjwvvn0a1ntoy6fnm532mrur&amp;dl=0","Click to download SizeChart")</f>
      </c>
      <c r="C2261" s="0" t="inlineStr">
        <is>
          <t>Columbia Youth Sweatshirt</t>
        </is>
      </c>
      <c r="D2261" s="0" t="inlineStr">
        <is>
          <t>'123966</t>
        </is>
      </c>
      <c r="E2261" s="0" t="inlineStr">
        <is>
          <t>ISU COLUMB Y ALT:123966B-YS</t>
        </is>
      </c>
      <c r="F2261" s="0" t="inlineStr">
        <is>
          <t>'801123966019</t>
        </is>
      </c>
      <c r="G2261" s="0" t="inlineStr">
        <is>
          <t>YOUTH</t>
        </is>
      </c>
      <c r="H2261" s="0" t="inlineStr">
        <is>
          <t>YS</t>
        </is>
      </c>
      <c r="I2261" s="0">
        <v>39.99</v>
      </c>
      <c r="J2261" s="0">
        <v>0</v>
      </c>
    </row>
    <row r="2262" spans="1:10" customHeight="0">
      <c r="A2262" s="0">
        <f>HYPERLINK("https://dl.dropboxusercontent.com/scl/fi/41szuu2ad5d54g9ja7l48/123966-af.jpg?rlkey=tr04woe5xo1r3gd7li2ktacmi&amp;dl=0","Click to download Image")</f>
      </c>
      <c r="B2262" s="0">
        <f>HYPERLINK("https://dl.dropboxusercontent.com/scl/fi/7a80etxmbtwccz1mddheo/graphic-update22022-youth.jpg?rlkey=0kjwvvn0a1ntoy6fnm532mrur&amp;dl=0","Click to download SizeChart")</f>
      </c>
      <c r="C2262" s="0" t="inlineStr">
        <is>
          <t>Columbia Youth Sweatshirt</t>
        </is>
      </c>
      <c r="D2262" s="0" t="inlineStr">
        <is>
          <t>'123966</t>
        </is>
      </c>
      <c r="E2262" s="0" t="inlineStr">
        <is>
          <t>ISU COLUMB Y ALT:123966C-YM</t>
        </is>
      </c>
      <c r="F2262" s="0" t="inlineStr">
        <is>
          <t>'801123966026</t>
        </is>
      </c>
      <c r="G2262" s="0" t="inlineStr">
        <is>
          <t>YOUTH</t>
        </is>
      </c>
      <c r="H2262" s="0" t="inlineStr">
        <is>
          <t>YM</t>
        </is>
      </c>
      <c r="I2262" s="0">
        <v>39.99</v>
      </c>
      <c r="J2262" s="0">
        <v>0</v>
      </c>
    </row>
    <row r="2263" spans="1:10" customHeight="0">
      <c r="A2263" s="0">
        <f>HYPERLINK("https://dl.dropboxusercontent.com/scl/fi/41szuu2ad5d54g9ja7l48/123966-af.jpg?rlkey=tr04woe5xo1r3gd7li2ktacmi&amp;dl=0","Click to download Image")</f>
      </c>
      <c r="B2263" s="0">
        <f>HYPERLINK("https://dl.dropboxusercontent.com/scl/fi/7a80etxmbtwccz1mddheo/graphic-update22022-youth.jpg?rlkey=0kjwvvn0a1ntoy6fnm532mrur&amp;dl=0","Click to download SizeChart")</f>
      </c>
      <c r="C2263" s="0" t="inlineStr">
        <is>
          <t>Columbia Youth Sweatshirt</t>
        </is>
      </c>
      <c r="D2263" s="0" t="inlineStr">
        <is>
          <t>'123966</t>
        </is>
      </c>
      <c r="E2263" s="0" t="inlineStr">
        <is>
          <t>ISU COLUMB Y ALT:123966D-YL</t>
        </is>
      </c>
      <c r="F2263" s="0" t="inlineStr">
        <is>
          <t>'801123966033</t>
        </is>
      </c>
      <c r="G2263" s="0" t="inlineStr">
        <is>
          <t>YOUTH</t>
        </is>
      </c>
      <c r="H2263" s="0" t="inlineStr">
        <is>
          <t>YL</t>
        </is>
      </c>
      <c r="I2263" s="0">
        <v>39.99</v>
      </c>
      <c r="J2263" s="0">
        <v>0</v>
      </c>
    </row>
    <row r="2264" spans="1:10" customHeight="0">
      <c r="A2264" s="0">
        <f>HYPERLINK("https://dl.dropboxusercontent.com/scl/fi/41szuu2ad5d54g9ja7l48/123966-af.jpg?rlkey=tr04woe5xo1r3gd7li2ktacmi&amp;dl=0","Click to download Image")</f>
      </c>
      <c r="B2264" s="0">
        <f>HYPERLINK("https://dl.dropboxusercontent.com/scl/fi/7a80etxmbtwccz1mddheo/graphic-update22022-youth.jpg?rlkey=0kjwvvn0a1ntoy6fnm532mrur&amp;dl=0","Click to download SizeChart")</f>
      </c>
      <c r="C2264" s="0" t="inlineStr">
        <is>
          <t>Columbia Youth Sweatshirt</t>
        </is>
      </c>
      <c r="D2264" s="0" t="inlineStr">
        <is>
          <t>'123966</t>
        </is>
      </c>
      <c r="E2264" s="0" t="inlineStr">
        <is>
          <t>ISU COLUMB Y ALT:123966E-YXL</t>
        </is>
      </c>
      <c r="F2264" s="0" t="inlineStr">
        <is>
          <t>'801123966040</t>
        </is>
      </c>
      <c r="G2264" s="0" t="inlineStr">
        <is>
          <t>YOUTH</t>
        </is>
      </c>
      <c r="H2264" s="0" t="inlineStr">
        <is>
          <t>YXL</t>
        </is>
      </c>
      <c r="I2264" s="0">
        <v>39.99</v>
      </c>
      <c r="J2264" s="0">
        <v>1</v>
      </c>
    </row>
    <row r="2265" spans="1:10" customHeight="0">
      <c r="A2265" s="0">
        <f>HYPERLINK("https://dl.dropboxusercontent.com/scl/fi/41szuu2ad5d54g9ja7l48/123966-af.jpg?rlkey=tr04woe5xo1r3gd7li2ktacmi&amp;dl=0","Click to download Image")</f>
      </c>
      <c r="B2265" s="0">
        <f>HYPERLINK("https://dl.dropboxusercontent.com/scl/fi/7a80etxmbtwccz1mddheo/graphic-update22022-youth.jpg?rlkey=0kjwvvn0a1ntoy6fnm532mrur&amp;dl=0","Click to download SizeChart")</f>
      </c>
      <c r="C2265" s="0" t="inlineStr">
        <is>
          <t>Columbia Youth Sweatshirt</t>
        </is>
      </c>
      <c r="D2265" s="0" t="inlineStr">
        <is>
          <t>'123966</t>
        </is>
      </c>
      <c r="E2265" s="0" t="inlineStr">
        <is>
          <t>ISU COLUMB Y ALT 12PK:123966Z-12PK</t>
        </is>
      </c>
      <c r="F2265" s="0" t="inlineStr">
        <is>
          <t>'801123966996</t>
        </is>
      </c>
      <c r="G2265" s="0" t="inlineStr">
        <is>
          <t>YOUTH</t>
        </is>
      </c>
      <c r="H2265" s="0" t="inlineStr">
        <is>
          <t>12 PACK</t>
        </is>
      </c>
      <c r="I2265" s="0">
        <v>390</v>
      </c>
      <c r="J2265" s="0">
        <v>0</v>
      </c>
    </row>
    <row r="2266" spans="1:10" customHeight="0">
      <c r="A2266" s="0">
        <f>HYPERLINK("https://dl.dropboxusercontent.com/scl/fi/0b0yg7c6nts7kvp6fgeyp/123965-af.png?rlkey=azi7mf4k24z72zfn4yqp08yre&amp;dl=0","Click to download Image")</f>
      </c>
      <c r="B2266" s="0">
        <f>HYPERLINK("https://dl.dropboxusercontent.com/scl/fi/7a80etxmbtwccz1mddheo/graphic-update22022-youth.jpg?rlkey=0kjwvvn0a1ntoy6fnm532mrur&amp;dl=0","Click to download SizeChart")</f>
      </c>
      <c r="C2266" s="0" t="inlineStr">
        <is>
          <t>Columbia Youth Sweatshirt</t>
        </is>
      </c>
      <c r="D2266" s="0" t="inlineStr">
        <is>
          <t>'123965</t>
        </is>
      </c>
      <c r="E2266" s="0" t="inlineStr">
        <is>
          <t>IOWA COLUMB Y ALT:123965B-YS</t>
        </is>
      </c>
      <c r="F2266" s="0" t="inlineStr">
        <is>
          <t>'800123965015</t>
        </is>
      </c>
      <c r="G2266" s="0" t="inlineStr">
        <is>
          <t>YOUTH</t>
        </is>
      </c>
      <c r="H2266" s="0" t="inlineStr">
        <is>
          <t>YS</t>
        </is>
      </c>
      <c r="I2266" s="0">
        <v>39.99</v>
      </c>
      <c r="J2266" s="0">
        <v>2</v>
      </c>
    </row>
    <row r="2267" spans="1:10" customHeight="0">
      <c r="A2267" s="0">
        <f>HYPERLINK("https://dl.dropboxusercontent.com/scl/fi/0b0yg7c6nts7kvp6fgeyp/123965-af.png?rlkey=azi7mf4k24z72zfn4yqp08yre&amp;dl=0","Click to download Image")</f>
      </c>
      <c r="B2267" s="0">
        <f>HYPERLINK("https://dl.dropboxusercontent.com/scl/fi/7a80etxmbtwccz1mddheo/graphic-update22022-youth.jpg?rlkey=0kjwvvn0a1ntoy6fnm532mrur&amp;dl=0","Click to download SizeChart")</f>
      </c>
      <c r="C2267" s="0" t="inlineStr">
        <is>
          <t>Columbia Youth Sweatshirt</t>
        </is>
      </c>
      <c r="D2267" s="0" t="inlineStr">
        <is>
          <t>'123965</t>
        </is>
      </c>
      <c r="E2267" s="0" t="inlineStr">
        <is>
          <t>IOWA COLUMB Y ALT:123965C-YM</t>
        </is>
      </c>
      <c r="F2267" s="0" t="inlineStr">
        <is>
          <t>'800123965022</t>
        </is>
      </c>
      <c r="G2267" s="0" t="inlineStr">
        <is>
          <t>YOUTH</t>
        </is>
      </c>
      <c r="H2267" s="0" t="inlineStr">
        <is>
          <t>YM</t>
        </is>
      </c>
      <c r="I2267" s="0">
        <v>39.99</v>
      </c>
      <c r="J2267" s="0">
        <v>1</v>
      </c>
    </row>
    <row r="2268" spans="1:10" customHeight="0">
      <c r="A2268" s="0">
        <f>HYPERLINK("https://dl.dropboxusercontent.com/scl/fi/0b0yg7c6nts7kvp6fgeyp/123965-af.png?rlkey=azi7mf4k24z72zfn4yqp08yre&amp;dl=0","Click to download Image")</f>
      </c>
      <c r="B2268" s="0">
        <f>HYPERLINK("https://dl.dropboxusercontent.com/scl/fi/7a80etxmbtwccz1mddheo/graphic-update22022-youth.jpg?rlkey=0kjwvvn0a1ntoy6fnm532mrur&amp;dl=0","Click to download SizeChart")</f>
      </c>
      <c r="C2268" s="0" t="inlineStr">
        <is>
          <t>Columbia Youth Sweatshirt</t>
        </is>
      </c>
      <c r="D2268" s="0" t="inlineStr">
        <is>
          <t>'123965</t>
        </is>
      </c>
      <c r="E2268" s="0" t="inlineStr">
        <is>
          <t>IOWA COLUMB Y ALT:123965D-YL</t>
        </is>
      </c>
      <c r="F2268" s="0" t="inlineStr">
        <is>
          <t>'800123965039</t>
        </is>
      </c>
      <c r="G2268" s="0" t="inlineStr">
        <is>
          <t>YOUTH</t>
        </is>
      </c>
      <c r="H2268" s="0" t="inlineStr">
        <is>
          <t>YL</t>
        </is>
      </c>
      <c r="I2268" s="0">
        <v>39.99</v>
      </c>
      <c r="J2268" s="0">
        <v>1</v>
      </c>
    </row>
    <row r="2269" spans="1:10" customHeight="0">
      <c r="A2269" s="0">
        <f>HYPERLINK("https://dl.dropboxusercontent.com/scl/fi/0b0yg7c6nts7kvp6fgeyp/123965-af.png?rlkey=azi7mf4k24z72zfn4yqp08yre&amp;dl=0","Click to download Image")</f>
      </c>
      <c r="B2269" s="0">
        <f>HYPERLINK("https://dl.dropboxusercontent.com/scl/fi/7a80etxmbtwccz1mddheo/graphic-update22022-youth.jpg?rlkey=0kjwvvn0a1ntoy6fnm532mrur&amp;dl=0","Click to download SizeChart")</f>
      </c>
      <c r="C2269" s="0" t="inlineStr">
        <is>
          <t>Columbia Youth Sweatshirt</t>
        </is>
      </c>
      <c r="D2269" s="0" t="inlineStr">
        <is>
          <t>'123965</t>
        </is>
      </c>
      <c r="E2269" s="0" t="inlineStr">
        <is>
          <t>IOWA COLUMB Y ALT:123965E-YXL</t>
        </is>
      </c>
      <c r="F2269" s="0" t="inlineStr">
        <is>
          <t>'800123965046</t>
        </is>
      </c>
      <c r="G2269" s="0" t="inlineStr">
        <is>
          <t>YOUTH</t>
        </is>
      </c>
      <c r="H2269" s="0" t="inlineStr">
        <is>
          <t>YXL</t>
        </is>
      </c>
      <c r="I2269" s="0">
        <v>39.99</v>
      </c>
      <c r="J2269" s="0">
        <v>2</v>
      </c>
    </row>
    <row r="2270" spans="1:10" customHeight="0">
      <c r="A2270" s="0">
        <f>HYPERLINK("https://dl.dropboxusercontent.com/scl/fi/0b0yg7c6nts7kvp6fgeyp/123965-af.png?rlkey=azi7mf4k24z72zfn4yqp08yre&amp;dl=0","Click to download Image")</f>
      </c>
      <c r="B2270" s="0">
        <f>HYPERLINK("https://dl.dropboxusercontent.com/scl/fi/7a80etxmbtwccz1mddheo/graphic-update22022-youth.jpg?rlkey=0kjwvvn0a1ntoy6fnm532mrur&amp;dl=0","Click to download SizeChart")</f>
      </c>
      <c r="C2270" s="0" t="inlineStr">
        <is>
          <t>Columbia Youth Sweatshirt</t>
        </is>
      </c>
      <c r="D2270" s="0" t="inlineStr">
        <is>
          <t>'123965</t>
        </is>
      </c>
      <c r="E2270" s="0" t="inlineStr">
        <is>
          <t>IOWA COLUMB Y ALT 12PK:123965Z-12PK</t>
        </is>
      </c>
      <c r="F2270" s="0" t="inlineStr">
        <is>
          <t>'800123965992</t>
        </is>
      </c>
      <c r="G2270" s="0" t="inlineStr">
        <is>
          <t>YOUTH</t>
        </is>
      </c>
      <c r="H2270" s="0" t="inlineStr">
        <is>
          <t>12 PACK</t>
        </is>
      </c>
      <c r="I2270" s="0">
        <v>390</v>
      </c>
      <c r="J2270" s="0">
        <v>0</v>
      </c>
    </row>
    <row r="2271" spans="1:10" customHeight="0">
      <c r="A2271" s="0">
        <f>HYPERLINK("https://dl.dropboxusercontent.com/scl/fi/wr0p1x117uwnk6i2ce41z/123984-af.jpg?rlkey=nnx9bmjj72a7wsczl1h9b0unr&amp;dl=0","Click to download Image")</f>
      </c>
      <c r="B2271" s="0">
        <f>HYPERLINK("https://dl.dropboxusercontent.com/scl/fi/7a80etxmbtwccz1mddheo/graphic-update22022-youth.jpg?rlkey=0kjwvvn0a1ntoy6fnm532mrur&amp;dl=0","Click to download SizeChart")</f>
      </c>
      <c r="C2271" s="0" t="inlineStr">
        <is>
          <t>Columbia Youth Sweatshirt</t>
        </is>
      </c>
      <c r="D2271" s="0" t="inlineStr">
        <is>
          <t>'123984</t>
        </is>
      </c>
      <c r="E2271" s="0" t="inlineStr">
        <is>
          <t>UNI COLUMB Y ALT:123984B-YS</t>
        </is>
      </c>
      <c r="F2271" s="0" t="inlineStr">
        <is>
          <t>'802123984010</t>
        </is>
      </c>
      <c r="G2271" s="0" t="inlineStr">
        <is>
          <t>YOUTH</t>
        </is>
      </c>
      <c r="H2271" s="0" t="inlineStr">
        <is>
          <t>YS</t>
        </is>
      </c>
      <c r="I2271" s="0">
        <v>39.99</v>
      </c>
      <c r="J2271" s="0">
        <v>10</v>
      </c>
    </row>
    <row r="2272" spans="1:10" customHeight="0">
      <c r="A2272" s="0">
        <f>HYPERLINK("https://dl.dropboxusercontent.com/scl/fi/wr0p1x117uwnk6i2ce41z/123984-af.jpg?rlkey=nnx9bmjj72a7wsczl1h9b0unr&amp;dl=0","Click to download Image")</f>
      </c>
      <c r="B2272" s="0">
        <f>HYPERLINK("https://dl.dropboxusercontent.com/scl/fi/7a80etxmbtwccz1mddheo/graphic-update22022-youth.jpg?rlkey=0kjwvvn0a1ntoy6fnm532mrur&amp;dl=0","Click to download SizeChart")</f>
      </c>
      <c r="C2272" s="0" t="inlineStr">
        <is>
          <t>Columbia Youth Sweatshirt</t>
        </is>
      </c>
      <c r="D2272" s="0" t="inlineStr">
        <is>
          <t>'123984</t>
        </is>
      </c>
      <c r="E2272" s="0" t="inlineStr">
        <is>
          <t>UNI COLUMB Y ALT:123984C-YM</t>
        </is>
      </c>
      <c r="F2272" s="0" t="inlineStr">
        <is>
          <t>'802123984027</t>
        </is>
      </c>
      <c r="G2272" s="0" t="inlineStr">
        <is>
          <t>YOUTH</t>
        </is>
      </c>
      <c r="H2272" s="0" t="inlineStr">
        <is>
          <t>YM</t>
        </is>
      </c>
      <c r="I2272" s="0">
        <v>39.99</v>
      </c>
      <c r="J2272" s="0">
        <v>7</v>
      </c>
    </row>
    <row r="2273" spans="1:10" customHeight="0">
      <c r="A2273" s="0">
        <f>HYPERLINK("https://dl.dropboxusercontent.com/scl/fi/wr0p1x117uwnk6i2ce41z/123984-af.jpg?rlkey=nnx9bmjj72a7wsczl1h9b0unr&amp;dl=0","Click to download Image")</f>
      </c>
      <c r="B2273" s="0">
        <f>HYPERLINK("https://dl.dropboxusercontent.com/scl/fi/7a80etxmbtwccz1mddheo/graphic-update22022-youth.jpg?rlkey=0kjwvvn0a1ntoy6fnm532mrur&amp;dl=0","Click to download SizeChart")</f>
      </c>
      <c r="C2273" s="0" t="inlineStr">
        <is>
          <t>Columbia Youth Sweatshirt</t>
        </is>
      </c>
      <c r="D2273" s="0" t="inlineStr">
        <is>
          <t>'123984</t>
        </is>
      </c>
      <c r="E2273" s="0" t="inlineStr">
        <is>
          <t>UNI COLUMB Y ALT:123984D-YL</t>
        </is>
      </c>
      <c r="F2273" s="0" t="inlineStr">
        <is>
          <t>'802123984034</t>
        </is>
      </c>
      <c r="G2273" s="0" t="inlineStr">
        <is>
          <t>YOUTH</t>
        </is>
      </c>
      <c r="H2273" s="0" t="inlineStr">
        <is>
          <t>YL</t>
        </is>
      </c>
      <c r="I2273" s="0">
        <v>39.99</v>
      </c>
      <c r="J2273" s="0">
        <v>7</v>
      </c>
    </row>
    <row r="2274" spans="1:10" customHeight="0">
      <c r="A2274" s="0">
        <f>HYPERLINK("https://dl.dropboxusercontent.com/scl/fi/wr0p1x117uwnk6i2ce41z/123984-af.jpg?rlkey=nnx9bmjj72a7wsczl1h9b0unr&amp;dl=0","Click to download Image")</f>
      </c>
      <c r="B2274" s="0">
        <f>HYPERLINK("https://dl.dropboxusercontent.com/scl/fi/7a80etxmbtwccz1mddheo/graphic-update22022-youth.jpg?rlkey=0kjwvvn0a1ntoy6fnm532mrur&amp;dl=0","Click to download SizeChart")</f>
      </c>
      <c r="C2274" s="0" t="inlineStr">
        <is>
          <t>Columbia Youth Sweatshirt</t>
        </is>
      </c>
      <c r="D2274" s="0" t="inlineStr">
        <is>
          <t>'123984</t>
        </is>
      </c>
      <c r="E2274" s="0" t="inlineStr">
        <is>
          <t>UNI COLUMB Y ALT:123984E-YXL</t>
        </is>
      </c>
      <c r="F2274" s="0" t="inlineStr">
        <is>
          <t>'802123984041</t>
        </is>
      </c>
      <c r="G2274" s="0" t="inlineStr">
        <is>
          <t>YOUTH</t>
        </is>
      </c>
      <c r="H2274" s="0" t="inlineStr">
        <is>
          <t>YXL</t>
        </is>
      </c>
      <c r="I2274" s="0">
        <v>39.99</v>
      </c>
      <c r="J2274" s="0">
        <v>9</v>
      </c>
    </row>
    <row r="2275" spans="1:10" customHeight="0">
      <c r="A2275" s="0">
        <f>HYPERLINK("https://dl.dropboxusercontent.com/scl/fi/wr0p1x117uwnk6i2ce41z/123984-af.jpg?rlkey=nnx9bmjj72a7wsczl1h9b0unr&amp;dl=0","Click to download Image")</f>
      </c>
      <c r="B2275" s="0">
        <f>HYPERLINK("https://dl.dropboxusercontent.com/scl/fi/7a80etxmbtwccz1mddheo/graphic-update22022-youth.jpg?rlkey=0kjwvvn0a1ntoy6fnm532mrur&amp;dl=0","Click to download SizeChart")</f>
      </c>
      <c r="C2275" s="0" t="inlineStr">
        <is>
          <t>Columbia Youth Sweatshirt</t>
        </is>
      </c>
      <c r="D2275" s="0" t="inlineStr">
        <is>
          <t>'123984</t>
        </is>
      </c>
      <c r="E2275" s="0" t="inlineStr">
        <is>
          <t>UNI COLUMB Y ALT 12PK:123984Z-12PK</t>
        </is>
      </c>
      <c r="F2275" s="0" t="inlineStr">
        <is>
          <t>'802123984997</t>
        </is>
      </c>
      <c r="G2275" s="0" t="inlineStr">
        <is>
          <t>YOUTH</t>
        </is>
      </c>
      <c r="H2275" s="0" t="inlineStr">
        <is>
          <t>12 PACK</t>
        </is>
      </c>
      <c r="I2275" s="0">
        <v>390</v>
      </c>
      <c r="J2275" s="0">
        <v>0</v>
      </c>
    </row>
    <row r="2276" spans="1:10" customHeight="0">
      <c r="A2276" s="0">
        <f>HYPERLINK("https://dl.dropboxusercontent.com/scl/fi/dwnwccb9id1hlc89mxw3g/103047af31765.jpg?rlkey=yucejdlrea3tjtbr2ls5zhkdn&amp;dl=0","Click to download Image")</f>
      </c>
      <c r="B2276" s="0">
        <f>HYPERLINK("https://dl.dropboxusercontent.com/scl/fi/ial8fw1bmonz706oy5z18/mens-bottoms-size-chartsking.jpg?rlkey=ubrfuk5cgf36kwxv6q257elok&amp;dl=0","Click to download SizeChart")</f>
      </c>
      <c r="C2276" s="0" t="inlineStr">
        <is>
          <t>King Men's Shorts</t>
        </is>
      </c>
      <c r="D2276" s="0" t="inlineStr">
        <is>
          <t>'103047</t>
        </is>
      </c>
      <c r="E2276" s="0" t="inlineStr">
        <is>
          <t>KING:103047-30</t>
        </is>
      </c>
      <c r="F2276" s="0" t="inlineStr">
        <is>
          <t>'000000000000</t>
        </is>
      </c>
      <c r="G2276" s="0" t="inlineStr">
        <is>
          <t>MENS</t>
        </is>
      </c>
      <c r="H2276" s="0" t="inlineStr">
        <is>
          <t>30</t>
        </is>
      </c>
      <c r="I2276" s="0">
        <v>42.99</v>
      </c>
      <c r="J2276" s="0">
        <v>49</v>
      </c>
    </row>
    <row r="2277" spans="1:10" customHeight="0">
      <c r="A2277" s="0">
        <f>HYPERLINK("https://dl.dropboxusercontent.com/scl/fi/dwnwccb9id1hlc89mxw3g/103047af31765.jpg?rlkey=yucejdlrea3tjtbr2ls5zhkdn&amp;dl=0","Click to download Image")</f>
      </c>
      <c r="B2277" s="0">
        <f>HYPERLINK("https://dl.dropboxusercontent.com/scl/fi/ial8fw1bmonz706oy5z18/mens-bottoms-size-chartsking.jpg?rlkey=ubrfuk5cgf36kwxv6q257elok&amp;dl=0","Click to download SizeChart")</f>
      </c>
      <c r="C2277" s="0" t="inlineStr">
        <is>
          <t>King Men's Shorts</t>
        </is>
      </c>
      <c r="D2277" s="0" t="inlineStr">
        <is>
          <t>'103047</t>
        </is>
      </c>
      <c r="E2277" s="0" t="inlineStr">
        <is>
          <t>KING:103047-32</t>
        </is>
      </c>
      <c r="F2277" s="0" t="inlineStr">
        <is>
          <t>'000000000000</t>
        </is>
      </c>
      <c r="G2277" s="0" t="inlineStr">
        <is>
          <t>MENS</t>
        </is>
      </c>
      <c r="H2277" s="0" t="inlineStr">
        <is>
          <t>32</t>
        </is>
      </c>
      <c r="I2277" s="0">
        <v>42.99</v>
      </c>
      <c r="J2277" s="0">
        <v>71</v>
      </c>
    </row>
    <row r="2278" spans="1:10" customHeight="0">
      <c r="A2278" s="0">
        <f>HYPERLINK("https://dl.dropboxusercontent.com/scl/fi/dwnwccb9id1hlc89mxw3g/103047af31765.jpg?rlkey=yucejdlrea3tjtbr2ls5zhkdn&amp;dl=0","Click to download Image")</f>
      </c>
      <c r="B2278" s="0">
        <f>HYPERLINK("https://dl.dropboxusercontent.com/scl/fi/ial8fw1bmonz706oy5z18/mens-bottoms-size-chartsking.jpg?rlkey=ubrfuk5cgf36kwxv6q257elok&amp;dl=0","Click to download SizeChart")</f>
      </c>
      <c r="C2278" s="0" t="inlineStr">
        <is>
          <t>King Men's Shorts</t>
        </is>
      </c>
      <c r="D2278" s="0" t="inlineStr">
        <is>
          <t>'103047</t>
        </is>
      </c>
      <c r="E2278" s="0" t="inlineStr">
        <is>
          <t>KING:103047-34</t>
        </is>
      </c>
      <c r="F2278" s="0" t="inlineStr">
        <is>
          <t>'000000000000</t>
        </is>
      </c>
      <c r="G2278" s="0" t="inlineStr">
        <is>
          <t>MENS</t>
        </is>
      </c>
      <c r="H2278" s="0" t="inlineStr">
        <is>
          <t>34</t>
        </is>
      </c>
      <c r="I2278" s="0">
        <v>42.99</v>
      </c>
      <c r="J2278" s="0">
        <v>73</v>
      </c>
    </row>
    <row r="2279" spans="1:10" customHeight="0">
      <c r="A2279" s="0">
        <f>HYPERLINK("https://dl.dropboxusercontent.com/scl/fi/dwnwccb9id1hlc89mxw3g/103047af31765.jpg?rlkey=yucejdlrea3tjtbr2ls5zhkdn&amp;dl=0","Click to download Image")</f>
      </c>
      <c r="B2279" s="0">
        <f>HYPERLINK("https://dl.dropboxusercontent.com/scl/fi/ial8fw1bmonz706oy5z18/mens-bottoms-size-chartsking.jpg?rlkey=ubrfuk5cgf36kwxv6q257elok&amp;dl=0","Click to download SizeChart")</f>
      </c>
      <c r="C2279" s="0" t="inlineStr">
        <is>
          <t>King Men's Shorts</t>
        </is>
      </c>
      <c r="D2279" s="0" t="inlineStr">
        <is>
          <t>'103047</t>
        </is>
      </c>
      <c r="E2279" s="0" t="inlineStr">
        <is>
          <t>KING:103047-36</t>
        </is>
      </c>
      <c r="F2279" s="0" t="inlineStr">
        <is>
          <t>'000000000000</t>
        </is>
      </c>
      <c r="G2279" s="0" t="inlineStr">
        <is>
          <t>MENS</t>
        </is>
      </c>
      <c r="H2279" s="0" t="inlineStr">
        <is>
          <t>36</t>
        </is>
      </c>
      <c r="I2279" s="0">
        <v>42.99</v>
      </c>
      <c r="J2279" s="0">
        <v>53</v>
      </c>
    </row>
    <row r="2280" spans="1:10" customHeight="0">
      <c r="A2280" s="0">
        <f>HYPERLINK("https://dl.dropboxusercontent.com/scl/fi/dwnwccb9id1hlc89mxw3g/103047af31765.jpg?rlkey=yucejdlrea3tjtbr2ls5zhkdn&amp;dl=0","Click to download Image")</f>
      </c>
      <c r="B2280" s="0">
        <f>HYPERLINK("https://dl.dropboxusercontent.com/scl/fi/ial8fw1bmonz706oy5z18/mens-bottoms-size-chartsking.jpg?rlkey=ubrfuk5cgf36kwxv6q257elok&amp;dl=0","Click to download SizeChart")</f>
      </c>
      <c r="C2280" s="0" t="inlineStr">
        <is>
          <t>King Men's Shorts</t>
        </is>
      </c>
      <c r="D2280" s="0" t="inlineStr">
        <is>
          <t>'103047</t>
        </is>
      </c>
      <c r="E2280" s="0" t="inlineStr">
        <is>
          <t>KING:103047-38</t>
        </is>
      </c>
      <c r="F2280" s="0" t="inlineStr">
        <is>
          <t>'000000000000</t>
        </is>
      </c>
      <c r="G2280" s="0" t="inlineStr">
        <is>
          <t>MENS</t>
        </is>
      </c>
      <c r="H2280" s="0" t="inlineStr">
        <is>
          <t>38</t>
        </is>
      </c>
      <c r="I2280" s="0">
        <v>42.99</v>
      </c>
      <c r="J2280" s="0">
        <v>16</v>
      </c>
    </row>
    <row r="2281" spans="1:10" customHeight="0">
      <c r="A2281" s="0">
        <f>HYPERLINK("https://dl.dropboxusercontent.com/scl/fi/dwnwccb9id1hlc89mxw3g/103047af31765.jpg?rlkey=yucejdlrea3tjtbr2ls5zhkdn&amp;dl=0","Click to download Image")</f>
      </c>
      <c r="B2281" s="0">
        <f>HYPERLINK("https://dl.dropboxusercontent.com/scl/fi/ial8fw1bmonz706oy5z18/mens-bottoms-size-chartsking.jpg?rlkey=ubrfuk5cgf36kwxv6q257elok&amp;dl=0","Click to download SizeChart")</f>
      </c>
      <c r="C2281" s="0" t="inlineStr">
        <is>
          <t>King Men's Shorts</t>
        </is>
      </c>
      <c r="D2281" s="0" t="inlineStr">
        <is>
          <t>'103047</t>
        </is>
      </c>
      <c r="E2281" s="0" t="inlineStr">
        <is>
          <t>KING:103047-40</t>
        </is>
      </c>
      <c r="F2281" s="0" t="inlineStr">
        <is>
          <t>'000000000000</t>
        </is>
      </c>
      <c r="G2281" s="0" t="inlineStr">
        <is>
          <t>MENS</t>
        </is>
      </c>
      <c r="H2281" s="0" t="inlineStr">
        <is>
          <t>40</t>
        </is>
      </c>
      <c r="I2281" s="0">
        <v>42.99</v>
      </c>
      <c r="J2281" s="0">
        <v>11</v>
      </c>
    </row>
    <row r="2282" spans="1:10" customHeight="0">
      <c r="A2282" s="0">
        <f>HYPERLINK("https://dl.dropboxusercontent.com/scl/fi/dwnwccb9id1hlc89mxw3g/103047af31765.jpg?rlkey=yucejdlrea3tjtbr2ls5zhkdn&amp;dl=0","Click to download Image")</f>
      </c>
      <c r="B2282" s="0">
        <f>HYPERLINK("https://dl.dropboxusercontent.com/scl/fi/ial8fw1bmonz706oy5z18/mens-bottoms-size-chartsking.jpg?rlkey=ubrfuk5cgf36kwxv6q257elok&amp;dl=0","Click to download SizeChart")</f>
      </c>
      <c r="C2282" s="0" t="inlineStr">
        <is>
          <t>King Men's Shorts</t>
        </is>
      </c>
      <c r="D2282" s="0" t="inlineStr">
        <is>
          <t>'103047</t>
        </is>
      </c>
      <c r="E2282" s="0" t="inlineStr">
        <is>
          <t>KING:103047-42</t>
        </is>
      </c>
      <c r="F2282" s="0" t="inlineStr">
        <is>
          <t>'000000000000</t>
        </is>
      </c>
      <c r="G2282" s="0" t="inlineStr">
        <is>
          <t>MENS</t>
        </is>
      </c>
      <c r="H2282" s="0" t="inlineStr">
        <is>
          <t>42</t>
        </is>
      </c>
      <c r="I2282" s="0">
        <v>42.99</v>
      </c>
      <c r="J2282" s="0">
        <v>11</v>
      </c>
    </row>
    <row r="2283" spans="1:10" customHeight="0">
      <c r="A2283" s="0">
        <f>HYPERLINK("https://dl.dropboxusercontent.com/scl/fi/czd79r56o3kqsw5y5k9m8/104405-af.jpg?rlkey=fj85veouon4lin74pi3rq2dkw&amp;dl=0","Click to download Image")</f>
      </c>
      <c r="B2283" s="0">
        <f>HYPERLINK("https://dl.dropboxusercontent.com/scl/fi/ial8fw1bmonz706oy5z18/mens-bottoms-size-chartsking.jpg?rlkey=ubrfuk5cgf36kwxv6q257elok&amp;dl=0","Click to download SizeChart")</f>
      </c>
      <c r="C2283" s="0" t="inlineStr">
        <is>
          <t>King Men's Shorts</t>
        </is>
      </c>
      <c r="D2283" s="0" t="inlineStr">
        <is>
          <t>'104405</t>
        </is>
      </c>
      <c r="E2283" s="0" t="inlineStr">
        <is>
          <t>KING:104405-30</t>
        </is>
      </c>
      <c r="F2283" s="0" t="inlineStr">
        <is>
          <t>'080010440501</t>
        </is>
      </c>
      <c r="G2283" s="0" t="inlineStr">
        <is>
          <t>MENS</t>
        </is>
      </c>
      <c r="H2283" s="0" t="inlineStr">
        <is>
          <t>30</t>
        </is>
      </c>
      <c r="I2283" s="0">
        <v>42.99</v>
      </c>
      <c r="J2283" s="0">
        <v>27</v>
      </c>
    </row>
    <row r="2284" spans="1:10" customHeight="0">
      <c r="A2284" s="0">
        <f>HYPERLINK("https://dl.dropboxusercontent.com/scl/fi/czd79r56o3kqsw5y5k9m8/104405-af.jpg?rlkey=fj85veouon4lin74pi3rq2dkw&amp;dl=0","Click to download Image")</f>
      </c>
      <c r="B2284" s="0">
        <f>HYPERLINK("https://dl.dropboxusercontent.com/scl/fi/ial8fw1bmonz706oy5z18/mens-bottoms-size-chartsking.jpg?rlkey=ubrfuk5cgf36kwxv6q257elok&amp;dl=0","Click to download SizeChart")</f>
      </c>
      <c r="C2284" s="0" t="inlineStr">
        <is>
          <t>King Men's Shorts</t>
        </is>
      </c>
      <c r="D2284" s="0" t="inlineStr">
        <is>
          <t>'104405</t>
        </is>
      </c>
      <c r="E2284" s="0" t="inlineStr">
        <is>
          <t>KING:104405-32</t>
        </is>
      </c>
      <c r="F2284" s="0" t="inlineStr">
        <is>
          <t>'080010304702</t>
        </is>
      </c>
      <c r="G2284" s="0" t="inlineStr">
        <is>
          <t>MENS</t>
        </is>
      </c>
      <c r="H2284" s="0" t="inlineStr">
        <is>
          <t>32</t>
        </is>
      </c>
      <c r="I2284" s="0">
        <v>42.99</v>
      </c>
      <c r="J2284" s="0">
        <v>38</v>
      </c>
    </row>
    <row r="2285" spans="1:10" customHeight="0">
      <c r="A2285" s="0">
        <f>HYPERLINK("https://dl.dropboxusercontent.com/scl/fi/czd79r56o3kqsw5y5k9m8/104405-af.jpg?rlkey=fj85veouon4lin74pi3rq2dkw&amp;dl=0","Click to download Image")</f>
      </c>
      <c r="B2285" s="0">
        <f>HYPERLINK("https://dl.dropboxusercontent.com/scl/fi/ial8fw1bmonz706oy5z18/mens-bottoms-size-chartsking.jpg?rlkey=ubrfuk5cgf36kwxv6q257elok&amp;dl=0","Click to download SizeChart")</f>
      </c>
      <c r="C2285" s="0" t="inlineStr">
        <is>
          <t>King Men's Shorts</t>
        </is>
      </c>
      <c r="D2285" s="0" t="inlineStr">
        <is>
          <t>'104405</t>
        </is>
      </c>
      <c r="E2285" s="0" t="inlineStr">
        <is>
          <t>KING:104405-34</t>
        </is>
      </c>
      <c r="F2285" s="0" t="inlineStr">
        <is>
          <t>'080010304703</t>
        </is>
      </c>
      <c r="G2285" s="0" t="inlineStr">
        <is>
          <t>MENS</t>
        </is>
      </c>
      <c r="H2285" s="0" t="inlineStr">
        <is>
          <t>34</t>
        </is>
      </c>
      <c r="I2285" s="0">
        <v>42.99</v>
      </c>
      <c r="J2285" s="0">
        <v>21</v>
      </c>
    </row>
    <row r="2286" spans="1:10" customHeight="0">
      <c r="A2286" s="0">
        <f>HYPERLINK("https://dl.dropboxusercontent.com/scl/fi/czd79r56o3kqsw5y5k9m8/104405-af.jpg?rlkey=fj85veouon4lin74pi3rq2dkw&amp;dl=0","Click to download Image")</f>
      </c>
      <c r="B2286" s="0">
        <f>HYPERLINK("https://dl.dropboxusercontent.com/scl/fi/ial8fw1bmonz706oy5z18/mens-bottoms-size-chartsking.jpg?rlkey=ubrfuk5cgf36kwxv6q257elok&amp;dl=0","Click to download SizeChart")</f>
      </c>
      <c r="C2286" s="0" t="inlineStr">
        <is>
          <t>King Men's Shorts</t>
        </is>
      </c>
      <c r="D2286" s="0" t="inlineStr">
        <is>
          <t>'104405</t>
        </is>
      </c>
      <c r="E2286" s="0" t="inlineStr">
        <is>
          <t>KING:104405-36</t>
        </is>
      </c>
      <c r="F2286" s="0" t="inlineStr">
        <is>
          <t>'080010304704</t>
        </is>
      </c>
      <c r="G2286" s="0" t="inlineStr">
        <is>
          <t>MENS</t>
        </is>
      </c>
      <c r="H2286" s="0" t="inlineStr">
        <is>
          <t>36</t>
        </is>
      </c>
      <c r="I2286" s="0">
        <v>42.99</v>
      </c>
      <c r="J2286" s="0">
        <v>21</v>
      </c>
    </row>
    <row r="2287" spans="1:10" customHeight="0">
      <c r="A2287" s="0">
        <f>HYPERLINK("https://dl.dropboxusercontent.com/scl/fi/czd79r56o3kqsw5y5k9m8/104405-af.jpg?rlkey=fj85veouon4lin74pi3rq2dkw&amp;dl=0","Click to download Image")</f>
      </c>
      <c r="B2287" s="0">
        <f>HYPERLINK("https://dl.dropboxusercontent.com/scl/fi/ial8fw1bmonz706oy5z18/mens-bottoms-size-chartsking.jpg?rlkey=ubrfuk5cgf36kwxv6q257elok&amp;dl=0","Click to download SizeChart")</f>
      </c>
      <c r="C2287" s="0" t="inlineStr">
        <is>
          <t>King Men's Shorts</t>
        </is>
      </c>
      <c r="D2287" s="0" t="inlineStr">
        <is>
          <t>'104405</t>
        </is>
      </c>
      <c r="E2287" s="0" t="inlineStr">
        <is>
          <t>KING:104405-38</t>
        </is>
      </c>
      <c r="F2287" s="0" t="inlineStr">
        <is>
          <t>'080010304705</t>
        </is>
      </c>
      <c r="G2287" s="0" t="inlineStr">
        <is>
          <t>MENS</t>
        </is>
      </c>
      <c r="H2287" s="0" t="inlineStr">
        <is>
          <t>38</t>
        </is>
      </c>
      <c r="I2287" s="0">
        <v>42.99</v>
      </c>
      <c r="J2287" s="0">
        <v>4</v>
      </c>
    </row>
    <row r="2288" spans="1:10" customHeight="0">
      <c r="A2288" s="0">
        <f>HYPERLINK("https://dl.dropboxusercontent.com/scl/fi/czd79r56o3kqsw5y5k9m8/104405-af.jpg?rlkey=fj85veouon4lin74pi3rq2dkw&amp;dl=0","Click to download Image")</f>
      </c>
      <c r="B2288" s="0">
        <f>HYPERLINK("https://dl.dropboxusercontent.com/scl/fi/ial8fw1bmonz706oy5z18/mens-bottoms-size-chartsking.jpg?rlkey=ubrfuk5cgf36kwxv6q257elok&amp;dl=0","Click to download SizeChart")</f>
      </c>
      <c r="C2288" s="0" t="inlineStr">
        <is>
          <t>King Men's Shorts</t>
        </is>
      </c>
      <c r="D2288" s="0" t="inlineStr">
        <is>
          <t>'104405</t>
        </is>
      </c>
      <c r="E2288" s="0" t="inlineStr">
        <is>
          <t>KING:104405-40</t>
        </is>
      </c>
      <c r="F2288" s="0" t="inlineStr">
        <is>
          <t>'080010304706</t>
        </is>
      </c>
      <c r="G2288" s="0" t="inlineStr">
        <is>
          <t>MENS</t>
        </is>
      </c>
      <c r="H2288" s="0" t="inlineStr">
        <is>
          <t>40</t>
        </is>
      </c>
      <c r="I2288" s="0">
        <v>42.99</v>
      </c>
      <c r="J2288" s="0">
        <v>6</v>
      </c>
    </row>
    <row r="2289" spans="1:10" customHeight="0">
      <c r="A2289" s="0">
        <f>HYPERLINK("https://dl.dropboxusercontent.com/scl/fi/czd79r56o3kqsw5y5k9m8/104405-af.jpg?rlkey=fj85veouon4lin74pi3rq2dkw&amp;dl=0","Click to download Image")</f>
      </c>
      <c r="B2289" s="0">
        <f>HYPERLINK("https://dl.dropboxusercontent.com/scl/fi/ial8fw1bmonz706oy5z18/mens-bottoms-size-chartsking.jpg?rlkey=ubrfuk5cgf36kwxv6q257elok&amp;dl=0","Click to download SizeChart")</f>
      </c>
      <c r="C2289" s="0" t="inlineStr">
        <is>
          <t>King Men's Shorts</t>
        </is>
      </c>
      <c r="D2289" s="0" t="inlineStr">
        <is>
          <t>'104405</t>
        </is>
      </c>
      <c r="E2289" s="0" t="inlineStr">
        <is>
          <t>KING:104405-42</t>
        </is>
      </c>
      <c r="F2289" s="0" t="inlineStr">
        <is>
          <t>'080010304707</t>
        </is>
      </c>
      <c r="G2289" s="0" t="inlineStr">
        <is>
          <t>MENS</t>
        </is>
      </c>
      <c r="H2289" s="0" t="inlineStr">
        <is>
          <t>42</t>
        </is>
      </c>
      <c r="I2289" s="0">
        <v>42.99</v>
      </c>
      <c r="J2289" s="0">
        <v>5</v>
      </c>
    </row>
    <row r="2290" spans="1:10" customHeight="0">
      <c r="A2290" s="0">
        <f>HYPERLINK("https://dl.dropboxusercontent.com/scl/fi/jetnbuxbgob8s26h6dcuu/113193af.jpg?rlkey=859n3fp7u2an1jaex1kyntlei&amp;dl=0","Click to download Image")</f>
      </c>
      <c r="B2290" s="0">
        <f>HYPERLINK("https://dl.dropboxusercontent.com/scl/fi/xb08sm1dldbuup129wpgk/mens-hoodie-size-chartsace.jpg?rlkey=ygx95a8gfd3ty78a9xg7xqchp&amp;dl=0","Click to download SizeChart")</f>
      </c>
      <c r="C2290" s="0" t="inlineStr">
        <is>
          <t>Ace Mens Scuba Hoodie</t>
        </is>
      </c>
      <c r="D2290" s="0" t="inlineStr">
        <is>
          <t>'113193</t>
        </is>
      </c>
      <c r="E2290" s="0" t="inlineStr">
        <is>
          <t>ISU ACE M GREY:113193A-S</t>
        </is>
      </c>
      <c r="F2290" s="0" t="inlineStr">
        <is>
          <t>'801113193043</t>
        </is>
      </c>
      <c r="G2290" s="0" t="inlineStr">
        <is>
          <t>MENS</t>
        </is>
      </c>
      <c r="H2290" s="0" t="inlineStr">
        <is>
          <t>S</t>
        </is>
      </c>
      <c r="I2290" s="0">
        <v>54.99</v>
      </c>
      <c r="J2290" s="0">
        <v>0</v>
      </c>
    </row>
    <row r="2291" spans="1:10" customHeight="0">
      <c r="A2291" s="0">
        <f>HYPERLINK("https://dl.dropboxusercontent.com/scl/fi/jetnbuxbgob8s26h6dcuu/113193af.jpg?rlkey=859n3fp7u2an1jaex1kyntlei&amp;dl=0","Click to download Image")</f>
      </c>
      <c r="B2291" s="0">
        <f>HYPERLINK("https://dl.dropboxusercontent.com/scl/fi/xb08sm1dldbuup129wpgk/mens-hoodie-size-chartsace.jpg?rlkey=ygx95a8gfd3ty78a9xg7xqchp&amp;dl=0","Click to download SizeChart")</f>
      </c>
      <c r="C2291" s="0" t="inlineStr">
        <is>
          <t>Ace Mens Scuba Hoodie</t>
        </is>
      </c>
      <c r="D2291" s="0" t="inlineStr">
        <is>
          <t>'113193</t>
        </is>
      </c>
      <c r="E2291" s="0" t="inlineStr">
        <is>
          <t>ISU ACE M GREY:113193B-M</t>
        </is>
      </c>
      <c r="F2291" s="0" t="inlineStr">
        <is>
          <t>'801113193050</t>
        </is>
      </c>
      <c r="G2291" s="0" t="inlineStr">
        <is>
          <t>MENS</t>
        </is>
      </c>
      <c r="H2291" s="0" t="inlineStr">
        <is>
          <t>M</t>
        </is>
      </c>
      <c r="I2291" s="0">
        <v>54.99</v>
      </c>
      <c r="J2291" s="0">
        <v>2</v>
      </c>
    </row>
    <row r="2292" spans="1:10" customHeight="0">
      <c r="A2292" s="0">
        <f>HYPERLINK("https://dl.dropboxusercontent.com/scl/fi/jetnbuxbgob8s26h6dcuu/113193af.jpg?rlkey=859n3fp7u2an1jaex1kyntlei&amp;dl=0","Click to download Image")</f>
      </c>
      <c r="B2292" s="0">
        <f>HYPERLINK("https://dl.dropboxusercontent.com/scl/fi/xb08sm1dldbuup129wpgk/mens-hoodie-size-chartsace.jpg?rlkey=ygx95a8gfd3ty78a9xg7xqchp&amp;dl=0","Click to download SizeChart")</f>
      </c>
      <c r="C2292" s="0" t="inlineStr">
        <is>
          <t>Ace Mens Scuba Hoodie</t>
        </is>
      </c>
      <c r="D2292" s="0" t="inlineStr">
        <is>
          <t>'113193</t>
        </is>
      </c>
      <c r="E2292" s="0" t="inlineStr">
        <is>
          <t>ISU ACE M GREY:113193C-L</t>
        </is>
      </c>
      <c r="F2292" s="0" t="inlineStr">
        <is>
          <t>'801113193067</t>
        </is>
      </c>
      <c r="G2292" s="0" t="inlineStr">
        <is>
          <t>MENS</t>
        </is>
      </c>
      <c r="H2292" s="0" t="inlineStr">
        <is>
          <t>L</t>
        </is>
      </c>
      <c r="I2292" s="0">
        <v>54.99</v>
      </c>
      <c r="J2292" s="0">
        <v>0</v>
      </c>
    </row>
    <row r="2293" spans="1:10" customHeight="0">
      <c r="A2293" s="0">
        <f>HYPERLINK("https://dl.dropboxusercontent.com/scl/fi/jetnbuxbgob8s26h6dcuu/113193af.jpg?rlkey=859n3fp7u2an1jaex1kyntlei&amp;dl=0","Click to download Image")</f>
      </c>
      <c r="B2293" s="0">
        <f>HYPERLINK("https://dl.dropboxusercontent.com/scl/fi/xb08sm1dldbuup129wpgk/mens-hoodie-size-chartsace.jpg?rlkey=ygx95a8gfd3ty78a9xg7xqchp&amp;dl=0","Click to download SizeChart")</f>
      </c>
      <c r="C2293" s="0" t="inlineStr">
        <is>
          <t>Ace Mens Scuba Hoodie</t>
        </is>
      </c>
      <c r="D2293" s="0" t="inlineStr">
        <is>
          <t>'113193</t>
        </is>
      </c>
      <c r="E2293" s="0" t="inlineStr">
        <is>
          <t>ISU ACE M GREY:113193D-XL</t>
        </is>
      </c>
      <c r="F2293" s="0" t="inlineStr">
        <is>
          <t>'801113193074</t>
        </is>
      </c>
      <c r="G2293" s="0" t="inlineStr">
        <is>
          <t>MENS</t>
        </is>
      </c>
      <c r="H2293" s="0" t="inlineStr">
        <is>
          <t>XL</t>
        </is>
      </c>
      <c r="I2293" s="0">
        <v>54.99</v>
      </c>
      <c r="J2293" s="0">
        <v>0</v>
      </c>
    </row>
    <row r="2294" spans="1:10" customHeight="0">
      <c r="A2294" s="0">
        <f>HYPERLINK("https://dl.dropboxusercontent.com/scl/fi/jetnbuxbgob8s26h6dcuu/113193af.jpg?rlkey=859n3fp7u2an1jaex1kyntlei&amp;dl=0","Click to download Image")</f>
      </c>
      <c r="B2294" s="0">
        <f>HYPERLINK("https://dl.dropboxusercontent.com/scl/fi/xb08sm1dldbuup129wpgk/mens-hoodie-size-chartsace.jpg?rlkey=ygx95a8gfd3ty78a9xg7xqchp&amp;dl=0","Click to download SizeChart")</f>
      </c>
      <c r="C2294" s="0" t="inlineStr">
        <is>
          <t>Ace Mens Scuba Hoodie</t>
        </is>
      </c>
      <c r="D2294" s="0" t="inlineStr">
        <is>
          <t>'113193</t>
        </is>
      </c>
      <c r="E2294" s="0" t="inlineStr">
        <is>
          <t>ISU ACE M GREY:113193E-2XL</t>
        </is>
      </c>
      <c r="F2294" s="0" t="inlineStr">
        <is>
          <t>'801113193081</t>
        </is>
      </c>
      <c r="G2294" s="0" t="inlineStr">
        <is>
          <t>MENS</t>
        </is>
      </c>
      <c r="H2294" s="0" t="inlineStr">
        <is>
          <t>2XL</t>
        </is>
      </c>
      <c r="I2294" s="0">
        <v>56.99</v>
      </c>
      <c r="J2294" s="0">
        <v>3</v>
      </c>
    </row>
    <row r="2295" spans="1:10" customHeight="0">
      <c r="A2295" s="0">
        <f>HYPERLINK("https://dl.dropboxusercontent.com/scl/fi/jetnbuxbgob8s26h6dcuu/113193af.jpg?rlkey=859n3fp7u2an1jaex1kyntlei&amp;dl=0","Click to download Image")</f>
      </c>
      <c r="B2295" s="0">
        <f>HYPERLINK("https://dl.dropboxusercontent.com/scl/fi/xb08sm1dldbuup129wpgk/mens-hoodie-size-chartsace.jpg?rlkey=ygx95a8gfd3ty78a9xg7xqchp&amp;dl=0","Click to download SizeChart")</f>
      </c>
      <c r="C2295" s="0" t="inlineStr">
        <is>
          <t>Ace Mens Scuba Hoodie</t>
        </is>
      </c>
      <c r="D2295" s="0" t="inlineStr">
        <is>
          <t>'113193</t>
        </is>
      </c>
      <c r="E2295" s="0" t="inlineStr">
        <is>
          <t>ISU ACE M GREY:113193F-3XL</t>
        </is>
      </c>
      <c r="F2295" s="0" t="inlineStr">
        <is>
          <t>'801113193098</t>
        </is>
      </c>
      <c r="G2295" s="0" t="inlineStr">
        <is>
          <t>MENS</t>
        </is>
      </c>
      <c r="H2295" s="0" t="inlineStr">
        <is>
          <t>3XL</t>
        </is>
      </c>
      <c r="I2295" s="0">
        <v>56.99</v>
      </c>
      <c r="J2295" s="0">
        <v>2</v>
      </c>
    </row>
    <row r="2296" spans="1:10" customHeight="0">
      <c r="A2296" s="0">
        <f>HYPERLINK("https://dl.dropboxusercontent.com/scl/fi/jetnbuxbgob8s26h6dcuu/113193af.jpg?rlkey=859n3fp7u2an1jaex1kyntlei&amp;dl=0","Click to download Image")</f>
      </c>
      <c r="B2296" s="0">
        <f>HYPERLINK("https://dl.dropboxusercontent.com/scl/fi/xb08sm1dldbuup129wpgk/mens-hoodie-size-chartsace.jpg?rlkey=ygx95a8gfd3ty78a9xg7xqchp&amp;dl=0","Click to download SizeChart")</f>
      </c>
      <c r="C2296" s="0" t="inlineStr">
        <is>
          <t>Ace Mens Scuba Hoodie</t>
        </is>
      </c>
      <c r="D2296" s="0" t="inlineStr">
        <is>
          <t>'113193</t>
        </is>
      </c>
      <c r="E2296" s="0" t="inlineStr">
        <is>
          <t>ISU ACE M GREY 12 PACK:113193Z-12PK</t>
        </is>
      </c>
      <c r="F2296" s="0" t="inlineStr">
        <is>
          <t>'801113193999</t>
        </is>
      </c>
      <c r="G2296" s="0" t="inlineStr">
        <is>
          <t>MENS</t>
        </is>
      </c>
      <c r="H2296" s="0" t="inlineStr">
        <is>
          <t>12 PACK</t>
        </is>
      </c>
      <c r="I2296" s="0">
        <v>640</v>
      </c>
      <c r="J2296" s="0">
        <v>0</v>
      </c>
    </row>
    <row r="2297" spans="1:10" customHeight="0">
      <c r="A2297" s="0">
        <f>HYPERLINK("https://dl.dropboxusercontent.com/scl/fi/7w5z7w1hyg58kmlnodywo/1144450-af.jpg?rlkey=fgo55nkibiolounv4herr43fr&amp;dl=0","Click to download Image")</f>
      </c>
      <c r="B2297" s="0">
        <f>HYPERLINK("https://dl.dropboxusercontent.com/scl/fi/xb08sm1dldbuup129wpgk/mens-hoodie-size-chartsace.jpg?rlkey=ygx95a8gfd3ty78a9xg7xqchp&amp;dl=0","Click to download SizeChart")</f>
      </c>
      <c r="C2297" s="0" t="inlineStr">
        <is>
          <t>Ace Mens Scuba Hoodie</t>
        </is>
      </c>
      <c r="D2297" s="0" t="inlineStr">
        <is>
          <t>'114450</t>
        </is>
      </c>
      <c r="E2297" s="0" t="inlineStr">
        <is>
          <t>KSU ACE M GREY:114450A-S</t>
        </is>
      </c>
      <c r="F2297" s="0" t="inlineStr">
        <is>
          <t>'805114450044</t>
        </is>
      </c>
      <c r="G2297" s="0" t="inlineStr">
        <is>
          <t>MENS</t>
        </is>
      </c>
      <c r="H2297" s="0" t="inlineStr">
        <is>
          <t>S</t>
        </is>
      </c>
      <c r="I2297" s="0">
        <v>54.99</v>
      </c>
      <c r="J2297" s="0">
        <v>4</v>
      </c>
    </row>
    <row r="2298" spans="1:10" customHeight="0">
      <c r="A2298" s="0">
        <f>HYPERLINK("https://dl.dropboxusercontent.com/scl/fi/7w5z7w1hyg58kmlnodywo/1144450-af.jpg?rlkey=fgo55nkibiolounv4herr43fr&amp;dl=0","Click to download Image")</f>
      </c>
      <c r="B2298" s="0">
        <f>HYPERLINK("https://dl.dropboxusercontent.com/scl/fi/xb08sm1dldbuup129wpgk/mens-hoodie-size-chartsace.jpg?rlkey=ygx95a8gfd3ty78a9xg7xqchp&amp;dl=0","Click to download SizeChart")</f>
      </c>
      <c r="C2298" s="0" t="inlineStr">
        <is>
          <t>Ace Mens Scuba Hoodie</t>
        </is>
      </c>
      <c r="D2298" s="0" t="inlineStr">
        <is>
          <t>'114450</t>
        </is>
      </c>
      <c r="E2298" s="0" t="inlineStr">
        <is>
          <t>KSU ACE M GREY:114450B-M</t>
        </is>
      </c>
      <c r="F2298" s="0" t="inlineStr">
        <is>
          <t>'805114450051</t>
        </is>
      </c>
      <c r="G2298" s="0" t="inlineStr">
        <is>
          <t>MENS</t>
        </is>
      </c>
      <c r="H2298" s="0" t="inlineStr">
        <is>
          <t>M</t>
        </is>
      </c>
      <c r="I2298" s="0">
        <v>54.99</v>
      </c>
      <c r="J2298" s="0">
        <v>7</v>
      </c>
    </row>
    <row r="2299" spans="1:10" customHeight="0">
      <c r="A2299" s="0">
        <f>HYPERLINK("https://dl.dropboxusercontent.com/scl/fi/7w5z7w1hyg58kmlnodywo/1144450-af.jpg?rlkey=fgo55nkibiolounv4herr43fr&amp;dl=0","Click to download Image")</f>
      </c>
      <c r="B2299" s="0">
        <f>HYPERLINK("https://dl.dropboxusercontent.com/scl/fi/xb08sm1dldbuup129wpgk/mens-hoodie-size-chartsace.jpg?rlkey=ygx95a8gfd3ty78a9xg7xqchp&amp;dl=0","Click to download SizeChart")</f>
      </c>
      <c r="C2299" s="0" t="inlineStr">
        <is>
          <t>Ace Mens Scuba Hoodie</t>
        </is>
      </c>
      <c r="D2299" s="0" t="inlineStr">
        <is>
          <t>'114450</t>
        </is>
      </c>
      <c r="E2299" s="0" t="inlineStr">
        <is>
          <t>KSU ACE M GREY:114450C-L</t>
        </is>
      </c>
      <c r="F2299" s="0" t="inlineStr">
        <is>
          <t>'805114450068</t>
        </is>
      </c>
      <c r="G2299" s="0" t="inlineStr">
        <is>
          <t>MENS</t>
        </is>
      </c>
      <c r="H2299" s="0" t="inlineStr">
        <is>
          <t>L</t>
        </is>
      </c>
      <c r="I2299" s="0">
        <v>54.99</v>
      </c>
      <c r="J2299" s="0">
        <v>2</v>
      </c>
    </row>
    <row r="2300" spans="1:10" customHeight="0">
      <c r="A2300" s="0">
        <f>HYPERLINK("https://dl.dropboxusercontent.com/scl/fi/7w5z7w1hyg58kmlnodywo/1144450-af.jpg?rlkey=fgo55nkibiolounv4herr43fr&amp;dl=0","Click to download Image")</f>
      </c>
      <c r="B2300" s="0">
        <f>HYPERLINK("https://dl.dropboxusercontent.com/scl/fi/xb08sm1dldbuup129wpgk/mens-hoodie-size-chartsace.jpg?rlkey=ygx95a8gfd3ty78a9xg7xqchp&amp;dl=0","Click to download SizeChart")</f>
      </c>
      <c r="C2300" s="0" t="inlineStr">
        <is>
          <t>Ace Mens Scuba Hoodie</t>
        </is>
      </c>
      <c r="D2300" s="0" t="inlineStr">
        <is>
          <t>'114450</t>
        </is>
      </c>
      <c r="E2300" s="0" t="inlineStr">
        <is>
          <t>KSU ACE M GREY:114450D-XL</t>
        </is>
      </c>
      <c r="F2300" s="0" t="inlineStr">
        <is>
          <t>'805114450075</t>
        </is>
      </c>
      <c r="G2300" s="0" t="inlineStr">
        <is>
          <t>MENS</t>
        </is>
      </c>
      <c r="H2300" s="0" t="inlineStr">
        <is>
          <t>XL</t>
        </is>
      </c>
      <c r="I2300" s="0">
        <v>54.99</v>
      </c>
      <c r="J2300" s="0">
        <v>4</v>
      </c>
    </row>
    <row r="2301" spans="1:10" customHeight="0">
      <c r="A2301" s="0">
        <f>HYPERLINK("https://dl.dropboxusercontent.com/scl/fi/7w5z7w1hyg58kmlnodywo/1144450-af.jpg?rlkey=fgo55nkibiolounv4herr43fr&amp;dl=0","Click to download Image")</f>
      </c>
      <c r="B2301" s="0">
        <f>HYPERLINK("https://dl.dropboxusercontent.com/scl/fi/xb08sm1dldbuup129wpgk/mens-hoodie-size-chartsace.jpg?rlkey=ygx95a8gfd3ty78a9xg7xqchp&amp;dl=0","Click to download SizeChart")</f>
      </c>
      <c r="C2301" s="0" t="inlineStr">
        <is>
          <t>Ace Mens Scuba Hoodie</t>
        </is>
      </c>
      <c r="D2301" s="0" t="inlineStr">
        <is>
          <t>'114450</t>
        </is>
      </c>
      <c r="E2301" s="0" t="inlineStr">
        <is>
          <t>KSU ACE M GREY:114450E-2XL</t>
        </is>
      </c>
      <c r="F2301" s="0" t="inlineStr">
        <is>
          <t>'805114450082</t>
        </is>
      </c>
      <c r="G2301" s="0" t="inlineStr">
        <is>
          <t>MENS</t>
        </is>
      </c>
      <c r="H2301" s="0" t="inlineStr">
        <is>
          <t>2XL</t>
        </is>
      </c>
      <c r="I2301" s="0">
        <v>56.99</v>
      </c>
      <c r="J2301" s="0">
        <v>7</v>
      </c>
    </row>
    <row r="2302" spans="1:10" customHeight="0">
      <c r="A2302" s="0">
        <f>HYPERLINK("https://dl.dropboxusercontent.com/scl/fi/7w5z7w1hyg58kmlnodywo/1144450-af.jpg?rlkey=fgo55nkibiolounv4herr43fr&amp;dl=0","Click to download Image")</f>
      </c>
      <c r="B2302" s="0">
        <f>HYPERLINK("https://dl.dropboxusercontent.com/scl/fi/xb08sm1dldbuup129wpgk/mens-hoodie-size-chartsace.jpg?rlkey=ygx95a8gfd3ty78a9xg7xqchp&amp;dl=0","Click to download SizeChart")</f>
      </c>
      <c r="C2302" s="0" t="inlineStr">
        <is>
          <t>Ace Mens Scuba Hoodie</t>
        </is>
      </c>
      <c r="D2302" s="0" t="inlineStr">
        <is>
          <t>'114450</t>
        </is>
      </c>
      <c r="E2302" s="0" t="inlineStr">
        <is>
          <t>KSU ACE M GREY:114450F-3XL</t>
        </is>
      </c>
      <c r="F2302" s="0" t="inlineStr">
        <is>
          <t>'805114450099</t>
        </is>
      </c>
      <c r="G2302" s="0" t="inlineStr">
        <is>
          <t>MENS</t>
        </is>
      </c>
      <c r="H2302" s="0" t="inlineStr">
        <is>
          <t>3XL</t>
        </is>
      </c>
      <c r="I2302" s="0">
        <v>56.99</v>
      </c>
      <c r="J2302" s="0">
        <v>5</v>
      </c>
    </row>
    <row r="2303" spans="1:10" customHeight="0">
      <c r="A2303" s="0">
        <f>HYPERLINK("https://dl.dropboxusercontent.com/scl/fi/7w5z7w1hyg58kmlnodywo/1144450-af.jpg?rlkey=fgo55nkibiolounv4herr43fr&amp;dl=0","Click to download Image")</f>
      </c>
      <c r="B2303" s="0">
        <f>HYPERLINK("https://dl.dropboxusercontent.com/scl/fi/xb08sm1dldbuup129wpgk/mens-hoodie-size-chartsace.jpg?rlkey=ygx95a8gfd3ty78a9xg7xqchp&amp;dl=0","Click to download SizeChart")</f>
      </c>
      <c r="C2303" s="0" t="inlineStr">
        <is>
          <t>Ace Mens Scuba Hoodie</t>
        </is>
      </c>
      <c r="D2303" s="0" t="inlineStr">
        <is>
          <t>'114450</t>
        </is>
      </c>
      <c r="E2303" s="0" t="inlineStr">
        <is>
          <t>KSU ACE M GREY 12 PACK:114450Z-12PK</t>
        </is>
      </c>
      <c r="F2303" s="0" t="inlineStr">
        <is>
          <t>'805114450990</t>
        </is>
      </c>
      <c r="G2303" s="0" t="inlineStr">
        <is>
          <t>MENS</t>
        </is>
      </c>
      <c r="H2303" s="0" t="inlineStr">
        <is>
          <t>12 PACK</t>
        </is>
      </c>
      <c r="I2303" s="0">
        <v>640</v>
      </c>
      <c r="J2303" s="0">
        <v>0</v>
      </c>
    </row>
    <row r="2304" spans="1:10" customHeight="0">
      <c r="A2304" s="0">
        <f>HYPERLINK("https://dl.dropboxusercontent.com/scl/fi/vu5zljfupg23o8hwcptl0/114446-af.jpg?rlkey=p8z7uj9dxksrcrgfty7cvpfr4&amp;dl=0","Click to download Image")</f>
      </c>
      <c r="B2304" s="0">
        <f>HYPERLINK("https://dl.dropboxusercontent.com/scl/fi/xb08sm1dldbuup129wpgk/mens-hoodie-size-chartsace.jpg?rlkey=ygx95a8gfd3ty78a9xg7xqchp&amp;dl=0","Click to download SizeChart")</f>
      </c>
      <c r="C2304" s="0" t="inlineStr">
        <is>
          <t>Ace Mens Scuba Hoodie</t>
        </is>
      </c>
      <c r="D2304" s="0" t="inlineStr">
        <is>
          <t>'114446</t>
        </is>
      </c>
      <c r="E2304" s="0" t="inlineStr">
        <is>
          <t>UNI ACE M GREY:114446A-S</t>
        </is>
      </c>
      <c r="F2304" s="0" t="inlineStr">
        <is>
          <t>'802114446046</t>
        </is>
      </c>
      <c r="G2304" s="0" t="inlineStr">
        <is>
          <t>MENS</t>
        </is>
      </c>
      <c r="H2304" s="0" t="inlineStr">
        <is>
          <t>S</t>
        </is>
      </c>
      <c r="I2304" s="0">
        <v>54.99</v>
      </c>
      <c r="J2304" s="0">
        <v>1</v>
      </c>
    </row>
    <row r="2305" spans="1:10" customHeight="0">
      <c r="A2305" s="0">
        <f>HYPERLINK("https://dl.dropboxusercontent.com/scl/fi/vu5zljfupg23o8hwcptl0/114446-af.jpg?rlkey=p8z7uj9dxksrcrgfty7cvpfr4&amp;dl=0","Click to download Image")</f>
      </c>
      <c r="B2305" s="0">
        <f>HYPERLINK("https://dl.dropboxusercontent.com/scl/fi/xb08sm1dldbuup129wpgk/mens-hoodie-size-chartsace.jpg?rlkey=ygx95a8gfd3ty78a9xg7xqchp&amp;dl=0","Click to download SizeChart")</f>
      </c>
      <c r="C2305" s="0" t="inlineStr">
        <is>
          <t>Ace Mens Scuba Hoodie</t>
        </is>
      </c>
      <c r="D2305" s="0" t="inlineStr">
        <is>
          <t>'114446</t>
        </is>
      </c>
      <c r="E2305" s="0" t="inlineStr">
        <is>
          <t>UNI ACE M GREY:114446B-M</t>
        </is>
      </c>
      <c r="F2305" s="0" t="inlineStr">
        <is>
          <t>'802114446053</t>
        </is>
      </c>
      <c r="G2305" s="0" t="inlineStr">
        <is>
          <t>MENS</t>
        </is>
      </c>
      <c r="H2305" s="0" t="inlineStr">
        <is>
          <t>M</t>
        </is>
      </c>
      <c r="I2305" s="0">
        <v>54.99</v>
      </c>
      <c r="J2305" s="0">
        <v>6</v>
      </c>
    </row>
    <row r="2306" spans="1:10" customHeight="0">
      <c r="A2306" s="0">
        <f>HYPERLINK("https://dl.dropboxusercontent.com/scl/fi/vu5zljfupg23o8hwcptl0/114446-af.jpg?rlkey=p8z7uj9dxksrcrgfty7cvpfr4&amp;dl=0","Click to download Image")</f>
      </c>
      <c r="B2306" s="0">
        <f>HYPERLINK("https://dl.dropboxusercontent.com/scl/fi/xb08sm1dldbuup129wpgk/mens-hoodie-size-chartsace.jpg?rlkey=ygx95a8gfd3ty78a9xg7xqchp&amp;dl=0","Click to download SizeChart")</f>
      </c>
      <c r="C2306" s="0" t="inlineStr">
        <is>
          <t>Ace Mens Scuba Hoodie</t>
        </is>
      </c>
      <c r="D2306" s="0" t="inlineStr">
        <is>
          <t>'114446</t>
        </is>
      </c>
      <c r="E2306" s="0" t="inlineStr">
        <is>
          <t>UNI ACE M GREY:114446C-L</t>
        </is>
      </c>
      <c r="F2306" s="0" t="inlineStr">
        <is>
          <t>'802114446060</t>
        </is>
      </c>
      <c r="G2306" s="0" t="inlineStr">
        <is>
          <t>MENS</t>
        </is>
      </c>
      <c r="H2306" s="0" t="inlineStr">
        <is>
          <t>L</t>
        </is>
      </c>
      <c r="I2306" s="0">
        <v>54.99</v>
      </c>
      <c r="J2306" s="0">
        <v>9</v>
      </c>
    </row>
    <row r="2307" spans="1:10" customHeight="0">
      <c r="A2307" s="0">
        <f>HYPERLINK("https://dl.dropboxusercontent.com/scl/fi/vu5zljfupg23o8hwcptl0/114446-af.jpg?rlkey=p8z7uj9dxksrcrgfty7cvpfr4&amp;dl=0","Click to download Image")</f>
      </c>
      <c r="B2307" s="0">
        <f>HYPERLINK("https://dl.dropboxusercontent.com/scl/fi/xb08sm1dldbuup129wpgk/mens-hoodie-size-chartsace.jpg?rlkey=ygx95a8gfd3ty78a9xg7xqchp&amp;dl=0","Click to download SizeChart")</f>
      </c>
      <c r="C2307" s="0" t="inlineStr">
        <is>
          <t>Ace Mens Scuba Hoodie</t>
        </is>
      </c>
      <c r="D2307" s="0" t="inlineStr">
        <is>
          <t>'114446</t>
        </is>
      </c>
      <c r="E2307" s="0" t="inlineStr">
        <is>
          <t>UNI ACE M GREY:114446D-XL</t>
        </is>
      </c>
      <c r="F2307" s="0" t="inlineStr">
        <is>
          <t>'802114446077</t>
        </is>
      </c>
      <c r="G2307" s="0" t="inlineStr">
        <is>
          <t>MENS</t>
        </is>
      </c>
      <c r="H2307" s="0" t="inlineStr">
        <is>
          <t>XL</t>
        </is>
      </c>
      <c r="I2307" s="0">
        <v>54.99</v>
      </c>
      <c r="J2307" s="0">
        <v>9</v>
      </c>
    </row>
    <row r="2308" spans="1:10" customHeight="0">
      <c r="A2308" s="0">
        <f>HYPERLINK("https://dl.dropboxusercontent.com/scl/fi/vu5zljfupg23o8hwcptl0/114446-af.jpg?rlkey=p8z7uj9dxksrcrgfty7cvpfr4&amp;dl=0","Click to download Image")</f>
      </c>
      <c r="B2308" s="0">
        <f>HYPERLINK("https://dl.dropboxusercontent.com/scl/fi/xb08sm1dldbuup129wpgk/mens-hoodie-size-chartsace.jpg?rlkey=ygx95a8gfd3ty78a9xg7xqchp&amp;dl=0","Click to download SizeChart")</f>
      </c>
      <c r="C2308" s="0" t="inlineStr">
        <is>
          <t>Ace Mens Scuba Hoodie</t>
        </is>
      </c>
      <c r="D2308" s="0" t="inlineStr">
        <is>
          <t>'114446</t>
        </is>
      </c>
      <c r="E2308" s="0" t="inlineStr">
        <is>
          <t>UNI ACE M GREY:114446E-2XL</t>
        </is>
      </c>
      <c r="F2308" s="0" t="inlineStr">
        <is>
          <t>'802114446084</t>
        </is>
      </c>
      <c r="G2308" s="0" t="inlineStr">
        <is>
          <t>MENS</t>
        </is>
      </c>
      <c r="H2308" s="0" t="inlineStr">
        <is>
          <t>2XL</t>
        </is>
      </c>
      <c r="I2308" s="0">
        <v>56.99</v>
      </c>
      <c r="J2308" s="0">
        <v>8</v>
      </c>
    </row>
    <row r="2309" spans="1:10" customHeight="0">
      <c r="A2309" s="0">
        <f>HYPERLINK("https://dl.dropboxusercontent.com/scl/fi/vu5zljfupg23o8hwcptl0/114446-af.jpg?rlkey=p8z7uj9dxksrcrgfty7cvpfr4&amp;dl=0","Click to download Image")</f>
      </c>
      <c r="B2309" s="0">
        <f>HYPERLINK("https://dl.dropboxusercontent.com/scl/fi/xb08sm1dldbuup129wpgk/mens-hoodie-size-chartsace.jpg?rlkey=ygx95a8gfd3ty78a9xg7xqchp&amp;dl=0","Click to download SizeChart")</f>
      </c>
      <c r="C2309" s="0" t="inlineStr">
        <is>
          <t>Ace Mens Scuba Hoodie</t>
        </is>
      </c>
      <c r="D2309" s="0" t="inlineStr">
        <is>
          <t>'114446</t>
        </is>
      </c>
      <c r="E2309" s="0" t="inlineStr">
        <is>
          <t>UNI ACE M GREY:114446F-3XL</t>
        </is>
      </c>
      <c r="F2309" s="0" t="inlineStr">
        <is>
          <t>'802114446091</t>
        </is>
      </c>
      <c r="G2309" s="0" t="inlineStr">
        <is>
          <t>MENS</t>
        </is>
      </c>
      <c r="H2309" s="0" t="inlineStr">
        <is>
          <t>3XL</t>
        </is>
      </c>
      <c r="I2309" s="0">
        <v>56.99</v>
      </c>
      <c r="J2309" s="0">
        <v>5</v>
      </c>
    </row>
    <row r="2310" spans="1:10" customHeight="0">
      <c r="A2310" s="0">
        <f>HYPERLINK("https://dl.dropboxusercontent.com/scl/fi/vu5zljfupg23o8hwcptl0/114446-af.jpg?rlkey=p8z7uj9dxksrcrgfty7cvpfr4&amp;dl=0","Click to download Image")</f>
      </c>
      <c r="B2310" s="0">
        <f>HYPERLINK("https://dl.dropboxusercontent.com/scl/fi/xb08sm1dldbuup129wpgk/mens-hoodie-size-chartsace.jpg?rlkey=ygx95a8gfd3ty78a9xg7xqchp&amp;dl=0","Click to download SizeChart")</f>
      </c>
      <c r="C2310" s="0" t="inlineStr">
        <is>
          <t>Ace Mens Scuba Hoodie</t>
        </is>
      </c>
      <c r="D2310" s="0" t="inlineStr">
        <is>
          <t>'114446</t>
        </is>
      </c>
      <c r="E2310" s="0" t="inlineStr">
        <is>
          <t>UNI ACE M GREY 12 PACK:114446Z-12PK</t>
        </is>
      </c>
      <c r="F2310" s="0" t="inlineStr">
        <is>
          <t>'802114446992</t>
        </is>
      </c>
      <c r="G2310" s="0" t="inlineStr">
        <is>
          <t>MENS</t>
        </is>
      </c>
      <c r="H2310" s="0" t="inlineStr">
        <is>
          <t>12 PACK</t>
        </is>
      </c>
      <c r="I2310" s="0">
        <v>640</v>
      </c>
      <c r="J2310" s="0">
        <v>0</v>
      </c>
    </row>
    <row r="2311" spans="1:10" customHeight="0">
      <c r="A2311" s="0">
        <f>HYPERLINK("https://dl.dropboxusercontent.com/scl/fi/ey9isw1i8zzkclau43yzu/allegraisuedit-2.jpg?rlkey=kqsjhxhwr8qhvq70fbiepl3j6&amp;dl=0","Click to download Image")</f>
      </c>
      <c r="B2311" s="0">
        <f>HYPERLINK("https://dl.dropboxusercontent.com/scl/fi/f4v1s3r6299d1cm9u6rje/womens-size-chartsallegra.jpg?rlkey=pask7k8cap0mlhidh4zust7aq&amp;dl=0","Click to download SizeChart")</f>
      </c>
      <c r="C2311" s="0" t="inlineStr">
        <is>
          <t>Allegra Women's Sherpa Wrap</t>
        </is>
      </c>
      <c r="D2311" s="0" t="inlineStr">
        <is>
          <t>'113221</t>
        </is>
      </c>
      <c r="E2311" s="0" t="inlineStr">
        <is>
          <t>ISU ALLEGRA W FROSTED BLACK:113221A-S</t>
        </is>
      </c>
      <c r="F2311" s="0" t="inlineStr">
        <is>
          <t>'801113221043</t>
        </is>
      </c>
      <c r="G2311" s="0" t="inlineStr">
        <is>
          <t>WOMENS</t>
        </is>
      </c>
      <c r="H2311" s="0" t="inlineStr">
        <is>
          <t>S</t>
        </is>
      </c>
      <c r="I2311" s="0">
        <v>54.99</v>
      </c>
      <c r="J2311" s="0">
        <v>3</v>
      </c>
    </row>
    <row r="2312" spans="1:10" customHeight="0">
      <c r="A2312" s="0">
        <f>HYPERLINK("https://dl.dropboxusercontent.com/scl/fi/ey9isw1i8zzkclau43yzu/allegraisuedit-2.jpg?rlkey=kqsjhxhwr8qhvq70fbiepl3j6&amp;dl=0","Click to download Image")</f>
      </c>
      <c r="B2312" s="0">
        <f>HYPERLINK("https://dl.dropboxusercontent.com/scl/fi/f4v1s3r6299d1cm9u6rje/womens-size-chartsallegra.jpg?rlkey=pask7k8cap0mlhidh4zust7aq&amp;dl=0","Click to download SizeChart")</f>
      </c>
      <c r="C2312" s="0" t="inlineStr">
        <is>
          <t>Allegra Women's Sherpa Wrap</t>
        </is>
      </c>
      <c r="D2312" s="0" t="inlineStr">
        <is>
          <t>'113221</t>
        </is>
      </c>
      <c r="E2312" s="0" t="inlineStr">
        <is>
          <t>ISU ALLEGRA W FROSTED BLACK:113221B-M</t>
        </is>
      </c>
      <c r="F2312" s="0" t="inlineStr">
        <is>
          <t>'801113221050</t>
        </is>
      </c>
      <c r="G2312" s="0" t="inlineStr">
        <is>
          <t>WOMENS</t>
        </is>
      </c>
      <c r="H2312" s="0" t="inlineStr">
        <is>
          <t>M</t>
        </is>
      </c>
      <c r="I2312" s="0">
        <v>54.99</v>
      </c>
      <c r="J2312" s="0">
        <v>17</v>
      </c>
    </row>
    <row r="2313" spans="1:10" customHeight="0">
      <c r="A2313" s="0">
        <f>HYPERLINK("https://dl.dropboxusercontent.com/scl/fi/ey9isw1i8zzkclau43yzu/allegraisuedit-2.jpg?rlkey=kqsjhxhwr8qhvq70fbiepl3j6&amp;dl=0","Click to download Image")</f>
      </c>
      <c r="B2313" s="0">
        <f>HYPERLINK("https://dl.dropboxusercontent.com/scl/fi/f4v1s3r6299d1cm9u6rje/womens-size-chartsallegra.jpg?rlkey=pask7k8cap0mlhidh4zust7aq&amp;dl=0","Click to download SizeChart")</f>
      </c>
      <c r="C2313" s="0" t="inlineStr">
        <is>
          <t>Allegra Women's Sherpa Wrap</t>
        </is>
      </c>
      <c r="D2313" s="0" t="inlineStr">
        <is>
          <t>'113221</t>
        </is>
      </c>
      <c r="E2313" s="0" t="inlineStr">
        <is>
          <t>ISU ALLEGRA W FROSTED BLACK:113221C-L</t>
        </is>
      </c>
      <c r="F2313" s="0" t="inlineStr">
        <is>
          <t>'801113221067</t>
        </is>
      </c>
      <c r="G2313" s="0" t="inlineStr">
        <is>
          <t>WOMENS</t>
        </is>
      </c>
      <c r="H2313" s="0" t="inlineStr">
        <is>
          <t>L</t>
        </is>
      </c>
      <c r="I2313" s="0">
        <v>54.99</v>
      </c>
      <c r="J2313" s="0">
        <v>14</v>
      </c>
    </row>
    <row r="2314" spans="1:10" customHeight="0">
      <c r="A2314" s="0">
        <f>HYPERLINK("https://dl.dropboxusercontent.com/scl/fi/ey9isw1i8zzkclau43yzu/allegraisuedit-2.jpg?rlkey=kqsjhxhwr8qhvq70fbiepl3j6&amp;dl=0","Click to download Image")</f>
      </c>
      <c r="B2314" s="0">
        <f>HYPERLINK("https://dl.dropboxusercontent.com/scl/fi/f4v1s3r6299d1cm9u6rje/womens-size-chartsallegra.jpg?rlkey=pask7k8cap0mlhidh4zust7aq&amp;dl=0","Click to download SizeChart")</f>
      </c>
      <c r="C2314" s="0" t="inlineStr">
        <is>
          <t>Allegra Women's Sherpa Wrap</t>
        </is>
      </c>
      <c r="D2314" s="0" t="inlineStr">
        <is>
          <t>'113221</t>
        </is>
      </c>
      <c r="E2314" s="0" t="inlineStr">
        <is>
          <t>ISU ALLEGRA W FROSTED BLACK:113221D-XL</t>
        </is>
      </c>
      <c r="F2314" s="0" t="inlineStr">
        <is>
          <t>'801113221074</t>
        </is>
      </c>
      <c r="G2314" s="0" t="inlineStr">
        <is>
          <t>WOMENS</t>
        </is>
      </c>
      <c r="H2314" s="0" t="inlineStr">
        <is>
          <t>XL</t>
        </is>
      </c>
      <c r="I2314" s="0">
        <v>54.99</v>
      </c>
      <c r="J2314" s="0">
        <v>0</v>
      </c>
    </row>
    <row r="2315" spans="1:10" customHeight="0">
      <c r="A2315" s="0">
        <f>HYPERLINK("https://dl.dropboxusercontent.com/scl/fi/ey9isw1i8zzkclau43yzu/allegraisuedit-2.jpg?rlkey=kqsjhxhwr8qhvq70fbiepl3j6&amp;dl=0","Click to download Image")</f>
      </c>
      <c r="B2315" s="0">
        <f>HYPERLINK("https://dl.dropboxusercontent.com/scl/fi/f4v1s3r6299d1cm9u6rje/womens-size-chartsallegra.jpg?rlkey=pask7k8cap0mlhidh4zust7aq&amp;dl=0","Click to download SizeChart")</f>
      </c>
      <c r="C2315" s="0" t="inlineStr">
        <is>
          <t>Allegra Women's Sherpa Wrap</t>
        </is>
      </c>
      <c r="D2315" s="0" t="inlineStr">
        <is>
          <t>'113221</t>
        </is>
      </c>
      <c r="E2315" s="0" t="inlineStr">
        <is>
          <t>ISU ALLEGRA W FROSTED BLACK:113221E-2XL</t>
        </is>
      </c>
      <c r="F2315" s="0" t="inlineStr">
        <is>
          <t>'801113221081</t>
        </is>
      </c>
      <c r="G2315" s="0" t="inlineStr">
        <is>
          <t>WOMENS</t>
        </is>
      </c>
      <c r="H2315" s="0" t="inlineStr">
        <is>
          <t>2XL</t>
        </is>
      </c>
      <c r="I2315" s="0">
        <v>56.99</v>
      </c>
      <c r="J2315" s="0">
        <v>3</v>
      </c>
    </row>
    <row r="2316" spans="1:10" customHeight="0">
      <c r="A2316" s="0">
        <f>HYPERLINK("https://dl.dropboxusercontent.com/scl/fi/ey9isw1i8zzkclau43yzu/allegraisuedit-2.jpg?rlkey=kqsjhxhwr8qhvq70fbiepl3j6&amp;dl=0","Click to download Image")</f>
      </c>
      <c r="B2316" s="0">
        <f>HYPERLINK("https://dl.dropboxusercontent.com/scl/fi/f4v1s3r6299d1cm9u6rje/womens-size-chartsallegra.jpg?rlkey=pask7k8cap0mlhidh4zust7aq&amp;dl=0","Click to download SizeChart")</f>
      </c>
      <c r="C2316" s="0" t="inlineStr">
        <is>
          <t>Allegra Women's Sherpa Wrap</t>
        </is>
      </c>
      <c r="D2316" s="0" t="inlineStr">
        <is>
          <t>'113221</t>
        </is>
      </c>
      <c r="E2316" s="0" t="inlineStr">
        <is>
          <t>ISU ALLEGRA W FROSTED BLACK:113221F-3XL</t>
        </is>
      </c>
      <c r="F2316" s="0" t="inlineStr">
        <is>
          <t>'801113221098</t>
        </is>
      </c>
      <c r="G2316" s="0" t="inlineStr">
        <is>
          <t>WOMENS</t>
        </is>
      </c>
      <c r="H2316" s="0" t="inlineStr">
        <is>
          <t>3XL</t>
        </is>
      </c>
      <c r="I2316" s="0">
        <v>56.99</v>
      </c>
      <c r="J2316" s="0">
        <v>0</v>
      </c>
    </row>
    <row r="2317" spans="1:10" customHeight="0">
      <c r="A2317" s="0">
        <f>HYPERLINK("https://dl.dropboxusercontent.com/scl/fi/ey9isw1i8zzkclau43yzu/allegraisuedit-2.jpg?rlkey=kqsjhxhwr8qhvq70fbiepl3j6&amp;dl=0","Click to download Image")</f>
      </c>
      <c r="B2317" s="0">
        <f>HYPERLINK("https://dl.dropboxusercontent.com/scl/fi/f4v1s3r6299d1cm9u6rje/womens-size-chartsallegra.jpg?rlkey=pask7k8cap0mlhidh4zust7aq&amp;dl=0","Click to download SizeChart")</f>
      </c>
      <c r="C2317" s="0" t="inlineStr">
        <is>
          <t>Allegra Women's Sherpa Wrap</t>
        </is>
      </c>
      <c r="D2317" s="0" t="inlineStr">
        <is>
          <t>'113221</t>
        </is>
      </c>
      <c r="E2317" s="0" t="inlineStr">
        <is>
          <t>ISU ALLEGRA W FROSTED BLACK 12 PACK:113221Z-12PK</t>
        </is>
      </c>
      <c r="F2317" s="0" t="inlineStr">
        <is>
          <t>'801113221999</t>
        </is>
      </c>
      <c r="G2317" s="0" t="inlineStr">
        <is>
          <t>WOMENS</t>
        </is>
      </c>
      <c r="H2317" s="0" t="inlineStr">
        <is>
          <t>12 PACK</t>
        </is>
      </c>
      <c r="I2317" s="0">
        <v>560</v>
      </c>
      <c r="J2317" s="0">
        <v>0</v>
      </c>
    </row>
    <row r="2318" spans="1:10" customHeight="0">
      <c r="A2318" s="0">
        <f>HYPERLINK("https://dl.dropboxusercontent.com/scl/fi/rzawetnc7ckoh5w9m1v8a/114581af.jpg?rlkey=8sd3ook8hmn35zr8jzcx4cvze&amp;dl=0","Click to download Image")</f>
      </c>
      <c r="B2318" s="0">
        <f>HYPERLINK("https://dl.dropboxusercontent.com/scl/fi/f4v1s3r6299d1cm9u6rje/womens-size-chartsallegra.jpg?rlkey=pask7k8cap0mlhidh4zust7aq&amp;dl=0","Click to download SizeChart")</f>
      </c>
      <c r="C2318" s="0" t="inlineStr">
        <is>
          <t>Allegra Women's Sherpa Wrap</t>
        </is>
      </c>
      <c r="D2318" s="0" t="inlineStr">
        <is>
          <t>'114581</t>
        </is>
      </c>
      <c r="E2318" s="0" t="inlineStr">
        <is>
          <t>KSU ALLEGRA W FROSTED BLACK:114581A-S</t>
        </is>
      </c>
      <c r="F2318" s="0" t="inlineStr">
        <is>
          <t>'805114581045</t>
        </is>
      </c>
      <c r="G2318" s="0" t="inlineStr">
        <is>
          <t>WOMENS</t>
        </is>
      </c>
      <c r="H2318" s="0" t="inlineStr">
        <is>
          <t>S</t>
        </is>
      </c>
      <c r="I2318" s="0">
        <v>54.99</v>
      </c>
      <c r="J2318" s="0">
        <v>7</v>
      </c>
    </row>
    <row r="2319" spans="1:10" customHeight="0">
      <c r="A2319" s="0">
        <f>HYPERLINK("https://dl.dropboxusercontent.com/scl/fi/rzawetnc7ckoh5w9m1v8a/114581af.jpg?rlkey=8sd3ook8hmn35zr8jzcx4cvze&amp;dl=0","Click to download Image")</f>
      </c>
      <c r="B2319" s="0">
        <f>HYPERLINK("https://dl.dropboxusercontent.com/scl/fi/f4v1s3r6299d1cm9u6rje/womens-size-chartsallegra.jpg?rlkey=pask7k8cap0mlhidh4zust7aq&amp;dl=0","Click to download SizeChart")</f>
      </c>
      <c r="C2319" s="0" t="inlineStr">
        <is>
          <t>Allegra Women's Sherpa Wrap</t>
        </is>
      </c>
      <c r="D2319" s="0" t="inlineStr">
        <is>
          <t>'114581</t>
        </is>
      </c>
      <c r="E2319" s="0" t="inlineStr">
        <is>
          <t>KSU ALLEGRA W FROSTED BLACK:114581B-M</t>
        </is>
      </c>
      <c r="F2319" s="0" t="inlineStr">
        <is>
          <t>'805114581052</t>
        </is>
      </c>
      <c r="G2319" s="0" t="inlineStr">
        <is>
          <t>WOMENS</t>
        </is>
      </c>
      <c r="H2319" s="0" t="inlineStr">
        <is>
          <t>M</t>
        </is>
      </c>
      <c r="I2319" s="0">
        <v>54.99</v>
      </c>
      <c r="J2319" s="0">
        <v>15</v>
      </c>
    </row>
    <row r="2320" spans="1:10" customHeight="0">
      <c r="A2320" s="0">
        <f>HYPERLINK("https://dl.dropboxusercontent.com/scl/fi/rzawetnc7ckoh5w9m1v8a/114581af.jpg?rlkey=8sd3ook8hmn35zr8jzcx4cvze&amp;dl=0","Click to download Image")</f>
      </c>
      <c r="B2320" s="0">
        <f>HYPERLINK("https://dl.dropboxusercontent.com/scl/fi/f4v1s3r6299d1cm9u6rje/womens-size-chartsallegra.jpg?rlkey=pask7k8cap0mlhidh4zust7aq&amp;dl=0","Click to download SizeChart")</f>
      </c>
      <c r="C2320" s="0" t="inlineStr">
        <is>
          <t>Allegra Women's Sherpa Wrap</t>
        </is>
      </c>
      <c r="D2320" s="0" t="inlineStr">
        <is>
          <t>'114581</t>
        </is>
      </c>
      <c r="E2320" s="0" t="inlineStr">
        <is>
          <t>KSU ALLEGRA W FROSTED BLACK:114581C-L</t>
        </is>
      </c>
      <c r="F2320" s="0" t="inlineStr">
        <is>
          <t>'805114581069</t>
        </is>
      </c>
      <c r="G2320" s="0" t="inlineStr">
        <is>
          <t>WOMENS</t>
        </is>
      </c>
      <c r="H2320" s="0" t="inlineStr">
        <is>
          <t>L</t>
        </is>
      </c>
      <c r="I2320" s="0">
        <v>54.99</v>
      </c>
      <c r="J2320" s="0">
        <v>15</v>
      </c>
    </row>
    <row r="2321" spans="1:10" customHeight="0">
      <c r="A2321" s="0">
        <f>HYPERLINK("https://dl.dropboxusercontent.com/scl/fi/rzawetnc7ckoh5w9m1v8a/114581af.jpg?rlkey=8sd3ook8hmn35zr8jzcx4cvze&amp;dl=0","Click to download Image")</f>
      </c>
      <c r="B2321" s="0">
        <f>HYPERLINK("https://dl.dropboxusercontent.com/scl/fi/f4v1s3r6299d1cm9u6rje/womens-size-chartsallegra.jpg?rlkey=pask7k8cap0mlhidh4zust7aq&amp;dl=0","Click to download SizeChart")</f>
      </c>
      <c r="C2321" s="0" t="inlineStr">
        <is>
          <t>Allegra Women's Sherpa Wrap</t>
        </is>
      </c>
      <c r="D2321" s="0" t="inlineStr">
        <is>
          <t>'114581</t>
        </is>
      </c>
      <c r="E2321" s="0" t="inlineStr">
        <is>
          <t>KSU ALLEGRA W FROSTED BLACK:114581D-XL</t>
        </is>
      </c>
      <c r="F2321" s="0" t="inlineStr">
        <is>
          <t>'805114581076</t>
        </is>
      </c>
      <c r="G2321" s="0" t="inlineStr">
        <is>
          <t>WOMENS</t>
        </is>
      </c>
      <c r="H2321" s="0" t="inlineStr">
        <is>
          <t>XL</t>
        </is>
      </c>
      <c r="I2321" s="0">
        <v>54.99</v>
      </c>
      <c r="J2321" s="0">
        <v>7</v>
      </c>
    </row>
    <row r="2322" spans="1:10" customHeight="0">
      <c r="A2322" s="0">
        <f>HYPERLINK("https://dl.dropboxusercontent.com/scl/fi/rzawetnc7ckoh5w9m1v8a/114581af.jpg?rlkey=8sd3ook8hmn35zr8jzcx4cvze&amp;dl=0","Click to download Image")</f>
      </c>
      <c r="B2322" s="0">
        <f>HYPERLINK("https://dl.dropboxusercontent.com/scl/fi/f4v1s3r6299d1cm9u6rje/womens-size-chartsallegra.jpg?rlkey=pask7k8cap0mlhidh4zust7aq&amp;dl=0","Click to download SizeChart")</f>
      </c>
      <c r="C2322" s="0" t="inlineStr">
        <is>
          <t>Allegra Women's Sherpa Wrap</t>
        </is>
      </c>
      <c r="D2322" s="0" t="inlineStr">
        <is>
          <t>'114581</t>
        </is>
      </c>
      <c r="E2322" s="0" t="inlineStr">
        <is>
          <t>KSU ALLEGRA W FROSTED BLACK:114581E-2XL</t>
        </is>
      </c>
      <c r="F2322" s="0" t="inlineStr">
        <is>
          <t>'805114581083</t>
        </is>
      </c>
      <c r="G2322" s="0" t="inlineStr">
        <is>
          <t>WOMENS</t>
        </is>
      </c>
      <c r="H2322" s="0" t="inlineStr">
        <is>
          <t>2XL</t>
        </is>
      </c>
      <c r="I2322" s="0">
        <v>56.99</v>
      </c>
      <c r="J2322" s="0">
        <v>2</v>
      </c>
    </row>
    <row r="2323" spans="1:10" customHeight="0">
      <c r="A2323" s="0">
        <f>HYPERLINK("https://dl.dropboxusercontent.com/scl/fi/rzawetnc7ckoh5w9m1v8a/114581af.jpg?rlkey=8sd3ook8hmn35zr8jzcx4cvze&amp;dl=0","Click to download Image")</f>
      </c>
      <c r="B2323" s="0">
        <f>HYPERLINK("https://dl.dropboxusercontent.com/scl/fi/f4v1s3r6299d1cm9u6rje/womens-size-chartsallegra.jpg?rlkey=pask7k8cap0mlhidh4zust7aq&amp;dl=0","Click to download SizeChart")</f>
      </c>
      <c r="C2323" s="0" t="inlineStr">
        <is>
          <t>Allegra Women's Sherpa Wrap</t>
        </is>
      </c>
      <c r="D2323" s="0" t="inlineStr">
        <is>
          <t>'114581</t>
        </is>
      </c>
      <c r="E2323" s="0" t="inlineStr">
        <is>
          <t>KSU ALLEGRA W FROSTED BLACK:114581F-3XL</t>
        </is>
      </c>
      <c r="F2323" s="0" t="inlineStr">
        <is>
          <t>'805114581090</t>
        </is>
      </c>
      <c r="G2323" s="0" t="inlineStr">
        <is>
          <t>WOMENS</t>
        </is>
      </c>
      <c r="H2323" s="0" t="inlineStr">
        <is>
          <t>3XL</t>
        </is>
      </c>
      <c r="I2323" s="0">
        <v>56.99</v>
      </c>
      <c r="J2323" s="0">
        <v>0</v>
      </c>
    </row>
    <row r="2324" spans="1:10" customHeight="0">
      <c r="A2324" s="0">
        <f>HYPERLINK("https://dl.dropboxusercontent.com/scl/fi/rzawetnc7ckoh5w9m1v8a/114581af.jpg?rlkey=8sd3ook8hmn35zr8jzcx4cvze&amp;dl=0","Click to download Image")</f>
      </c>
      <c r="B2324" s="0">
        <f>HYPERLINK("https://dl.dropboxusercontent.com/scl/fi/f4v1s3r6299d1cm9u6rje/womens-size-chartsallegra.jpg?rlkey=pask7k8cap0mlhidh4zust7aq&amp;dl=0","Click to download SizeChart")</f>
      </c>
      <c r="C2324" s="0" t="inlineStr">
        <is>
          <t>Allegra Women's Sherpa Wrap</t>
        </is>
      </c>
      <c r="D2324" s="0" t="inlineStr">
        <is>
          <t>'114581</t>
        </is>
      </c>
      <c r="E2324" s="0" t="inlineStr">
        <is>
          <t>KSU ALLEGRA W FROSTED BLACK 12 PACK:114581Z-12PK</t>
        </is>
      </c>
      <c r="F2324" s="0" t="inlineStr">
        <is>
          <t>'805114581991</t>
        </is>
      </c>
      <c r="G2324" s="0" t="inlineStr">
        <is>
          <t>WOMENS</t>
        </is>
      </c>
      <c r="H2324" s="0" t="inlineStr">
        <is>
          <t>12 PACK</t>
        </is>
      </c>
      <c r="I2324" s="0">
        <v>560</v>
      </c>
      <c r="J2324" s="0">
        <v>0</v>
      </c>
    </row>
    <row r="2325" spans="1:10" customHeight="0">
      <c r="A2325" s="0">
        <f>HYPERLINK("https://dl.dropboxusercontent.com/scl/fi/aza7982gebnwofn8lexgn/114580af.jpg?rlkey=jr05hdobkrgs8sor2j2ezgudo&amp;dl=0","Click to download Image")</f>
      </c>
      <c r="B2325" s="0">
        <f>HYPERLINK("https://dl.dropboxusercontent.com/scl/fi/f4v1s3r6299d1cm9u6rje/womens-size-chartsallegra.jpg?rlkey=pask7k8cap0mlhidh4zust7aq&amp;dl=0","Click to download SizeChart")</f>
      </c>
      <c r="C2325" s="0" t="inlineStr">
        <is>
          <t>Allegra Women's Sherpa Wrap</t>
        </is>
      </c>
      <c r="D2325" s="0" t="inlineStr">
        <is>
          <t>'114580</t>
        </is>
      </c>
      <c r="E2325" s="0" t="inlineStr">
        <is>
          <t>MU ALLEGRA W FROSTED BLACK:114580A-S</t>
        </is>
      </c>
      <c r="F2325" s="0" t="inlineStr">
        <is>
          <t>'803114580044</t>
        </is>
      </c>
      <c r="G2325" s="0" t="inlineStr">
        <is>
          <t>WOMENS</t>
        </is>
      </c>
      <c r="H2325" s="0" t="inlineStr">
        <is>
          <t>S</t>
        </is>
      </c>
      <c r="I2325" s="0">
        <v>54.99</v>
      </c>
      <c r="J2325" s="0">
        <v>5</v>
      </c>
    </row>
    <row r="2326" spans="1:10" customHeight="0">
      <c r="A2326" s="0">
        <f>HYPERLINK("https://dl.dropboxusercontent.com/scl/fi/aza7982gebnwofn8lexgn/114580af.jpg?rlkey=jr05hdobkrgs8sor2j2ezgudo&amp;dl=0","Click to download Image")</f>
      </c>
      <c r="B2326" s="0">
        <f>HYPERLINK("https://dl.dropboxusercontent.com/scl/fi/f4v1s3r6299d1cm9u6rje/womens-size-chartsallegra.jpg?rlkey=pask7k8cap0mlhidh4zust7aq&amp;dl=0","Click to download SizeChart")</f>
      </c>
      <c r="C2326" s="0" t="inlineStr">
        <is>
          <t>Allegra Women's Sherpa Wrap</t>
        </is>
      </c>
      <c r="D2326" s="0" t="inlineStr">
        <is>
          <t>'114580</t>
        </is>
      </c>
      <c r="E2326" s="0" t="inlineStr">
        <is>
          <t>MU ALLEGRA W FROSTED BLACK:114580B-M</t>
        </is>
      </c>
      <c r="F2326" s="0" t="inlineStr">
        <is>
          <t>'803114580051</t>
        </is>
      </c>
      <c r="G2326" s="0" t="inlineStr">
        <is>
          <t>WOMENS</t>
        </is>
      </c>
      <c r="H2326" s="0" t="inlineStr">
        <is>
          <t>M</t>
        </is>
      </c>
      <c r="I2326" s="0">
        <v>54.99</v>
      </c>
      <c r="J2326" s="0">
        <v>13</v>
      </c>
    </row>
    <row r="2327" spans="1:10" customHeight="0">
      <c r="A2327" s="0">
        <f>HYPERLINK("https://dl.dropboxusercontent.com/scl/fi/aza7982gebnwofn8lexgn/114580af.jpg?rlkey=jr05hdobkrgs8sor2j2ezgudo&amp;dl=0","Click to download Image")</f>
      </c>
      <c r="B2327" s="0">
        <f>HYPERLINK("https://dl.dropboxusercontent.com/scl/fi/f4v1s3r6299d1cm9u6rje/womens-size-chartsallegra.jpg?rlkey=pask7k8cap0mlhidh4zust7aq&amp;dl=0","Click to download SizeChart")</f>
      </c>
      <c r="C2327" s="0" t="inlineStr">
        <is>
          <t>Allegra Women's Sherpa Wrap</t>
        </is>
      </c>
      <c r="D2327" s="0" t="inlineStr">
        <is>
          <t>'114580</t>
        </is>
      </c>
      <c r="E2327" s="0" t="inlineStr">
        <is>
          <t>MU ALLEGRA W FROSTED BLACK:114580C-L</t>
        </is>
      </c>
      <c r="F2327" s="0" t="inlineStr">
        <is>
          <t>'803114580068</t>
        </is>
      </c>
      <c r="G2327" s="0" t="inlineStr">
        <is>
          <t>WOMENS</t>
        </is>
      </c>
      <c r="H2327" s="0" t="inlineStr">
        <is>
          <t>L</t>
        </is>
      </c>
      <c r="I2327" s="0">
        <v>54.99</v>
      </c>
      <c r="J2327" s="0">
        <v>12</v>
      </c>
    </row>
    <row r="2328" spans="1:10" customHeight="0">
      <c r="A2328" s="0">
        <f>HYPERLINK("https://dl.dropboxusercontent.com/scl/fi/aza7982gebnwofn8lexgn/114580af.jpg?rlkey=jr05hdobkrgs8sor2j2ezgudo&amp;dl=0","Click to download Image")</f>
      </c>
      <c r="B2328" s="0">
        <f>HYPERLINK("https://dl.dropboxusercontent.com/scl/fi/f4v1s3r6299d1cm9u6rje/womens-size-chartsallegra.jpg?rlkey=pask7k8cap0mlhidh4zust7aq&amp;dl=0","Click to download SizeChart")</f>
      </c>
      <c r="C2328" s="0" t="inlineStr">
        <is>
          <t>Allegra Women's Sherpa Wrap</t>
        </is>
      </c>
      <c r="D2328" s="0" t="inlineStr">
        <is>
          <t>'114580</t>
        </is>
      </c>
      <c r="E2328" s="0" t="inlineStr">
        <is>
          <t>MU ALLEGRA W FROSTED BLACK:114580D-XL</t>
        </is>
      </c>
      <c r="F2328" s="0" t="inlineStr">
        <is>
          <t>'803114580075</t>
        </is>
      </c>
      <c r="G2328" s="0" t="inlineStr">
        <is>
          <t>WOMENS</t>
        </is>
      </c>
      <c r="H2328" s="0" t="inlineStr">
        <is>
          <t>XL</t>
        </is>
      </c>
      <c r="I2328" s="0">
        <v>54.99</v>
      </c>
      <c r="J2328" s="0">
        <v>6</v>
      </c>
    </row>
    <row r="2329" spans="1:10" customHeight="0">
      <c r="A2329" s="0">
        <f>HYPERLINK("https://dl.dropboxusercontent.com/scl/fi/aza7982gebnwofn8lexgn/114580af.jpg?rlkey=jr05hdobkrgs8sor2j2ezgudo&amp;dl=0","Click to download Image")</f>
      </c>
      <c r="B2329" s="0">
        <f>HYPERLINK("https://dl.dropboxusercontent.com/scl/fi/f4v1s3r6299d1cm9u6rje/womens-size-chartsallegra.jpg?rlkey=pask7k8cap0mlhidh4zust7aq&amp;dl=0","Click to download SizeChart")</f>
      </c>
      <c r="C2329" s="0" t="inlineStr">
        <is>
          <t>Allegra Women's Sherpa Wrap</t>
        </is>
      </c>
      <c r="D2329" s="0" t="inlineStr">
        <is>
          <t>'114580</t>
        </is>
      </c>
      <c r="E2329" s="0" t="inlineStr">
        <is>
          <t>MU ALLEGRA W FROSTED BLACK:114580E-2XL</t>
        </is>
      </c>
      <c r="F2329" s="0" t="inlineStr">
        <is>
          <t>'803114580082</t>
        </is>
      </c>
      <c r="G2329" s="0" t="inlineStr">
        <is>
          <t>WOMENS</t>
        </is>
      </c>
      <c r="H2329" s="0" t="inlineStr">
        <is>
          <t>2XL</t>
        </is>
      </c>
      <c r="I2329" s="0">
        <v>56.99</v>
      </c>
      <c r="J2329" s="0">
        <v>4</v>
      </c>
    </row>
    <row r="2330" spans="1:10" customHeight="0">
      <c r="A2330" s="0">
        <f>HYPERLINK("https://dl.dropboxusercontent.com/scl/fi/aza7982gebnwofn8lexgn/114580af.jpg?rlkey=jr05hdobkrgs8sor2j2ezgudo&amp;dl=0","Click to download Image")</f>
      </c>
      <c r="B2330" s="0">
        <f>HYPERLINK("https://dl.dropboxusercontent.com/scl/fi/f4v1s3r6299d1cm9u6rje/womens-size-chartsallegra.jpg?rlkey=pask7k8cap0mlhidh4zust7aq&amp;dl=0","Click to download SizeChart")</f>
      </c>
      <c r="C2330" s="0" t="inlineStr">
        <is>
          <t>Allegra Women's Sherpa Wrap</t>
        </is>
      </c>
      <c r="D2330" s="0" t="inlineStr">
        <is>
          <t>'114580</t>
        </is>
      </c>
      <c r="E2330" s="0" t="inlineStr">
        <is>
          <t>MU ALLEGRA W FROSTED BLACK:114580F-3XL</t>
        </is>
      </c>
      <c r="F2330" s="0" t="inlineStr">
        <is>
          <t>'803114580099</t>
        </is>
      </c>
      <c r="G2330" s="0" t="inlineStr">
        <is>
          <t>WOMENS</t>
        </is>
      </c>
      <c r="H2330" s="0" t="inlineStr">
        <is>
          <t>3XL</t>
        </is>
      </c>
      <c r="I2330" s="0">
        <v>56.99</v>
      </c>
      <c r="J2330" s="0">
        <v>2</v>
      </c>
    </row>
    <row r="2331" spans="1:10" customHeight="0">
      <c r="A2331" s="0">
        <f>HYPERLINK("https://dl.dropboxusercontent.com/scl/fi/aza7982gebnwofn8lexgn/114580af.jpg?rlkey=jr05hdobkrgs8sor2j2ezgudo&amp;dl=0","Click to download Image")</f>
      </c>
      <c r="B2331" s="0">
        <f>HYPERLINK("https://dl.dropboxusercontent.com/scl/fi/f4v1s3r6299d1cm9u6rje/womens-size-chartsallegra.jpg?rlkey=pask7k8cap0mlhidh4zust7aq&amp;dl=0","Click to download SizeChart")</f>
      </c>
      <c r="C2331" s="0" t="inlineStr">
        <is>
          <t>Allegra Women's Sherpa Wrap</t>
        </is>
      </c>
      <c r="D2331" s="0" t="inlineStr">
        <is>
          <t>'114580</t>
        </is>
      </c>
      <c r="E2331" s="0" t="inlineStr">
        <is>
          <t>MU ALLEGRA W FROSTED BLACK 12 PACK:114580Z-12PK</t>
        </is>
      </c>
      <c r="F2331" s="0" t="inlineStr">
        <is>
          <t>'803114580990</t>
        </is>
      </c>
      <c r="G2331" s="0" t="inlineStr">
        <is>
          <t>WOMENS</t>
        </is>
      </c>
      <c r="H2331" s="0" t="inlineStr">
        <is>
          <t>12 PACK</t>
        </is>
      </c>
      <c r="I2331" s="0">
        <v>560</v>
      </c>
      <c r="J2331" s="0">
        <v>0</v>
      </c>
    </row>
    <row r="2332" spans="1:10" customHeight="0">
      <c r="A2332" s="0">
        <f>HYPERLINK("https://dl.dropboxusercontent.com/scl/fi/gqtzcqadg3lzmsyu45z3a/114579-af.jpg?rlkey=gc7yz99ztr3mlhhfo1nuz3vj5&amp;dl=0","Click to download Image")</f>
      </c>
      <c r="B2332" s="0">
        <f>HYPERLINK("https://dl.dropboxusercontent.com/scl/fi/f4v1s3r6299d1cm9u6rje/womens-size-chartsallegra.jpg?rlkey=pask7k8cap0mlhidh4zust7aq&amp;dl=0","Click to download SizeChart")</f>
      </c>
      <c r="C2332" s="0" t="inlineStr">
        <is>
          <t>Allegra Women's Sherpa Wrap</t>
        </is>
      </c>
      <c r="D2332" s="0" t="inlineStr">
        <is>
          <t>'114579</t>
        </is>
      </c>
      <c r="E2332" s="0" t="inlineStr">
        <is>
          <t>INDIANA ALLEGRA W FROSTED BLACK:A-S</t>
        </is>
      </c>
      <c r="F2332" s="0" t="inlineStr">
        <is>
          <t>'806114579049</t>
        </is>
      </c>
      <c r="G2332" s="0" t="inlineStr">
        <is>
          <t>WOMENS</t>
        </is>
      </c>
      <c r="H2332" s="0" t="inlineStr">
        <is>
          <t>S</t>
        </is>
      </c>
      <c r="I2332" s="0">
        <v>54.99</v>
      </c>
      <c r="J2332" s="0">
        <v>8</v>
      </c>
    </row>
    <row r="2333" spans="1:10" customHeight="0">
      <c r="A2333" s="0">
        <f>HYPERLINK("https://dl.dropboxusercontent.com/scl/fi/gqtzcqadg3lzmsyu45z3a/114579-af.jpg?rlkey=gc7yz99ztr3mlhhfo1nuz3vj5&amp;dl=0","Click to download Image")</f>
      </c>
      <c r="B2333" s="0">
        <f>HYPERLINK("https://dl.dropboxusercontent.com/scl/fi/f4v1s3r6299d1cm9u6rje/womens-size-chartsallegra.jpg?rlkey=pask7k8cap0mlhidh4zust7aq&amp;dl=0","Click to download SizeChart")</f>
      </c>
      <c r="C2333" s="0" t="inlineStr">
        <is>
          <t>Allegra Women's Sherpa Wrap</t>
        </is>
      </c>
      <c r="D2333" s="0" t="inlineStr">
        <is>
          <t>'114579</t>
        </is>
      </c>
      <c r="E2333" s="0" t="inlineStr">
        <is>
          <t>INDIANA ALLEGRA W FROSTED BLACK:B-M</t>
        </is>
      </c>
      <c r="F2333" s="0" t="inlineStr">
        <is>
          <t>'806114579056</t>
        </is>
      </c>
      <c r="G2333" s="0" t="inlineStr">
        <is>
          <t>WOMENS</t>
        </is>
      </c>
      <c r="H2333" s="0" t="inlineStr">
        <is>
          <t>M</t>
        </is>
      </c>
      <c r="I2333" s="0">
        <v>54.99</v>
      </c>
      <c r="J2333" s="0">
        <v>16</v>
      </c>
    </row>
    <row r="2334" spans="1:10" customHeight="0">
      <c r="A2334" s="0">
        <f>HYPERLINK("https://dl.dropboxusercontent.com/scl/fi/gqtzcqadg3lzmsyu45z3a/114579-af.jpg?rlkey=gc7yz99ztr3mlhhfo1nuz3vj5&amp;dl=0","Click to download Image")</f>
      </c>
      <c r="B2334" s="0">
        <f>HYPERLINK("https://dl.dropboxusercontent.com/scl/fi/f4v1s3r6299d1cm9u6rje/womens-size-chartsallegra.jpg?rlkey=pask7k8cap0mlhidh4zust7aq&amp;dl=0","Click to download SizeChart")</f>
      </c>
      <c r="C2334" s="0" t="inlineStr">
        <is>
          <t>Allegra Women's Sherpa Wrap</t>
        </is>
      </c>
      <c r="D2334" s="0" t="inlineStr">
        <is>
          <t>'114579</t>
        </is>
      </c>
      <c r="E2334" s="0" t="inlineStr">
        <is>
          <t>INDIANA ALLEGRA W FROSTED BLACK:C-L</t>
        </is>
      </c>
      <c r="F2334" s="0" t="inlineStr">
        <is>
          <t>'806114579063</t>
        </is>
      </c>
      <c r="G2334" s="0" t="inlineStr">
        <is>
          <t>WOMENS</t>
        </is>
      </c>
      <c r="H2334" s="0" t="inlineStr">
        <is>
          <t>L</t>
        </is>
      </c>
      <c r="I2334" s="0">
        <v>54.99</v>
      </c>
      <c r="J2334" s="0">
        <v>16</v>
      </c>
    </row>
    <row r="2335" spans="1:10" customHeight="0">
      <c r="A2335" s="0">
        <f>HYPERLINK("https://dl.dropboxusercontent.com/scl/fi/gqtzcqadg3lzmsyu45z3a/114579-af.jpg?rlkey=gc7yz99ztr3mlhhfo1nuz3vj5&amp;dl=0","Click to download Image")</f>
      </c>
      <c r="B2335" s="0">
        <f>HYPERLINK("https://dl.dropboxusercontent.com/scl/fi/f4v1s3r6299d1cm9u6rje/womens-size-chartsallegra.jpg?rlkey=pask7k8cap0mlhidh4zust7aq&amp;dl=0","Click to download SizeChart")</f>
      </c>
      <c r="C2335" s="0" t="inlineStr">
        <is>
          <t>Allegra Women's Sherpa Wrap</t>
        </is>
      </c>
      <c r="D2335" s="0" t="inlineStr">
        <is>
          <t>'114579</t>
        </is>
      </c>
      <c r="E2335" s="0" t="inlineStr">
        <is>
          <t>INDIANA ALLEGRA W FROSTED BLACK:D-XL</t>
        </is>
      </c>
      <c r="F2335" s="0" t="inlineStr">
        <is>
          <t>'806114579070</t>
        </is>
      </c>
      <c r="G2335" s="0" t="inlineStr">
        <is>
          <t>WOMENS</t>
        </is>
      </c>
      <c r="H2335" s="0" t="inlineStr">
        <is>
          <t>XL</t>
        </is>
      </c>
      <c r="I2335" s="0">
        <v>54.99</v>
      </c>
      <c r="J2335" s="0">
        <v>8</v>
      </c>
    </row>
    <row r="2336" spans="1:10" customHeight="0">
      <c r="A2336" s="0">
        <f>HYPERLINK("https://dl.dropboxusercontent.com/scl/fi/gqtzcqadg3lzmsyu45z3a/114579-af.jpg?rlkey=gc7yz99ztr3mlhhfo1nuz3vj5&amp;dl=0","Click to download Image")</f>
      </c>
      <c r="B2336" s="0">
        <f>HYPERLINK("https://dl.dropboxusercontent.com/scl/fi/f4v1s3r6299d1cm9u6rje/womens-size-chartsallegra.jpg?rlkey=pask7k8cap0mlhidh4zust7aq&amp;dl=0","Click to download SizeChart")</f>
      </c>
      <c r="C2336" s="0" t="inlineStr">
        <is>
          <t>Allegra Women's Sherpa Wrap</t>
        </is>
      </c>
      <c r="D2336" s="0" t="inlineStr">
        <is>
          <t>'114579</t>
        </is>
      </c>
      <c r="E2336" s="0" t="inlineStr">
        <is>
          <t>INDIANA ALLEGRA W FROSTED BLACK:E-2XL</t>
        </is>
      </c>
      <c r="F2336" s="0" t="inlineStr">
        <is>
          <t>'806114579087</t>
        </is>
      </c>
      <c r="G2336" s="0" t="inlineStr">
        <is>
          <t>WOMENS</t>
        </is>
      </c>
      <c r="H2336" s="0" t="inlineStr">
        <is>
          <t>2XL</t>
        </is>
      </c>
      <c r="I2336" s="0">
        <v>56.99</v>
      </c>
      <c r="J2336" s="0">
        <v>4</v>
      </c>
    </row>
    <row r="2337" spans="1:10" customHeight="0">
      <c r="A2337" s="0">
        <f>HYPERLINK("https://dl.dropboxusercontent.com/scl/fi/gqtzcqadg3lzmsyu45z3a/114579-af.jpg?rlkey=gc7yz99ztr3mlhhfo1nuz3vj5&amp;dl=0","Click to download Image")</f>
      </c>
      <c r="B2337" s="0">
        <f>HYPERLINK("https://dl.dropboxusercontent.com/scl/fi/f4v1s3r6299d1cm9u6rje/womens-size-chartsallegra.jpg?rlkey=pask7k8cap0mlhidh4zust7aq&amp;dl=0","Click to download SizeChart")</f>
      </c>
      <c r="C2337" s="0" t="inlineStr">
        <is>
          <t>Allegra Women's Sherpa Wrap</t>
        </is>
      </c>
      <c r="D2337" s="0" t="inlineStr">
        <is>
          <t>'114579</t>
        </is>
      </c>
      <c r="E2337" s="0" t="inlineStr">
        <is>
          <t>INDIANA ALLEGRA W FROSTED BLACK:F-3XL</t>
        </is>
      </c>
      <c r="F2337" s="0" t="inlineStr">
        <is>
          <t>'806114579094</t>
        </is>
      </c>
      <c r="G2337" s="0" t="inlineStr">
        <is>
          <t>WOMENS</t>
        </is>
      </c>
      <c r="H2337" s="0" t="inlineStr">
        <is>
          <t>3XL</t>
        </is>
      </c>
      <c r="I2337" s="0">
        <v>56.99</v>
      </c>
      <c r="J2337" s="0">
        <v>3</v>
      </c>
    </row>
    <row r="2338" spans="1:10" customHeight="0">
      <c r="A2338" s="0">
        <f>HYPERLINK("https://dl.dropboxusercontent.com/scl/fi/gqtzcqadg3lzmsyu45z3a/114579-af.jpg?rlkey=gc7yz99ztr3mlhhfo1nuz3vj5&amp;dl=0","Click to download Image")</f>
      </c>
      <c r="B2338" s="0">
        <f>HYPERLINK("https://dl.dropboxusercontent.com/scl/fi/f4v1s3r6299d1cm9u6rje/womens-size-chartsallegra.jpg?rlkey=pask7k8cap0mlhidh4zust7aq&amp;dl=0","Click to download SizeChart")</f>
      </c>
      <c r="C2338" s="0" t="inlineStr">
        <is>
          <t>Allegra Women's Sherpa Wrap</t>
        </is>
      </c>
      <c r="D2338" s="0" t="inlineStr">
        <is>
          <t>'114579</t>
        </is>
      </c>
      <c r="E2338" s="0" t="inlineStr">
        <is>
          <t>INDIANA ALLEGRA W FROSTED BLACK 12 PACK:Z-12PK</t>
        </is>
      </c>
      <c r="F2338" s="0" t="inlineStr">
        <is>
          <t>'806114579995</t>
        </is>
      </c>
      <c r="G2338" s="0" t="inlineStr">
        <is>
          <t>WOMENS</t>
        </is>
      </c>
      <c r="H2338" s="0" t="inlineStr">
        <is>
          <t>12 PACK</t>
        </is>
      </c>
      <c r="I2338" s="0">
        <v>560</v>
      </c>
      <c r="J2338" s="0">
        <v>2</v>
      </c>
    </row>
    <row r="2339" spans="1:10" customHeight="0">
      <c r="A2339" s="0">
        <f>HYPERLINK("https://dl.dropboxusercontent.com/scl/fi/ib6cu5v865ec5vbmi7386/114578-af.jpg?rlkey=zd8irk2fa1e3z6bifwnqmbn94&amp;dl=0","Click to download Image")</f>
      </c>
      <c r="B2339" s="0">
        <f>HYPERLINK("https://dl.dropboxusercontent.com/scl/fi/f4v1s3r6299d1cm9u6rje/womens-size-chartsallegra.jpg?rlkey=pask7k8cap0mlhidh4zust7aq&amp;dl=0","Click to download SizeChart")</f>
      </c>
      <c r="C2339" s="0" t="inlineStr">
        <is>
          <t>Allegra Women's Sherpa Wrap</t>
        </is>
      </c>
      <c r="D2339" s="0" t="inlineStr">
        <is>
          <t>'114578</t>
        </is>
      </c>
      <c r="E2339" s="0" t="inlineStr">
        <is>
          <t>PURDUE ALLEGRA W FROSTED BLACK:114578A-S</t>
        </is>
      </c>
      <c r="F2339" s="0" t="inlineStr">
        <is>
          <t>'804114578048</t>
        </is>
      </c>
      <c r="G2339" s="0" t="inlineStr">
        <is>
          <t>WOMENS</t>
        </is>
      </c>
      <c r="H2339" s="0" t="inlineStr">
        <is>
          <t>S</t>
        </is>
      </c>
      <c r="I2339" s="0">
        <v>54.99</v>
      </c>
      <c r="J2339" s="0">
        <v>8</v>
      </c>
    </row>
    <row r="2340" spans="1:10" customHeight="0">
      <c r="A2340" s="0">
        <f>HYPERLINK("https://dl.dropboxusercontent.com/scl/fi/ib6cu5v865ec5vbmi7386/114578-af.jpg?rlkey=zd8irk2fa1e3z6bifwnqmbn94&amp;dl=0","Click to download Image")</f>
      </c>
      <c r="B2340" s="0">
        <f>HYPERLINK("https://dl.dropboxusercontent.com/scl/fi/f4v1s3r6299d1cm9u6rje/womens-size-chartsallegra.jpg?rlkey=pask7k8cap0mlhidh4zust7aq&amp;dl=0","Click to download SizeChart")</f>
      </c>
      <c r="C2340" s="0" t="inlineStr">
        <is>
          <t>Allegra Women's Sherpa Wrap</t>
        </is>
      </c>
      <c r="D2340" s="0" t="inlineStr">
        <is>
          <t>'114578</t>
        </is>
      </c>
      <c r="E2340" s="0" t="inlineStr">
        <is>
          <t>PURDUE ALLEGRA W FROSTED BLACK:114578B-M</t>
        </is>
      </c>
      <c r="F2340" s="0" t="inlineStr">
        <is>
          <t>'804114578055</t>
        </is>
      </c>
      <c r="G2340" s="0" t="inlineStr">
        <is>
          <t>WOMENS</t>
        </is>
      </c>
      <c r="H2340" s="0" t="inlineStr">
        <is>
          <t>M</t>
        </is>
      </c>
      <c r="I2340" s="0">
        <v>54.99</v>
      </c>
      <c r="J2340" s="0">
        <v>16</v>
      </c>
    </row>
    <row r="2341" spans="1:10" customHeight="0">
      <c r="A2341" s="0">
        <f>HYPERLINK("https://dl.dropboxusercontent.com/scl/fi/ib6cu5v865ec5vbmi7386/114578-af.jpg?rlkey=zd8irk2fa1e3z6bifwnqmbn94&amp;dl=0","Click to download Image")</f>
      </c>
      <c r="B2341" s="0">
        <f>HYPERLINK("https://dl.dropboxusercontent.com/scl/fi/f4v1s3r6299d1cm9u6rje/womens-size-chartsallegra.jpg?rlkey=pask7k8cap0mlhidh4zust7aq&amp;dl=0","Click to download SizeChart")</f>
      </c>
      <c r="C2341" s="0" t="inlineStr">
        <is>
          <t>Allegra Women's Sherpa Wrap</t>
        </is>
      </c>
      <c r="D2341" s="0" t="inlineStr">
        <is>
          <t>'114578</t>
        </is>
      </c>
      <c r="E2341" s="0" t="inlineStr">
        <is>
          <t>PURDUE ALLEGRA W FROSTED BLACK:114578C-L</t>
        </is>
      </c>
      <c r="F2341" s="0" t="inlineStr">
        <is>
          <t>'804114578062</t>
        </is>
      </c>
      <c r="G2341" s="0" t="inlineStr">
        <is>
          <t>WOMENS</t>
        </is>
      </c>
      <c r="H2341" s="0" t="inlineStr">
        <is>
          <t>L</t>
        </is>
      </c>
      <c r="I2341" s="0">
        <v>54.99</v>
      </c>
      <c r="J2341" s="0">
        <v>16</v>
      </c>
    </row>
    <row r="2342" spans="1:10" customHeight="0">
      <c r="A2342" s="0">
        <f>HYPERLINK("https://dl.dropboxusercontent.com/scl/fi/ib6cu5v865ec5vbmi7386/114578-af.jpg?rlkey=zd8irk2fa1e3z6bifwnqmbn94&amp;dl=0","Click to download Image")</f>
      </c>
      <c r="B2342" s="0">
        <f>HYPERLINK("https://dl.dropboxusercontent.com/scl/fi/f4v1s3r6299d1cm9u6rje/womens-size-chartsallegra.jpg?rlkey=pask7k8cap0mlhidh4zust7aq&amp;dl=0","Click to download SizeChart")</f>
      </c>
      <c r="C2342" s="0" t="inlineStr">
        <is>
          <t>Allegra Women's Sherpa Wrap</t>
        </is>
      </c>
      <c r="D2342" s="0" t="inlineStr">
        <is>
          <t>'114578</t>
        </is>
      </c>
      <c r="E2342" s="0" t="inlineStr">
        <is>
          <t>PURDUE ALLEGRA W FROSTED BLACK:114578D-XL</t>
        </is>
      </c>
      <c r="F2342" s="0" t="inlineStr">
        <is>
          <t>'804114578079</t>
        </is>
      </c>
      <c r="G2342" s="0" t="inlineStr">
        <is>
          <t>WOMENS</t>
        </is>
      </c>
      <c r="H2342" s="0" t="inlineStr">
        <is>
          <t>XL</t>
        </is>
      </c>
      <c r="I2342" s="0">
        <v>54.99</v>
      </c>
      <c r="J2342" s="0">
        <v>8</v>
      </c>
    </row>
    <row r="2343" spans="1:10" customHeight="0">
      <c r="A2343" s="0">
        <f>HYPERLINK("https://dl.dropboxusercontent.com/scl/fi/ib6cu5v865ec5vbmi7386/114578-af.jpg?rlkey=zd8irk2fa1e3z6bifwnqmbn94&amp;dl=0","Click to download Image")</f>
      </c>
      <c r="B2343" s="0">
        <f>HYPERLINK("https://dl.dropboxusercontent.com/scl/fi/f4v1s3r6299d1cm9u6rje/womens-size-chartsallegra.jpg?rlkey=pask7k8cap0mlhidh4zust7aq&amp;dl=0","Click to download SizeChart")</f>
      </c>
      <c r="C2343" s="0" t="inlineStr">
        <is>
          <t>Allegra Women's Sherpa Wrap</t>
        </is>
      </c>
      <c r="D2343" s="0" t="inlineStr">
        <is>
          <t>'114578</t>
        </is>
      </c>
      <c r="E2343" s="0" t="inlineStr">
        <is>
          <t>PURDUE ALLEGRA W FROSTED BLACK:114578E-2XL</t>
        </is>
      </c>
      <c r="F2343" s="0" t="inlineStr">
        <is>
          <t>'804114578086</t>
        </is>
      </c>
      <c r="G2343" s="0" t="inlineStr">
        <is>
          <t>WOMENS</t>
        </is>
      </c>
      <c r="H2343" s="0" t="inlineStr">
        <is>
          <t>2XL</t>
        </is>
      </c>
      <c r="I2343" s="0">
        <v>56.99</v>
      </c>
      <c r="J2343" s="0">
        <v>4</v>
      </c>
    </row>
    <row r="2344" spans="1:10" customHeight="0">
      <c r="A2344" s="0">
        <f>HYPERLINK("https://dl.dropboxusercontent.com/scl/fi/ib6cu5v865ec5vbmi7386/114578-af.jpg?rlkey=zd8irk2fa1e3z6bifwnqmbn94&amp;dl=0","Click to download Image")</f>
      </c>
      <c r="B2344" s="0">
        <f>HYPERLINK("https://dl.dropboxusercontent.com/scl/fi/f4v1s3r6299d1cm9u6rje/womens-size-chartsallegra.jpg?rlkey=pask7k8cap0mlhidh4zust7aq&amp;dl=0","Click to download SizeChart")</f>
      </c>
      <c r="C2344" s="0" t="inlineStr">
        <is>
          <t>Allegra Women's Sherpa Wrap</t>
        </is>
      </c>
      <c r="D2344" s="0" t="inlineStr">
        <is>
          <t>'114578</t>
        </is>
      </c>
      <c r="E2344" s="0" t="inlineStr">
        <is>
          <t>PURDUE ALLEGRA W FROSTED BLACK:114578F-3XL</t>
        </is>
      </c>
      <c r="F2344" s="0" t="inlineStr">
        <is>
          <t>'804114578093</t>
        </is>
      </c>
      <c r="G2344" s="0" t="inlineStr">
        <is>
          <t>WOMENS</t>
        </is>
      </c>
      <c r="H2344" s="0" t="inlineStr">
        <is>
          <t>3XL</t>
        </is>
      </c>
      <c r="I2344" s="0">
        <v>56.99</v>
      </c>
      <c r="J2344" s="0">
        <v>3</v>
      </c>
    </row>
    <row r="2345" spans="1:10" customHeight="0">
      <c r="A2345" s="0">
        <f>HYPERLINK("https://dl.dropboxusercontent.com/scl/fi/ib6cu5v865ec5vbmi7386/114578-af.jpg?rlkey=zd8irk2fa1e3z6bifwnqmbn94&amp;dl=0","Click to download Image")</f>
      </c>
      <c r="B2345" s="0">
        <f>HYPERLINK("https://dl.dropboxusercontent.com/scl/fi/f4v1s3r6299d1cm9u6rje/womens-size-chartsallegra.jpg?rlkey=pask7k8cap0mlhidh4zust7aq&amp;dl=0","Click to download SizeChart")</f>
      </c>
      <c r="C2345" s="0" t="inlineStr">
        <is>
          <t>Allegra Women's Sherpa Wrap</t>
        </is>
      </c>
      <c r="D2345" s="0" t="inlineStr">
        <is>
          <t>'114578</t>
        </is>
      </c>
      <c r="E2345" s="0" t="inlineStr">
        <is>
          <t>PURDUE ALLEGRA W FROSTED BLACK 12 PACK:114578Z-12PK</t>
        </is>
      </c>
      <c r="F2345" s="0" t="inlineStr">
        <is>
          <t>'804114578994</t>
        </is>
      </c>
      <c r="G2345" s="0" t="inlineStr">
        <is>
          <t>WOMENS</t>
        </is>
      </c>
      <c r="H2345" s="0" t="inlineStr">
        <is>
          <t>12 PACK</t>
        </is>
      </c>
      <c r="I2345" s="0">
        <v>560</v>
      </c>
      <c r="J2345" s="0">
        <v>0</v>
      </c>
    </row>
    <row r="2346" spans="1:10" customHeight="0">
      <c r="A2346" s="0">
        <f>HYPERLINK("https://dl.dropboxusercontent.com/scl/fi/cyl9fkl4jke2ow1ggg4x0/114577af96484.jpg?rlkey=s1ymavenr3vj9rndi5o9xnz4d&amp;dl=0","Click to download Image")</f>
      </c>
      <c r="B2346" s="0">
        <f>HYPERLINK("https://dl.dropboxusercontent.com/scl/fi/f4v1s3r6299d1cm9u6rje/womens-size-chartsallegra.jpg?rlkey=pask7k8cap0mlhidh4zust7aq&amp;dl=0","Click to download SizeChart")</f>
      </c>
      <c r="C2346" s="0" t="inlineStr">
        <is>
          <t>Allegra Women's Sherpa Wrap</t>
        </is>
      </c>
      <c r="D2346" s="0" t="inlineStr">
        <is>
          <t>'114577</t>
        </is>
      </c>
      <c r="E2346" s="0" t="inlineStr">
        <is>
          <t>UNI ALLEGRA W FROSTED BLACK:114577A-S</t>
        </is>
      </c>
      <c r="F2346" s="0" t="inlineStr">
        <is>
          <t>'802114577047</t>
        </is>
      </c>
      <c r="G2346" s="0" t="inlineStr">
        <is>
          <t>WOMENS</t>
        </is>
      </c>
      <c r="H2346" s="0" t="inlineStr">
        <is>
          <t>S</t>
        </is>
      </c>
      <c r="I2346" s="0">
        <v>54.99</v>
      </c>
      <c r="J2346" s="0">
        <v>11</v>
      </c>
    </row>
    <row r="2347" spans="1:10" customHeight="0">
      <c r="A2347" s="0">
        <f>HYPERLINK("https://dl.dropboxusercontent.com/scl/fi/cyl9fkl4jke2ow1ggg4x0/114577af96484.jpg?rlkey=s1ymavenr3vj9rndi5o9xnz4d&amp;dl=0","Click to download Image")</f>
      </c>
      <c r="B2347" s="0">
        <f>HYPERLINK("https://dl.dropboxusercontent.com/scl/fi/f4v1s3r6299d1cm9u6rje/womens-size-chartsallegra.jpg?rlkey=pask7k8cap0mlhidh4zust7aq&amp;dl=0","Click to download SizeChart")</f>
      </c>
      <c r="C2347" s="0" t="inlineStr">
        <is>
          <t>Allegra Women's Sherpa Wrap</t>
        </is>
      </c>
      <c r="D2347" s="0" t="inlineStr">
        <is>
          <t>'114577</t>
        </is>
      </c>
      <c r="E2347" s="0" t="inlineStr">
        <is>
          <t>UNI ALLEGRA W FROSTED BLACK:114577B-M</t>
        </is>
      </c>
      <c r="F2347" s="0" t="inlineStr">
        <is>
          <t>'802114577054</t>
        </is>
      </c>
      <c r="G2347" s="0" t="inlineStr">
        <is>
          <t>WOMENS</t>
        </is>
      </c>
      <c r="H2347" s="0" t="inlineStr">
        <is>
          <t>M</t>
        </is>
      </c>
      <c r="I2347" s="0">
        <v>54.99</v>
      </c>
      <c r="J2347" s="0">
        <v>22</v>
      </c>
    </row>
    <row r="2348" spans="1:10" customHeight="0">
      <c r="A2348" s="0">
        <f>HYPERLINK("https://dl.dropboxusercontent.com/scl/fi/cyl9fkl4jke2ow1ggg4x0/114577af96484.jpg?rlkey=s1ymavenr3vj9rndi5o9xnz4d&amp;dl=0","Click to download Image")</f>
      </c>
      <c r="B2348" s="0">
        <f>HYPERLINK("https://dl.dropboxusercontent.com/scl/fi/f4v1s3r6299d1cm9u6rje/womens-size-chartsallegra.jpg?rlkey=pask7k8cap0mlhidh4zust7aq&amp;dl=0","Click to download SizeChart")</f>
      </c>
      <c r="C2348" s="0" t="inlineStr">
        <is>
          <t>Allegra Women's Sherpa Wrap</t>
        </is>
      </c>
      <c r="D2348" s="0" t="inlineStr">
        <is>
          <t>'114577</t>
        </is>
      </c>
      <c r="E2348" s="0" t="inlineStr">
        <is>
          <t>UNI ALLEGRA W FROSTED BLACK:114577C-L</t>
        </is>
      </c>
      <c r="F2348" s="0" t="inlineStr">
        <is>
          <t>'802114577061</t>
        </is>
      </c>
      <c r="G2348" s="0" t="inlineStr">
        <is>
          <t>WOMENS</t>
        </is>
      </c>
      <c r="H2348" s="0" t="inlineStr">
        <is>
          <t>L</t>
        </is>
      </c>
      <c r="I2348" s="0">
        <v>54.99</v>
      </c>
      <c r="J2348" s="0">
        <v>21</v>
      </c>
    </row>
    <row r="2349" spans="1:10" customHeight="0">
      <c r="A2349" s="0">
        <f>HYPERLINK("https://dl.dropboxusercontent.com/scl/fi/cyl9fkl4jke2ow1ggg4x0/114577af96484.jpg?rlkey=s1ymavenr3vj9rndi5o9xnz4d&amp;dl=0","Click to download Image")</f>
      </c>
      <c r="B2349" s="0">
        <f>HYPERLINK("https://dl.dropboxusercontent.com/scl/fi/f4v1s3r6299d1cm9u6rje/womens-size-chartsallegra.jpg?rlkey=pask7k8cap0mlhidh4zust7aq&amp;dl=0","Click to download SizeChart")</f>
      </c>
      <c r="C2349" s="0" t="inlineStr">
        <is>
          <t>Allegra Women's Sherpa Wrap</t>
        </is>
      </c>
      <c r="D2349" s="0" t="inlineStr">
        <is>
          <t>'114577</t>
        </is>
      </c>
      <c r="E2349" s="0" t="inlineStr">
        <is>
          <t>UNI ALLEGRA W FROSTED BLACK:114577D-XL</t>
        </is>
      </c>
      <c r="F2349" s="0" t="inlineStr">
        <is>
          <t>'802114577078</t>
        </is>
      </c>
      <c r="G2349" s="0" t="inlineStr">
        <is>
          <t>WOMENS</t>
        </is>
      </c>
      <c r="H2349" s="0" t="inlineStr">
        <is>
          <t>XL</t>
        </is>
      </c>
      <c r="I2349" s="0">
        <v>54.99</v>
      </c>
      <c r="J2349" s="0">
        <v>9</v>
      </c>
    </row>
    <row r="2350" spans="1:10" customHeight="0">
      <c r="A2350" s="0">
        <f>HYPERLINK("https://dl.dropboxusercontent.com/scl/fi/cyl9fkl4jke2ow1ggg4x0/114577af96484.jpg?rlkey=s1ymavenr3vj9rndi5o9xnz4d&amp;dl=0","Click to download Image")</f>
      </c>
      <c r="B2350" s="0">
        <f>HYPERLINK("https://dl.dropboxusercontent.com/scl/fi/f4v1s3r6299d1cm9u6rje/womens-size-chartsallegra.jpg?rlkey=pask7k8cap0mlhidh4zust7aq&amp;dl=0","Click to download SizeChart")</f>
      </c>
      <c r="C2350" s="0" t="inlineStr">
        <is>
          <t>Allegra Women's Sherpa Wrap</t>
        </is>
      </c>
      <c r="D2350" s="0" t="inlineStr">
        <is>
          <t>'114577</t>
        </is>
      </c>
      <c r="E2350" s="0" t="inlineStr">
        <is>
          <t>UNI ALLEGRA W FROSTED BLACK:114577E-2XL</t>
        </is>
      </c>
      <c r="F2350" s="0" t="inlineStr">
        <is>
          <t>'802114577085</t>
        </is>
      </c>
      <c r="G2350" s="0" t="inlineStr">
        <is>
          <t>WOMENS</t>
        </is>
      </c>
      <c r="H2350" s="0" t="inlineStr">
        <is>
          <t>2XL</t>
        </is>
      </c>
      <c r="I2350" s="0">
        <v>56.99</v>
      </c>
      <c r="J2350" s="0">
        <v>5</v>
      </c>
    </row>
    <row r="2351" spans="1:10" customHeight="0">
      <c r="A2351" s="0">
        <f>HYPERLINK("https://dl.dropboxusercontent.com/scl/fi/cyl9fkl4jke2ow1ggg4x0/114577af96484.jpg?rlkey=s1ymavenr3vj9rndi5o9xnz4d&amp;dl=0","Click to download Image")</f>
      </c>
      <c r="B2351" s="0">
        <f>HYPERLINK("https://dl.dropboxusercontent.com/scl/fi/f4v1s3r6299d1cm9u6rje/womens-size-chartsallegra.jpg?rlkey=pask7k8cap0mlhidh4zust7aq&amp;dl=0","Click to download SizeChart")</f>
      </c>
      <c r="C2351" s="0" t="inlineStr">
        <is>
          <t>Allegra Women's Sherpa Wrap</t>
        </is>
      </c>
      <c r="D2351" s="0" t="inlineStr">
        <is>
          <t>'114577</t>
        </is>
      </c>
      <c r="E2351" s="0" t="inlineStr">
        <is>
          <t>UNI ALLEGRA W FROSTED BLACK:114577F-3XL</t>
        </is>
      </c>
      <c r="F2351" s="0" t="inlineStr">
        <is>
          <t>'802114577092</t>
        </is>
      </c>
      <c r="G2351" s="0" t="inlineStr">
        <is>
          <t>WOMENS</t>
        </is>
      </c>
      <c r="H2351" s="0" t="inlineStr">
        <is>
          <t>3XL</t>
        </is>
      </c>
      <c r="I2351" s="0">
        <v>56.99</v>
      </c>
      <c r="J2351" s="0">
        <v>3</v>
      </c>
    </row>
    <row r="2352" spans="1:10" customHeight="0">
      <c r="A2352" s="0">
        <f>HYPERLINK("https://dl.dropboxusercontent.com/scl/fi/cyl9fkl4jke2ow1ggg4x0/114577af96484.jpg?rlkey=s1ymavenr3vj9rndi5o9xnz4d&amp;dl=0","Click to download Image")</f>
      </c>
      <c r="B2352" s="0">
        <f>HYPERLINK("https://dl.dropboxusercontent.com/scl/fi/f4v1s3r6299d1cm9u6rje/womens-size-chartsallegra.jpg?rlkey=pask7k8cap0mlhidh4zust7aq&amp;dl=0","Click to download SizeChart")</f>
      </c>
      <c r="C2352" s="0" t="inlineStr">
        <is>
          <t>Allegra Women's Sherpa Wrap</t>
        </is>
      </c>
      <c r="D2352" s="0" t="inlineStr">
        <is>
          <t>'114577</t>
        </is>
      </c>
      <c r="E2352" s="0" t="inlineStr">
        <is>
          <t>UNI ALLEGRA W FROSTED BLACK 12 PACK:114577Z-12PK</t>
        </is>
      </c>
      <c r="F2352" s="0" t="inlineStr">
        <is>
          <t>'802114577993</t>
        </is>
      </c>
      <c r="G2352" s="0" t="inlineStr">
        <is>
          <t>WOMENS</t>
        </is>
      </c>
      <c r="H2352" s="0" t="inlineStr">
        <is>
          <t>12 PACK</t>
        </is>
      </c>
      <c r="I2352" s="0">
        <v>560</v>
      </c>
      <c r="J2352" s="0">
        <v>0</v>
      </c>
    </row>
    <row r="2353" spans="1:10" customHeight="0">
      <c r="A2353" s="0">
        <f>HYPERLINK("https://dl.dropboxusercontent.com/scl/fi/z0tbh4rrfwtcbivky0q13/drakeallegra-1-0226404.jpg?rlkey=occrjgun8t9jtyzqbm8s4pxa4&amp;dl=0","Click to download Image")</f>
      </c>
      <c r="B2353" s="0">
        <f>HYPERLINK("https://dl.dropboxusercontent.com/scl/fi/f4v1s3r6299d1cm9u6rje/womens-size-chartsallegra.jpg?rlkey=pask7k8cap0mlhidh4zust7aq&amp;dl=0","Click to download SizeChart")</f>
      </c>
      <c r="C2353" s="0" t="inlineStr">
        <is>
          <t>Allegra Women's Sherpa Wrap</t>
        </is>
      </c>
      <c r="D2353" s="0" t="inlineStr">
        <is>
          <t>'128801</t>
        </is>
      </c>
      <c r="E2353" s="0" t="inlineStr">
        <is>
          <t>DRK ALLEGR W FB:128801A-S</t>
        </is>
      </c>
      <c r="F2353" s="0" t="inlineStr">
        <is>
          <t>'817128801040</t>
        </is>
      </c>
      <c r="G2353" s="0" t="inlineStr">
        <is>
          <t>WOMENS</t>
        </is>
      </c>
      <c r="H2353" s="0" t="inlineStr">
        <is>
          <t>S</t>
        </is>
      </c>
      <c r="I2353" s="0">
        <v>54.99</v>
      </c>
      <c r="J2353" s="0">
        <v>3</v>
      </c>
    </row>
    <row r="2354" spans="1:10" customHeight="0">
      <c r="A2354" s="0">
        <f>HYPERLINK("https://dl.dropboxusercontent.com/scl/fi/z0tbh4rrfwtcbivky0q13/drakeallegra-1-0226404.jpg?rlkey=occrjgun8t9jtyzqbm8s4pxa4&amp;dl=0","Click to download Image")</f>
      </c>
      <c r="B2354" s="0">
        <f>HYPERLINK("https://dl.dropboxusercontent.com/scl/fi/f4v1s3r6299d1cm9u6rje/womens-size-chartsallegra.jpg?rlkey=pask7k8cap0mlhidh4zust7aq&amp;dl=0","Click to download SizeChart")</f>
      </c>
      <c r="C2354" s="0" t="inlineStr">
        <is>
          <t>Allegra Women's Sherpa Wrap</t>
        </is>
      </c>
      <c r="D2354" s="0" t="inlineStr">
        <is>
          <t>'128801</t>
        </is>
      </c>
      <c r="E2354" s="0" t="inlineStr">
        <is>
          <t>DRK ALLEGR W FB:128801B-M</t>
        </is>
      </c>
      <c r="F2354" s="0" t="inlineStr">
        <is>
          <t>'817128801057</t>
        </is>
      </c>
      <c r="G2354" s="0" t="inlineStr">
        <is>
          <t>WOMENS</t>
        </is>
      </c>
      <c r="H2354" s="0" t="inlineStr">
        <is>
          <t>M</t>
        </is>
      </c>
      <c r="I2354" s="0">
        <v>54.99</v>
      </c>
      <c r="J2354" s="0">
        <v>7</v>
      </c>
    </row>
    <row r="2355" spans="1:10" customHeight="0">
      <c r="A2355" s="0">
        <f>HYPERLINK("https://dl.dropboxusercontent.com/scl/fi/z0tbh4rrfwtcbivky0q13/drakeallegra-1-0226404.jpg?rlkey=occrjgun8t9jtyzqbm8s4pxa4&amp;dl=0","Click to download Image")</f>
      </c>
      <c r="B2355" s="0">
        <f>HYPERLINK("https://dl.dropboxusercontent.com/scl/fi/f4v1s3r6299d1cm9u6rje/womens-size-chartsallegra.jpg?rlkey=pask7k8cap0mlhidh4zust7aq&amp;dl=0","Click to download SizeChart")</f>
      </c>
      <c r="C2355" s="0" t="inlineStr">
        <is>
          <t>Allegra Women's Sherpa Wrap</t>
        </is>
      </c>
      <c r="D2355" s="0" t="inlineStr">
        <is>
          <t>'128801</t>
        </is>
      </c>
      <c r="E2355" s="0" t="inlineStr">
        <is>
          <t>DRK ALLEGR W FB:128801C-L</t>
        </is>
      </c>
      <c r="F2355" s="0" t="inlineStr">
        <is>
          <t>'817128801064</t>
        </is>
      </c>
      <c r="G2355" s="0" t="inlineStr">
        <is>
          <t>WOMENS</t>
        </is>
      </c>
      <c r="H2355" s="0" t="inlineStr">
        <is>
          <t>L</t>
        </is>
      </c>
      <c r="I2355" s="0">
        <v>54.99</v>
      </c>
      <c r="J2355" s="0">
        <v>6</v>
      </c>
    </row>
    <row r="2356" spans="1:10" customHeight="0">
      <c r="A2356" s="0">
        <f>HYPERLINK("https://dl.dropboxusercontent.com/scl/fi/z0tbh4rrfwtcbivky0q13/drakeallegra-1-0226404.jpg?rlkey=occrjgun8t9jtyzqbm8s4pxa4&amp;dl=0","Click to download Image")</f>
      </c>
      <c r="B2356" s="0">
        <f>HYPERLINK("https://dl.dropboxusercontent.com/scl/fi/f4v1s3r6299d1cm9u6rje/womens-size-chartsallegra.jpg?rlkey=pask7k8cap0mlhidh4zust7aq&amp;dl=0","Click to download SizeChart")</f>
      </c>
      <c r="C2356" s="0" t="inlineStr">
        <is>
          <t>Allegra Women's Sherpa Wrap</t>
        </is>
      </c>
      <c r="D2356" s="0" t="inlineStr">
        <is>
          <t>'128801</t>
        </is>
      </c>
      <c r="E2356" s="0" t="inlineStr">
        <is>
          <t>DRK ALLEGR W FB:128801D-XL</t>
        </is>
      </c>
      <c r="F2356" s="0" t="inlineStr">
        <is>
          <t>'817128801071</t>
        </is>
      </c>
      <c r="G2356" s="0" t="inlineStr">
        <is>
          <t>WOMENS</t>
        </is>
      </c>
      <c r="H2356" s="0" t="inlineStr">
        <is>
          <t>XL</t>
        </is>
      </c>
      <c r="I2356" s="0">
        <v>54.99</v>
      </c>
      <c r="J2356" s="0">
        <v>4</v>
      </c>
    </row>
    <row r="2357" spans="1:10" customHeight="0">
      <c r="A2357" s="0">
        <f>HYPERLINK("https://dl.dropboxusercontent.com/scl/fi/z0tbh4rrfwtcbivky0q13/drakeallegra-1-0226404.jpg?rlkey=occrjgun8t9jtyzqbm8s4pxa4&amp;dl=0","Click to download Image")</f>
      </c>
      <c r="B2357" s="0">
        <f>HYPERLINK("https://dl.dropboxusercontent.com/scl/fi/f4v1s3r6299d1cm9u6rje/womens-size-chartsallegra.jpg?rlkey=pask7k8cap0mlhidh4zust7aq&amp;dl=0","Click to download SizeChart")</f>
      </c>
      <c r="C2357" s="0" t="inlineStr">
        <is>
          <t>Allegra Women's Sherpa Wrap</t>
        </is>
      </c>
      <c r="D2357" s="0" t="inlineStr">
        <is>
          <t>'128801</t>
        </is>
      </c>
      <c r="E2357" s="0" t="inlineStr">
        <is>
          <t>DRK ALLEGR W FB:128801E-2XL</t>
        </is>
      </c>
      <c r="F2357" s="0" t="inlineStr">
        <is>
          <t>'817128801088</t>
        </is>
      </c>
      <c r="G2357" s="0" t="inlineStr">
        <is>
          <t>WOMENS</t>
        </is>
      </c>
      <c r="H2357" s="0" t="inlineStr">
        <is>
          <t>2XL</t>
        </is>
      </c>
      <c r="I2357" s="0">
        <v>56.99</v>
      </c>
      <c r="J2357" s="0">
        <v>2</v>
      </c>
    </row>
    <row r="2358" spans="1:10" customHeight="0">
      <c r="A2358" s="0">
        <f>HYPERLINK("https://dl.dropboxusercontent.com/scl/fi/z0tbh4rrfwtcbivky0q13/drakeallegra-1-0226404.jpg?rlkey=occrjgun8t9jtyzqbm8s4pxa4&amp;dl=0","Click to download Image")</f>
      </c>
      <c r="B2358" s="0">
        <f>HYPERLINK("https://dl.dropboxusercontent.com/scl/fi/f4v1s3r6299d1cm9u6rje/womens-size-chartsallegra.jpg?rlkey=pask7k8cap0mlhidh4zust7aq&amp;dl=0","Click to download SizeChart")</f>
      </c>
      <c r="C2358" s="0" t="inlineStr">
        <is>
          <t>Allegra Women's Sherpa Wrap</t>
        </is>
      </c>
      <c r="D2358" s="0" t="inlineStr">
        <is>
          <t>'128801</t>
        </is>
      </c>
      <c r="E2358" s="0" t="inlineStr">
        <is>
          <t>DRK ALLEGR W FB:128801F-3XL</t>
        </is>
      </c>
      <c r="F2358" s="0" t="inlineStr">
        <is>
          <t>'817128801095</t>
        </is>
      </c>
      <c r="G2358" s="0" t="inlineStr">
        <is>
          <t>WOMENS</t>
        </is>
      </c>
      <c r="H2358" s="0" t="inlineStr">
        <is>
          <t>3XL</t>
        </is>
      </c>
      <c r="I2358" s="0">
        <v>56.99</v>
      </c>
      <c r="J2358" s="0">
        <v>0</v>
      </c>
    </row>
    <row r="2359" spans="1:10" customHeight="0">
      <c r="A2359" s="0">
        <f>HYPERLINK("https://dl.dropboxusercontent.com/scl/fi/zg1p165gkpo896f3ityqj/113440-af.jpg?rlkey=06nt5h1nqkm8ki7xamrcn87wb&amp;dl=0","Click to download Image")</f>
      </c>
      <c r="C2359" s="0" t="inlineStr">
        <is>
          <t>Archie Men's Cap</t>
        </is>
      </c>
      <c r="D2359" s="0" t="inlineStr">
        <is>
          <t>'113440</t>
        </is>
      </c>
      <c r="E2359" s="0" t="inlineStr">
        <is>
          <t>IOWA ARCHIE:113440</t>
        </is>
      </c>
      <c r="F2359" s="0" t="inlineStr">
        <is>
          <t>'700113440006</t>
        </is>
      </c>
      <c r="G2359" s="0" t="inlineStr">
        <is>
          <t>MENS</t>
        </is>
      </c>
      <c r="H2359" s="0" t="inlineStr">
        <is>
          <t>STANDARD MENS</t>
        </is>
      </c>
      <c r="I2359" s="0">
        <v>22</v>
      </c>
      <c r="J2359" s="0">
        <v>165</v>
      </c>
    </row>
    <row r="2360" spans="1:10" customHeight="0">
      <c r="A2360" s="0">
        <f>HYPERLINK("https://dl.dropboxusercontent.com/scl/fi/lpiuhsx7lq3xj86npq7lh/95285f.jpg?rlkey=lbsq88djkodc4muqsgw8i3b0l&amp;dl=0","Click to download Image")</f>
      </c>
      <c r="B2360" s="0">
        <f>HYPERLINK("https://dl.dropboxusercontent.com/scl/fi/0yrkkdb5x00l9mq7qf34l/graphic-update22022-infant.jpg?rlkey=j9s4d33ov6emsp1tem83ntcdg&amp;dl=0","Click to download SizeChart")</f>
      </c>
      <c r="C2360" s="0" t="inlineStr">
        <is>
          <t>Adrian Infant Bodysuit</t>
        </is>
      </c>
      <c r="D2360" s="0" t="inlineStr">
        <is>
          <t>'95285</t>
        </is>
      </c>
      <c r="E2360" s="0" t="inlineStr">
        <is>
          <t>ADRIAN:95285 0M-3M</t>
        </is>
      </c>
      <c r="F2360" s="0" t="inlineStr">
        <is>
          <t>'000000000000</t>
        </is>
      </c>
      <c r="G2360" s="0" t="inlineStr">
        <is>
          <t>INFANT</t>
        </is>
      </c>
      <c r="H2360" s="0" t="inlineStr">
        <is>
          <t>0-3M</t>
        </is>
      </c>
      <c r="I2360" s="0">
        <v>24.99</v>
      </c>
      <c r="J2360" s="0">
        <v>101</v>
      </c>
    </row>
    <row r="2361" spans="1:10" customHeight="0">
      <c r="A2361" s="0">
        <f>HYPERLINK("https://dl.dropboxusercontent.com/scl/fi/lpiuhsx7lq3xj86npq7lh/95285f.jpg?rlkey=lbsq88djkodc4muqsgw8i3b0l&amp;dl=0","Click to download Image")</f>
      </c>
      <c r="B2361" s="0">
        <f>HYPERLINK("https://dl.dropboxusercontent.com/scl/fi/0yrkkdb5x00l9mq7qf34l/graphic-update22022-infant.jpg?rlkey=j9s4d33ov6emsp1tem83ntcdg&amp;dl=0","Click to download SizeChart")</f>
      </c>
      <c r="C2361" s="0" t="inlineStr">
        <is>
          <t>Adrian Infant Bodysuit</t>
        </is>
      </c>
      <c r="D2361" s="0" t="inlineStr">
        <is>
          <t>'95285</t>
        </is>
      </c>
      <c r="E2361" s="0" t="inlineStr">
        <is>
          <t>ADRIAN:95285 3M-6M</t>
        </is>
      </c>
      <c r="F2361" s="0" t="inlineStr">
        <is>
          <t>'000000000000</t>
        </is>
      </c>
      <c r="G2361" s="0" t="inlineStr">
        <is>
          <t>INFANT</t>
        </is>
      </c>
      <c r="H2361" s="0" t="inlineStr">
        <is>
          <t>3-6M</t>
        </is>
      </c>
      <c r="I2361" s="0">
        <v>24.99</v>
      </c>
      <c r="J2361" s="0">
        <v>94</v>
      </c>
    </row>
    <row r="2362" spans="1:10" customHeight="0">
      <c r="A2362" s="0">
        <f>HYPERLINK("https://dl.dropboxusercontent.com/scl/fi/lpiuhsx7lq3xj86npq7lh/95285f.jpg?rlkey=lbsq88djkodc4muqsgw8i3b0l&amp;dl=0","Click to download Image")</f>
      </c>
      <c r="B2362" s="0">
        <f>HYPERLINK("https://dl.dropboxusercontent.com/scl/fi/0yrkkdb5x00l9mq7qf34l/graphic-update22022-infant.jpg?rlkey=j9s4d33ov6emsp1tem83ntcdg&amp;dl=0","Click to download SizeChart")</f>
      </c>
      <c r="C2362" s="0" t="inlineStr">
        <is>
          <t>Adrian Infant Bodysuit</t>
        </is>
      </c>
      <c r="D2362" s="0" t="inlineStr">
        <is>
          <t>'95285</t>
        </is>
      </c>
      <c r="E2362" s="0" t="inlineStr">
        <is>
          <t>ADRIAN:95285 6M-9M</t>
        </is>
      </c>
      <c r="F2362" s="0" t="inlineStr">
        <is>
          <t>'000000000000</t>
        </is>
      </c>
      <c r="G2362" s="0" t="inlineStr">
        <is>
          <t>INFANT</t>
        </is>
      </c>
      <c r="H2362" s="0" t="inlineStr">
        <is>
          <t>6-9M</t>
        </is>
      </c>
      <c r="I2362" s="0">
        <v>24.99</v>
      </c>
      <c r="J2362" s="0">
        <v>92</v>
      </c>
    </row>
    <row r="2363" spans="1:10" customHeight="0">
      <c r="A2363" s="0">
        <f>HYPERLINK("https://dl.dropboxusercontent.com/scl/fi/lpiuhsx7lq3xj86npq7lh/95285f.jpg?rlkey=lbsq88djkodc4muqsgw8i3b0l&amp;dl=0","Click to download Image")</f>
      </c>
      <c r="B2363" s="0">
        <f>HYPERLINK("https://dl.dropboxusercontent.com/scl/fi/0yrkkdb5x00l9mq7qf34l/graphic-update22022-infant.jpg?rlkey=j9s4d33ov6emsp1tem83ntcdg&amp;dl=0","Click to download SizeChart")</f>
      </c>
      <c r="C2363" s="0" t="inlineStr">
        <is>
          <t>Adrian Infant Bodysuit</t>
        </is>
      </c>
      <c r="D2363" s="0" t="inlineStr">
        <is>
          <t>'95285</t>
        </is>
      </c>
      <c r="E2363" s="0" t="inlineStr">
        <is>
          <t>ADRIAN:95285 9M-12M</t>
        </is>
      </c>
      <c r="F2363" s="0" t="inlineStr">
        <is>
          <t>'000000000000</t>
        </is>
      </c>
      <c r="G2363" s="0" t="inlineStr">
        <is>
          <t>INFANT</t>
        </is>
      </c>
      <c r="H2363" s="0" t="inlineStr">
        <is>
          <t>12M</t>
        </is>
      </c>
      <c r="I2363" s="0">
        <v>24.99</v>
      </c>
      <c r="J2363" s="0">
        <v>91</v>
      </c>
    </row>
    <row r="2364" spans="1:10" customHeight="0">
      <c r="A2364" s="0">
        <f>HYPERLINK("https://dl.dropboxusercontent.com/scl/fi/cf6b8yxernenzl2v877sp/95803f.jpg?rlkey=3w4lo2ags886ht3d96lo7gwhj&amp;dl=0","Click to download Image")</f>
      </c>
      <c r="B2364" s="0">
        <f>HYPERLINK("https://dl.dropboxusercontent.com/scl/fi/0yrkkdb5x00l9mq7qf34l/graphic-update22022-infant.jpg?rlkey=j9s4d33ov6emsp1tem83ntcdg&amp;dl=0","Click to download SizeChart")</f>
      </c>
      <c r="C2364" s="0" t="inlineStr">
        <is>
          <t>Adrian Infant Bodysuit</t>
        </is>
      </c>
      <c r="D2364" s="0" t="inlineStr">
        <is>
          <t>'95803</t>
        </is>
      </c>
      <c r="E2364" s="0" t="inlineStr">
        <is>
          <t>ADRIAN:95803 0M-3M</t>
        </is>
      </c>
      <c r="F2364" s="0" t="inlineStr">
        <is>
          <t>'000000000000</t>
        </is>
      </c>
      <c r="G2364" s="0" t="inlineStr">
        <is>
          <t>INFANT</t>
        </is>
      </c>
      <c r="H2364" s="0" t="inlineStr">
        <is>
          <t>0-3M</t>
        </is>
      </c>
      <c r="I2364" s="0">
        <v>24.99</v>
      </c>
      <c r="J2364" s="0">
        <v>50</v>
      </c>
    </row>
    <row r="2365" spans="1:10" customHeight="0">
      <c r="A2365" s="0">
        <f>HYPERLINK("https://dl.dropboxusercontent.com/scl/fi/cf6b8yxernenzl2v877sp/95803f.jpg?rlkey=3w4lo2ags886ht3d96lo7gwhj&amp;dl=0","Click to download Image")</f>
      </c>
      <c r="B2365" s="0">
        <f>HYPERLINK("https://dl.dropboxusercontent.com/scl/fi/0yrkkdb5x00l9mq7qf34l/graphic-update22022-infant.jpg?rlkey=j9s4d33ov6emsp1tem83ntcdg&amp;dl=0","Click to download SizeChart")</f>
      </c>
      <c r="C2365" s="0" t="inlineStr">
        <is>
          <t>Adrian Infant Bodysuit</t>
        </is>
      </c>
      <c r="D2365" s="0" t="inlineStr">
        <is>
          <t>'95803</t>
        </is>
      </c>
      <c r="E2365" s="0" t="inlineStr">
        <is>
          <t>ADRIAN:95803 3M-6M</t>
        </is>
      </c>
      <c r="F2365" s="0" t="inlineStr">
        <is>
          <t>'000000000000</t>
        </is>
      </c>
      <c r="G2365" s="0" t="inlineStr">
        <is>
          <t>INFANT</t>
        </is>
      </c>
      <c r="H2365" s="0" t="inlineStr">
        <is>
          <t>3-6M</t>
        </is>
      </c>
      <c r="I2365" s="0">
        <v>24.99</v>
      </c>
      <c r="J2365" s="0">
        <v>40</v>
      </c>
    </row>
    <row r="2366" spans="1:10" customHeight="0">
      <c r="A2366" s="0">
        <f>HYPERLINK("https://dl.dropboxusercontent.com/scl/fi/cf6b8yxernenzl2v877sp/95803f.jpg?rlkey=3w4lo2ags886ht3d96lo7gwhj&amp;dl=0","Click to download Image")</f>
      </c>
      <c r="B2366" s="0">
        <f>HYPERLINK("https://dl.dropboxusercontent.com/scl/fi/0yrkkdb5x00l9mq7qf34l/graphic-update22022-infant.jpg?rlkey=j9s4d33ov6emsp1tem83ntcdg&amp;dl=0","Click to download SizeChart")</f>
      </c>
      <c r="C2366" s="0" t="inlineStr">
        <is>
          <t>Adrian Infant Bodysuit</t>
        </is>
      </c>
      <c r="D2366" s="0" t="inlineStr">
        <is>
          <t>'95803</t>
        </is>
      </c>
      <c r="E2366" s="0" t="inlineStr">
        <is>
          <t>ADRIAN:95803 6M-9M</t>
        </is>
      </c>
      <c r="F2366" s="0" t="inlineStr">
        <is>
          <t>'000000000000</t>
        </is>
      </c>
      <c r="G2366" s="0" t="inlineStr">
        <is>
          <t>INFANT</t>
        </is>
      </c>
      <c r="H2366" s="0" t="inlineStr">
        <is>
          <t>6-9M</t>
        </is>
      </c>
      <c r="I2366" s="0">
        <v>24.99</v>
      </c>
      <c r="J2366" s="0">
        <v>40</v>
      </c>
    </row>
    <row r="2367" spans="1:10" customHeight="0">
      <c r="A2367" s="0">
        <f>HYPERLINK("https://dl.dropboxusercontent.com/scl/fi/cf6b8yxernenzl2v877sp/95803f.jpg?rlkey=3w4lo2ags886ht3d96lo7gwhj&amp;dl=0","Click to download Image")</f>
      </c>
      <c r="B2367" s="0">
        <f>HYPERLINK("https://dl.dropboxusercontent.com/scl/fi/0yrkkdb5x00l9mq7qf34l/graphic-update22022-infant.jpg?rlkey=j9s4d33ov6emsp1tem83ntcdg&amp;dl=0","Click to download SizeChart")</f>
      </c>
      <c r="C2367" s="0" t="inlineStr">
        <is>
          <t>Adrian Infant Bodysuit</t>
        </is>
      </c>
      <c r="D2367" s="0" t="inlineStr">
        <is>
          <t>'95803</t>
        </is>
      </c>
      <c r="E2367" s="0" t="inlineStr">
        <is>
          <t>ADRIAN:95803 9M-12M</t>
        </is>
      </c>
      <c r="F2367" s="0" t="inlineStr">
        <is>
          <t>'000000000000</t>
        </is>
      </c>
      <c r="G2367" s="0" t="inlineStr">
        <is>
          <t>INFANT</t>
        </is>
      </c>
      <c r="H2367" s="0" t="inlineStr">
        <is>
          <t>12M</t>
        </is>
      </c>
      <c r="I2367" s="0">
        <v>24.99</v>
      </c>
      <c r="J2367" s="0">
        <v>46</v>
      </c>
    </row>
    <row r="2368" spans="1:10" customHeight="0">
      <c r="A2368" s="0">
        <f>HYPERLINK("https://dl.dropboxusercontent.com/scl/fi/7ivxref7ootpkrp2fo9ii/95286f.jpg?rlkey=la576r83b7pumbk817bxvg798&amp;dl=0","Click to download Image")</f>
      </c>
      <c r="B2368" s="0">
        <f>HYPERLINK("https://dl.dropboxusercontent.com/scl/fi/33fy778nn55fl4vzuodsb/graphic-update22022-infant.jpg?rlkey=jedszbxfhh0rf1js4w71hwn2c&amp;dl=0","Click to download SizeChart")</f>
      </c>
      <c r="C2368" s="0" t="inlineStr">
        <is>
          <t>Andre Infant Bodysuit</t>
        </is>
      </c>
      <c r="D2368" s="0" t="inlineStr">
        <is>
          <t>'95286</t>
        </is>
      </c>
      <c r="E2368" s="0" t="inlineStr">
        <is>
          <t>ANDRE:95286 0M-3M</t>
        </is>
      </c>
      <c r="F2368" s="0" t="inlineStr">
        <is>
          <t>'000000000000</t>
        </is>
      </c>
      <c r="G2368" s="0" t="inlineStr">
        <is>
          <t>INFANT</t>
        </is>
      </c>
      <c r="H2368" s="0" t="inlineStr">
        <is>
          <t>0-3M</t>
        </is>
      </c>
      <c r="I2368" s="0">
        <v>24.99</v>
      </c>
      <c r="J2368" s="0">
        <v>100</v>
      </c>
    </row>
    <row r="2369" spans="1:10" customHeight="0">
      <c r="A2369" s="0">
        <f>HYPERLINK("https://dl.dropboxusercontent.com/scl/fi/7ivxref7ootpkrp2fo9ii/95286f.jpg?rlkey=la576r83b7pumbk817bxvg798&amp;dl=0","Click to download Image")</f>
      </c>
      <c r="B2369" s="0">
        <f>HYPERLINK("https://dl.dropboxusercontent.com/scl/fi/33fy778nn55fl4vzuodsb/graphic-update22022-infant.jpg?rlkey=jedszbxfhh0rf1js4w71hwn2c&amp;dl=0","Click to download SizeChart")</f>
      </c>
      <c r="C2369" s="0" t="inlineStr">
        <is>
          <t>Andre Infant Bodysuit</t>
        </is>
      </c>
      <c r="D2369" s="0" t="inlineStr">
        <is>
          <t>'95286</t>
        </is>
      </c>
      <c r="E2369" s="0" t="inlineStr">
        <is>
          <t>ANDRE:95286 3M-6M</t>
        </is>
      </c>
      <c r="F2369" s="0" t="inlineStr">
        <is>
          <t>'000000000000</t>
        </is>
      </c>
      <c r="G2369" s="0" t="inlineStr">
        <is>
          <t>INFANT</t>
        </is>
      </c>
      <c r="H2369" s="0" t="inlineStr">
        <is>
          <t>3-6M</t>
        </is>
      </c>
      <c r="I2369" s="0">
        <v>24.99</v>
      </c>
      <c r="J2369" s="0">
        <v>83</v>
      </c>
    </row>
    <row r="2370" spans="1:10" customHeight="0">
      <c r="A2370" s="0">
        <f>HYPERLINK("https://dl.dropboxusercontent.com/scl/fi/7ivxref7ootpkrp2fo9ii/95286f.jpg?rlkey=la576r83b7pumbk817bxvg798&amp;dl=0","Click to download Image")</f>
      </c>
      <c r="B2370" s="0">
        <f>HYPERLINK("https://dl.dropboxusercontent.com/scl/fi/33fy778nn55fl4vzuodsb/graphic-update22022-infant.jpg?rlkey=jedszbxfhh0rf1js4w71hwn2c&amp;dl=0","Click to download SizeChart")</f>
      </c>
      <c r="C2370" s="0" t="inlineStr">
        <is>
          <t>Andre Infant Bodysuit</t>
        </is>
      </c>
      <c r="D2370" s="0" t="inlineStr">
        <is>
          <t>'95286</t>
        </is>
      </c>
      <c r="E2370" s="0" t="inlineStr">
        <is>
          <t>ANDRE:95286 6M-9M</t>
        </is>
      </c>
      <c r="F2370" s="0" t="inlineStr">
        <is>
          <t>'000000000000</t>
        </is>
      </c>
      <c r="G2370" s="0" t="inlineStr">
        <is>
          <t>INFANT</t>
        </is>
      </c>
      <c r="H2370" s="0" t="inlineStr">
        <is>
          <t>6-9M</t>
        </is>
      </c>
      <c r="I2370" s="0">
        <v>24.99</v>
      </c>
      <c r="J2370" s="0">
        <v>85</v>
      </c>
    </row>
    <row r="2371" spans="1:10" customHeight="0">
      <c r="A2371" s="0">
        <f>HYPERLINK("https://dl.dropboxusercontent.com/scl/fi/7ivxref7ootpkrp2fo9ii/95286f.jpg?rlkey=la576r83b7pumbk817bxvg798&amp;dl=0","Click to download Image")</f>
      </c>
      <c r="B2371" s="0">
        <f>HYPERLINK("https://dl.dropboxusercontent.com/scl/fi/33fy778nn55fl4vzuodsb/graphic-update22022-infant.jpg?rlkey=jedszbxfhh0rf1js4w71hwn2c&amp;dl=0","Click to download SizeChart")</f>
      </c>
      <c r="C2371" s="0" t="inlineStr">
        <is>
          <t>Andre Infant Bodysuit</t>
        </is>
      </c>
      <c r="D2371" s="0" t="inlineStr">
        <is>
          <t>'95286</t>
        </is>
      </c>
      <c r="E2371" s="0" t="inlineStr">
        <is>
          <t>ANDRE:95286 9M-12M</t>
        </is>
      </c>
      <c r="F2371" s="0" t="inlineStr">
        <is>
          <t>'000000000000</t>
        </is>
      </c>
      <c r="G2371" s="0" t="inlineStr">
        <is>
          <t>INFANT</t>
        </is>
      </c>
      <c r="H2371" s="0" t="inlineStr">
        <is>
          <t>12M</t>
        </is>
      </c>
      <c r="I2371" s="0">
        <v>24.99</v>
      </c>
      <c r="J2371" s="0">
        <v>89</v>
      </c>
    </row>
    <row r="2372" spans="1:10" customHeight="0">
      <c r="A2372" s="0">
        <f>HYPERLINK("https://dl.dropboxusercontent.com/scl/fi/5r0ph513ms59popdoo2n6/95804f.jpg?rlkey=3vvjd4ydal3apjh8lv2njghui&amp;dl=0","Click to download Image")</f>
      </c>
      <c r="B2372" s="0">
        <f>HYPERLINK("https://dl.dropboxusercontent.com/scl/fi/33fy778nn55fl4vzuodsb/graphic-update22022-infant.jpg?rlkey=jedszbxfhh0rf1js4w71hwn2c&amp;dl=0","Click to download SizeChart")</f>
      </c>
      <c r="C2372" s="0" t="inlineStr">
        <is>
          <t>Andre Infant Bodysuit</t>
        </is>
      </c>
      <c r="D2372" s="0" t="inlineStr">
        <is>
          <t>'95804</t>
        </is>
      </c>
      <c r="E2372" s="0" t="inlineStr">
        <is>
          <t>ANDRE:95804 0M-3M</t>
        </is>
      </c>
      <c r="F2372" s="0" t="inlineStr">
        <is>
          <t>'000000000000</t>
        </is>
      </c>
      <c r="G2372" s="0" t="inlineStr">
        <is>
          <t>INFANT</t>
        </is>
      </c>
      <c r="H2372" s="0" t="inlineStr">
        <is>
          <t>0-3M</t>
        </is>
      </c>
      <c r="I2372" s="0">
        <v>24.99</v>
      </c>
      <c r="J2372" s="0">
        <v>40</v>
      </c>
    </row>
    <row r="2373" spans="1:10" customHeight="0">
      <c r="A2373" s="0">
        <f>HYPERLINK("https://dl.dropboxusercontent.com/scl/fi/5r0ph513ms59popdoo2n6/95804f.jpg?rlkey=3vvjd4ydal3apjh8lv2njghui&amp;dl=0","Click to download Image")</f>
      </c>
      <c r="B2373" s="0">
        <f>HYPERLINK("https://dl.dropboxusercontent.com/scl/fi/33fy778nn55fl4vzuodsb/graphic-update22022-infant.jpg?rlkey=jedszbxfhh0rf1js4w71hwn2c&amp;dl=0","Click to download SizeChart")</f>
      </c>
      <c r="C2373" s="0" t="inlineStr">
        <is>
          <t>Andre Infant Bodysuit</t>
        </is>
      </c>
      <c r="D2373" s="0" t="inlineStr">
        <is>
          <t>'95804</t>
        </is>
      </c>
      <c r="E2373" s="0" t="inlineStr">
        <is>
          <t>ANDRE:95804 3M-6M</t>
        </is>
      </c>
      <c r="F2373" s="0" t="inlineStr">
        <is>
          <t>'000000000000</t>
        </is>
      </c>
      <c r="G2373" s="0" t="inlineStr">
        <is>
          <t>INFANT</t>
        </is>
      </c>
      <c r="H2373" s="0" t="inlineStr">
        <is>
          <t>3-6M</t>
        </is>
      </c>
      <c r="I2373" s="0">
        <v>24.99</v>
      </c>
      <c r="J2373" s="0">
        <v>33</v>
      </c>
    </row>
    <row r="2374" spans="1:10" customHeight="0">
      <c r="A2374" s="0">
        <f>HYPERLINK("https://dl.dropboxusercontent.com/scl/fi/5r0ph513ms59popdoo2n6/95804f.jpg?rlkey=3vvjd4ydal3apjh8lv2njghui&amp;dl=0","Click to download Image")</f>
      </c>
      <c r="B2374" s="0">
        <f>HYPERLINK("https://dl.dropboxusercontent.com/scl/fi/33fy778nn55fl4vzuodsb/graphic-update22022-infant.jpg?rlkey=jedszbxfhh0rf1js4w71hwn2c&amp;dl=0","Click to download SizeChart")</f>
      </c>
      <c r="C2374" s="0" t="inlineStr">
        <is>
          <t>Andre Infant Bodysuit</t>
        </is>
      </c>
      <c r="D2374" s="0" t="inlineStr">
        <is>
          <t>'95804</t>
        </is>
      </c>
      <c r="E2374" s="0" t="inlineStr">
        <is>
          <t>ANDRE:95804 6M-9M</t>
        </is>
      </c>
      <c r="F2374" s="0" t="inlineStr">
        <is>
          <t>'000000000000</t>
        </is>
      </c>
      <c r="G2374" s="0" t="inlineStr">
        <is>
          <t>INFANT</t>
        </is>
      </c>
      <c r="H2374" s="0" t="inlineStr">
        <is>
          <t>6-9M</t>
        </is>
      </c>
      <c r="I2374" s="0">
        <v>24.99</v>
      </c>
      <c r="J2374" s="0">
        <v>31</v>
      </c>
    </row>
    <row r="2375" spans="1:10" customHeight="0">
      <c r="A2375" s="0">
        <f>HYPERLINK("https://dl.dropboxusercontent.com/scl/fi/5r0ph513ms59popdoo2n6/95804f.jpg?rlkey=3vvjd4ydal3apjh8lv2njghui&amp;dl=0","Click to download Image")</f>
      </c>
      <c r="B2375" s="0">
        <f>HYPERLINK("https://dl.dropboxusercontent.com/scl/fi/33fy778nn55fl4vzuodsb/graphic-update22022-infant.jpg?rlkey=jedszbxfhh0rf1js4w71hwn2c&amp;dl=0","Click to download SizeChart")</f>
      </c>
      <c r="C2375" s="0" t="inlineStr">
        <is>
          <t>Andre Infant Bodysuit</t>
        </is>
      </c>
      <c r="D2375" s="0" t="inlineStr">
        <is>
          <t>'95804</t>
        </is>
      </c>
      <c r="E2375" s="0" t="inlineStr">
        <is>
          <t>ANDRE:95804 9M-12M</t>
        </is>
      </c>
      <c r="F2375" s="0" t="inlineStr">
        <is>
          <t>'000000000000</t>
        </is>
      </c>
      <c r="G2375" s="0" t="inlineStr">
        <is>
          <t>INFANT</t>
        </is>
      </c>
      <c r="H2375" s="0" t="inlineStr">
        <is>
          <t>12M</t>
        </is>
      </c>
      <c r="I2375" s="0">
        <v>24.99</v>
      </c>
      <c r="J2375" s="0">
        <v>29</v>
      </c>
    </row>
    <row r="2376" spans="1:10" customHeight="0">
      <c r="A2376" s="0">
        <f>HYPERLINK("https://dl.dropboxusercontent.com/scl/fi/q0d6oclnfbimxuovqmahi/97144af.jpg?rlkey=lbtbvbcjsresm9bqza0vu4255&amp;dl=0","Click to download Image")</f>
      </c>
      <c r="C2376" s="0" t="inlineStr">
        <is>
          <t>Angel Printed Backpack</t>
        </is>
      </c>
      <c r="D2376" s="0" t="inlineStr">
        <is>
          <t>'97144</t>
        </is>
      </c>
      <c r="E2376" s="0" t="inlineStr">
        <is>
          <t>ANGEL:97144</t>
        </is>
      </c>
      <c r="F2376" s="0" t="inlineStr">
        <is>
          <t>'000000000000</t>
        </is>
      </c>
      <c r="H2376" s="0" t="inlineStr">
        <is>
          <t>9" X 4.5" X 13.5"</t>
        </is>
      </c>
      <c r="I2376" s="0">
        <v>44.99</v>
      </c>
      <c r="J2376" s="0">
        <v>439</v>
      </c>
    </row>
    <row r="2377" spans="1:10" customHeight="0">
      <c r="A2377" s="0">
        <f>HYPERLINK("https://dl.dropboxusercontent.com/scl/fi/hvr4k0ss5ljbbo5ljeevi/116205-f.jpg?rlkey=8zwjp0p1xdro4gd25ka173tsm&amp;dl=0","Click to download Image")</f>
      </c>
      <c r="B2377" s="0">
        <f>HYPERLINK("https://dl.dropboxusercontent.com/scl/fi/135ogdl5khi3s93u1nbiq/graphic-update22022-youth.jpg?rlkey=rd7ecl9472tcpg15x9h8yvrbq&amp;dl=0","Click to download SizeChart")</f>
      </c>
      <c r="C2377" s="0" t="inlineStr">
        <is>
          <t>Chance Youth 1/4 Zip Sweatshirt</t>
        </is>
      </c>
      <c r="D2377" s="0" t="inlineStr">
        <is>
          <t>'116198</t>
        </is>
      </c>
      <c r="E2377" s="0" t="inlineStr">
        <is>
          <t>UNI CHANCE Y GREY:116198B-YS</t>
        </is>
      </c>
      <c r="F2377" s="0" t="inlineStr">
        <is>
          <t>'802116198011</t>
        </is>
      </c>
      <c r="G2377" s="0" t="inlineStr">
        <is>
          <t>YOUTH</t>
        </is>
      </c>
      <c r="H2377" s="0" t="inlineStr">
        <is>
          <t>YS</t>
        </is>
      </c>
      <c r="I2377" s="0">
        <v>44.99</v>
      </c>
      <c r="J2377" s="0">
        <v>5</v>
      </c>
    </row>
    <row r="2378" spans="1:10" customHeight="0">
      <c r="A2378" s="0">
        <f>HYPERLINK("https://dl.dropboxusercontent.com/scl/fi/hvr4k0ss5ljbbo5ljeevi/116205-f.jpg?rlkey=8zwjp0p1xdro4gd25ka173tsm&amp;dl=0","Click to download Image")</f>
      </c>
      <c r="B2378" s="0">
        <f>HYPERLINK("https://dl.dropboxusercontent.com/scl/fi/135ogdl5khi3s93u1nbiq/graphic-update22022-youth.jpg?rlkey=rd7ecl9472tcpg15x9h8yvrbq&amp;dl=0","Click to download SizeChart")</f>
      </c>
      <c r="C2378" s="0" t="inlineStr">
        <is>
          <t>Chance Youth 1/4 Zip Sweatshirt</t>
        </is>
      </c>
      <c r="D2378" s="0" t="inlineStr">
        <is>
          <t>'116198</t>
        </is>
      </c>
      <c r="E2378" s="0" t="inlineStr">
        <is>
          <t>UNI CHANCE Y GREY:116198C-YM</t>
        </is>
      </c>
      <c r="F2378" s="0" t="inlineStr">
        <is>
          <t>'802116198028</t>
        </is>
      </c>
      <c r="G2378" s="0" t="inlineStr">
        <is>
          <t>YOUTH</t>
        </is>
      </c>
      <c r="H2378" s="0" t="inlineStr">
        <is>
          <t>YM</t>
        </is>
      </c>
      <c r="I2378" s="0">
        <v>44.99</v>
      </c>
      <c r="J2378" s="0">
        <v>6</v>
      </c>
    </row>
    <row r="2379" spans="1:10" customHeight="0">
      <c r="A2379" s="0">
        <f>HYPERLINK("https://dl.dropboxusercontent.com/scl/fi/hvr4k0ss5ljbbo5ljeevi/116205-f.jpg?rlkey=8zwjp0p1xdro4gd25ka173tsm&amp;dl=0","Click to download Image")</f>
      </c>
      <c r="B2379" s="0">
        <f>HYPERLINK("https://dl.dropboxusercontent.com/scl/fi/135ogdl5khi3s93u1nbiq/graphic-update22022-youth.jpg?rlkey=rd7ecl9472tcpg15x9h8yvrbq&amp;dl=0","Click to download SizeChart")</f>
      </c>
      <c r="C2379" s="0" t="inlineStr">
        <is>
          <t>Chance Youth 1/4 Zip Sweatshirt</t>
        </is>
      </c>
      <c r="D2379" s="0" t="inlineStr">
        <is>
          <t>'116198</t>
        </is>
      </c>
      <c r="E2379" s="0" t="inlineStr">
        <is>
          <t>UNI CHANCE Y GREY:116198D-YL</t>
        </is>
      </c>
      <c r="F2379" s="0" t="inlineStr">
        <is>
          <t>'802116198035</t>
        </is>
      </c>
      <c r="G2379" s="0" t="inlineStr">
        <is>
          <t>YOUTH</t>
        </is>
      </c>
      <c r="H2379" s="0" t="inlineStr">
        <is>
          <t>YL</t>
        </is>
      </c>
      <c r="I2379" s="0">
        <v>44.99</v>
      </c>
      <c r="J2379" s="0">
        <v>6</v>
      </c>
    </row>
    <row r="2380" spans="1:10" customHeight="0">
      <c r="A2380" s="0">
        <f>HYPERLINK("https://dl.dropboxusercontent.com/scl/fi/hvr4k0ss5ljbbo5ljeevi/116205-f.jpg?rlkey=8zwjp0p1xdro4gd25ka173tsm&amp;dl=0","Click to download Image")</f>
      </c>
      <c r="B2380" s="0">
        <f>HYPERLINK("https://dl.dropboxusercontent.com/scl/fi/135ogdl5khi3s93u1nbiq/graphic-update22022-youth.jpg?rlkey=rd7ecl9472tcpg15x9h8yvrbq&amp;dl=0","Click to download SizeChart")</f>
      </c>
      <c r="C2380" s="0" t="inlineStr">
        <is>
          <t>Chance Youth 1/4 Zip Sweatshirt</t>
        </is>
      </c>
      <c r="D2380" s="0" t="inlineStr">
        <is>
          <t>'116198</t>
        </is>
      </c>
      <c r="E2380" s="0" t="inlineStr">
        <is>
          <t>UNI CHANCE Y GREY:116198E-YXL</t>
        </is>
      </c>
      <c r="F2380" s="0" t="inlineStr">
        <is>
          <t>'802116198042</t>
        </is>
      </c>
      <c r="G2380" s="0" t="inlineStr">
        <is>
          <t>YOUTH</t>
        </is>
      </c>
      <c r="H2380" s="0" t="inlineStr">
        <is>
          <t>YXL</t>
        </is>
      </c>
      <c r="I2380" s="0">
        <v>44.99</v>
      </c>
      <c r="J2380" s="0">
        <v>6</v>
      </c>
    </row>
    <row r="2381" spans="1:10" customHeight="0">
      <c r="A2381" s="0">
        <f>HYPERLINK("https://dl.dropboxusercontent.com/scl/fi/hvr4k0ss5ljbbo5ljeevi/116205-f.jpg?rlkey=8zwjp0p1xdro4gd25ka173tsm&amp;dl=0","Click to download Image")</f>
      </c>
      <c r="B2381" s="0">
        <f>HYPERLINK("https://dl.dropboxusercontent.com/scl/fi/135ogdl5khi3s93u1nbiq/graphic-update22022-youth.jpg?rlkey=rd7ecl9472tcpg15x9h8yvrbq&amp;dl=0","Click to download SizeChart")</f>
      </c>
      <c r="C2381" s="0" t="inlineStr">
        <is>
          <t>Chance Youth 1/4 Zip Sweatshirt</t>
        </is>
      </c>
      <c r="D2381" s="0" t="inlineStr">
        <is>
          <t>'116198</t>
        </is>
      </c>
      <c r="E2381" s="0" t="inlineStr">
        <is>
          <t>UNI CHANCE Y GREY 12 PACK:116198Z-12PK</t>
        </is>
      </c>
      <c r="F2381" s="0" t="inlineStr">
        <is>
          <t>'802116198998</t>
        </is>
      </c>
      <c r="G2381" s="0" t="inlineStr">
        <is>
          <t>YOUTH</t>
        </is>
      </c>
      <c r="H2381" s="0" t="inlineStr">
        <is>
          <t>12 PACK</t>
        </is>
      </c>
      <c r="I2381" s="0">
        <v>450</v>
      </c>
      <c r="J2381" s="0">
        <v>0</v>
      </c>
    </row>
    <row r="2382" spans="1:10" customHeight="0">
      <c r="A2382" s="0">
        <f>HYPERLINK("https://dl.dropboxusercontent.com/scl/fi/nfmeyxa68abkbqju37lb2/114881-f.jpg?rlkey=23o10xjm2ay7s4smcta82t4jv&amp;dl=0","Click to download Image")</f>
      </c>
      <c r="B2382" s="0">
        <f>HYPERLINK("https://dl.dropboxusercontent.com/scl/fi/135ogdl5khi3s93u1nbiq/graphic-update22022-youth.jpg?rlkey=rd7ecl9472tcpg15x9h8yvrbq&amp;dl=0","Click to download SizeChart")</f>
      </c>
      <c r="C2382" s="0" t="inlineStr">
        <is>
          <t>Chance Youth 1/4 Zip Sweatshirt</t>
        </is>
      </c>
      <c r="D2382" s="0" t="inlineStr">
        <is>
          <t>'113284</t>
        </is>
      </c>
      <c r="E2382" s="0" t="inlineStr">
        <is>
          <t>ISU CHANCE Y GREY:113284C-YM</t>
        </is>
      </c>
      <c r="F2382" s="0" t="inlineStr">
        <is>
          <t>'801113284031</t>
        </is>
      </c>
      <c r="G2382" s="0" t="inlineStr">
        <is>
          <t>YOUTH</t>
        </is>
      </c>
      <c r="H2382" s="0" t="inlineStr">
        <is>
          <t>YM</t>
        </is>
      </c>
      <c r="I2382" s="0">
        <v>44.99</v>
      </c>
      <c r="J2382" s="0">
        <v>1</v>
      </c>
    </row>
    <row r="2383" spans="1:10" customHeight="0">
      <c r="A2383" s="0">
        <f>HYPERLINK("https://dl.dropboxusercontent.com/scl/fi/nfmeyxa68abkbqju37lb2/114881-f.jpg?rlkey=23o10xjm2ay7s4smcta82t4jv&amp;dl=0","Click to download Image")</f>
      </c>
      <c r="B2383" s="0">
        <f>HYPERLINK("https://dl.dropboxusercontent.com/scl/fi/135ogdl5khi3s93u1nbiq/graphic-update22022-youth.jpg?rlkey=rd7ecl9472tcpg15x9h8yvrbq&amp;dl=0","Click to download SizeChart")</f>
      </c>
      <c r="C2383" s="0" t="inlineStr">
        <is>
          <t>Chance Youth 1/4 Zip Sweatshirt</t>
        </is>
      </c>
      <c r="D2383" s="0" t="inlineStr">
        <is>
          <t>'113284</t>
        </is>
      </c>
      <c r="E2383" s="0" t="inlineStr">
        <is>
          <t>ISU CHANCE Y GREY:113284D-YL</t>
        </is>
      </c>
      <c r="F2383" s="0" t="inlineStr">
        <is>
          <t>'801113284048</t>
        </is>
      </c>
      <c r="G2383" s="0" t="inlineStr">
        <is>
          <t>YOUTH</t>
        </is>
      </c>
      <c r="H2383" s="0" t="inlineStr">
        <is>
          <t>YL</t>
        </is>
      </c>
      <c r="I2383" s="0">
        <v>44.99</v>
      </c>
      <c r="J2383" s="0">
        <v>1</v>
      </c>
    </row>
    <row r="2384" spans="1:10" customHeight="0">
      <c r="A2384" s="0">
        <f>HYPERLINK("https://dl.dropboxusercontent.com/scl/fi/lts3yscyl0rj46m4ck13h/116205-f.jpg?rlkey=qyg5jjepxc7csoxhija3lla6v&amp;dl=0","Click to download Image")</f>
      </c>
      <c r="B2384" s="0">
        <f>HYPERLINK("https://dl.dropboxusercontent.com/scl/fi/360wa4yj7ce7qa45114hk/graphic-update22022-toddler.jpg?rlkey=fljra8q5ad6mgvite8wpxiauo&amp;dl=0","Click to download SizeChart")</f>
      </c>
      <c r="C2384" s="0" t="inlineStr">
        <is>
          <t>Chance Toddler 1/4 Zip Sweatshirt</t>
        </is>
      </c>
      <c r="D2384" s="0" t="inlineStr">
        <is>
          <t>'116205</t>
        </is>
      </c>
      <c r="E2384" s="0" t="inlineStr">
        <is>
          <t>UNI CHANCE T GREY:116205A-2T</t>
        </is>
      </c>
      <c r="F2384" s="0" t="inlineStr">
        <is>
          <t>'802116205085</t>
        </is>
      </c>
      <c r="G2384" s="0" t="inlineStr">
        <is>
          <t>TODDLER</t>
        </is>
      </c>
      <c r="H2384" s="0" t="inlineStr">
        <is>
          <t>2T</t>
        </is>
      </c>
      <c r="I2384" s="0">
        <v>44.99</v>
      </c>
      <c r="J2384" s="0">
        <v>6</v>
      </c>
    </row>
    <row r="2385" spans="1:10" customHeight="0">
      <c r="A2385" s="0">
        <f>HYPERLINK("https://dl.dropboxusercontent.com/scl/fi/lts3yscyl0rj46m4ck13h/116205-f.jpg?rlkey=qyg5jjepxc7csoxhija3lla6v&amp;dl=0","Click to download Image")</f>
      </c>
      <c r="B2385" s="0">
        <f>HYPERLINK("https://dl.dropboxusercontent.com/scl/fi/360wa4yj7ce7qa45114hk/graphic-update22022-toddler.jpg?rlkey=fljra8q5ad6mgvite8wpxiauo&amp;dl=0","Click to download SizeChart")</f>
      </c>
      <c r="C2385" s="0" t="inlineStr">
        <is>
          <t>Chance Toddler 1/4 Zip Sweatshirt</t>
        </is>
      </c>
      <c r="D2385" s="0" t="inlineStr">
        <is>
          <t>'116205</t>
        </is>
      </c>
      <c r="E2385" s="0" t="inlineStr">
        <is>
          <t>UNI CHANCE T GREY:116205B-3T</t>
        </is>
      </c>
      <c r="F2385" s="0" t="inlineStr">
        <is>
          <t>'802116205092</t>
        </is>
      </c>
      <c r="G2385" s="0" t="inlineStr">
        <is>
          <t>TODDLER</t>
        </is>
      </c>
      <c r="H2385" s="0" t="inlineStr">
        <is>
          <t>3T</t>
        </is>
      </c>
      <c r="I2385" s="0">
        <v>44.99</v>
      </c>
      <c r="J2385" s="0">
        <v>7</v>
      </c>
    </row>
    <row r="2386" spans="1:10" customHeight="0">
      <c r="A2386" s="0">
        <f>HYPERLINK("https://dl.dropboxusercontent.com/scl/fi/lts3yscyl0rj46m4ck13h/116205-f.jpg?rlkey=qyg5jjepxc7csoxhija3lla6v&amp;dl=0","Click to download Image")</f>
      </c>
      <c r="B2386" s="0">
        <f>HYPERLINK("https://dl.dropboxusercontent.com/scl/fi/360wa4yj7ce7qa45114hk/graphic-update22022-toddler.jpg?rlkey=fljra8q5ad6mgvite8wpxiauo&amp;dl=0","Click to download SizeChart")</f>
      </c>
      <c r="C2386" s="0" t="inlineStr">
        <is>
          <t>Chance Toddler 1/4 Zip Sweatshirt</t>
        </is>
      </c>
      <c r="D2386" s="0" t="inlineStr">
        <is>
          <t>'116205</t>
        </is>
      </c>
      <c r="E2386" s="0" t="inlineStr">
        <is>
          <t>UNI CHANCE T GREY:116205C-4T</t>
        </is>
      </c>
      <c r="F2386" s="0" t="inlineStr">
        <is>
          <t>'802116205108</t>
        </is>
      </c>
      <c r="G2386" s="0" t="inlineStr">
        <is>
          <t>TODDLER</t>
        </is>
      </c>
      <c r="H2386" s="0" t="inlineStr">
        <is>
          <t>4T</t>
        </is>
      </c>
      <c r="I2386" s="0">
        <v>44.99</v>
      </c>
      <c r="J2386" s="0">
        <v>6</v>
      </c>
    </row>
    <row r="2387" spans="1:10" customHeight="0">
      <c r="A2387" s="0">
        <f>HYPERLINK("https://dl.dropboxusercontent.com/scl/fi/lts3yscyl0rj46m4ck13h/116205-f.jpg?rlkey=qyg5jjepxc7csoxhija3lla6v&amp;dl=0","Click to download Image")</f>
      </c>
      <c r="B2387" s="0">
        <f>HYPERLINK("https://dl.dropboxusercontent.com/scl/fi/360wa4yj7ce7qa45114hk/graphic-update22022-toddler.jpg?rlkey=fljra8q5ad6mgvite8wpxiauo&amp;dl=0","Click to download SizeChart")</f>
      </c>
      <c r="C2387" s="0" t="inlineStr">
        <is>
          <t>Chance Toddler 1/4 Zip Sweatshirt</t>
        </is>
      </c>
      <c r="D2387" s="0" t="inlineStr">
        <is>
          <t>'116205</t>
        </is>
      </c>
      <c r="E2387" s="0" t="inlineStr">
        <is>
          <t>UNI CHANCE T GREY:116205D-5T</t>
        </is>
      </c>
      <c r="F2387" s="0" t="inlineStr">
        <is>
          <t>'802116205115</t>
        </is>
      </c>
      <c r="G2387" s="0" t="inlineStr">
        <is>
          <t>TODDLER</t>
        </is>
      </c>
      <c r="H2387" s="0" t="inlineStr">
        <is>
          <t>5T</t>
        </is>
      </c>
      <c r="I2387" s="0">
        <v>44.99</v>
      </c>
      <c r="J2387" s="0">
        <v>7</v>
      </c>
    </row>
    <row r="2388" spans="1:10" customHeight="0">
      <c r="A2388" s="0">
        <f>HYPERLINK("https://dl.dropboxusercontent.com/scl/fi/lts3yscyl0rj46m4ck13h/116205-f.jpg?rlkey=qyg5jjepxc7csoxhija3lla6v&amp;dl=0","Click to download Image")</f>
      </c>
      <c r="B2388" s="0">
        <f>HYPERLINK("https://dl.dropboxusercontent.com/scl/fi/360wa4yj7ce7qa45114hk/graphic-update22022-toddler.jpg?rlkey=fljra8q5ad6mgvite8wpxiauo&amp;dl=0","Click to download SizeChart")</f>
      </c>
      <c r="C2388" s="0" t="inlineStr">
        <is>
          <t>Chance Toddler 1/4 Zip Sweatshirt</t>
        </is>
      </c>
      <c r="D2388" s="0" t="inlineStr">
        <is>
          <t>'116205</t>
        </is>
      </c>
      <c r="E2388" s="0" t="inlineStr">
        <is>
          <t>UNI CHANCE T GREY 12 PACK:116205Z-12PK</t>
        </is>
      </c>
      <c r="F2388" s="0" t="inlineStr">
        <is>
          <t>'802116205993</t>
        </is>
      </c>
      <c r="G2388" s="0" t="inlineStr">
        <is>
          <t>TODDLER</t>
        </is>
      </c>
      <c r="H2388" s="0" t="inlineStr">
        <is>
          <t>12 PACK</t>
        </is>
      </c>
      <c r="I2388" s="0">
        <v>450</v>
      </c>
      <c r="J2388" s="0">
        <v>0</v>
      </c>
    </row>
    <row r="2389" spans="1:10" customHeight="0">
      <c r="A2389" s="0">
        <f>HYPERLINK("https://dl.dropboxusercontent.com/scl/fi/arnzqi87j7y6rehp80k0t/112304f.jpg?rlkey=cgine70vr0hkrhndmmpk039v1&amp;dl=0","Click to download Image")</f>
      </c>
      <c r="B2389" s="0">
        <f>HYPERLINK("https://dl.dropboxusercontent.com/scl/fi/9tfz4eqy9869qu64jh069/womens-long-sleeve-size-chartscoco.jpg?rlkey=u54t7iljy1u2pp6hcdctpk2ap&amp;dl=0","Click to download SizeChart")</f>
      </c>
      <c r="C2389" s="0" t="inlineStr">
        <is>
          <t>Coco Women's Cut Out Long Sleeve</t>
        </is>
      </c>
      <c r="D2389" s="0" t="inlineStr">
        <is>
          <t>'112304</t>
        </is>
      </c>
      <c r="E2389" s="0" t="inlineStr">
        <is>
          <t>ISU COCO CARDINAL:112304AA-XS</t>
        </is>
      </c>
      <c r="F2389" s="0" t="inlineStr">
        <is>
          <t>'801112304037</t>
        </is>
      </c>
      <c r="G2389" s="0" t="inlineStr">
        <is>
          <t>WOMENS</t>
        </is>
      </c>
      <c r="H2389" s="0" t="inlineStr">
        <is>
          <t>XS</t>
        </is>
      </c>
      <c r="I2389" s="0">
        <v>49.99</v>
      </c>
      <c r="J2389" s="0">
        <v>17</v>
      </c>
    </row>
    <row r="2390" spans="1:10" customHeight="0">
      <c r="A2390" s="0">
        <f>HYPERLINK("https://dl.dropboxusercontent.com/scl/fi/arnzqi87j7y6rehp80k0t/112304f.jpg?rlkey=cgine70vr0hkrhndmmpk039v1&amp;dl=0","Click to download Image")</f>
      </c>
      <c r="B2390" s="0">
        <f>HYPERLINK("https://dl.dropboxusercontent.com/scl/fi/9tfz4eqy9869qu64jh069/womens-long-sleeve-size-chartscoco.jpg?rlkey=u54t7iljy1u2pp6hcdctpk2ap&amp;dl=0","Click to download SizeChart")</f>
      </c>
      <c r="C2390" s="0" t="inlineStr">
        <is>
          <t>Coco Women's Cut Out Long Sleeve</t>
        </is>
      </c>
      <c r="D2390" s="0" t="inlineStr">
        <is>
          <t>'112304</t>
        </is>
      </c>
      <c r="E2390" s="0" t="inlineStr">
        <is>
          <t>ISU COCO CARDINAL:112304A-S</t>
        </is>
      </c>
      <c r="F2390" s="0" t="inlineStr">
        <is>
          <t>'801112304044</t>
        </is>
      </c>
      <c r="G2390" s="0" t="inlineStr">
        <is>
          <t>WOMENS</t>
        </is>
      </c>
      <c r="H2390" s="0" t="inlineStr">
        <is>
          <t>S</t>
        </is>
      </c>
      <c r="I2390" s="0">
        <v>49.99</v>
      </c>
      <c r="J2390" s="0">
        <v>24</v>
      </c>
    </row>
    <row r="2391" spans="1:10" customHeight="0">
      <c r="A2391" s="0">
        <f>HYPERLINK("https://dl.dropboxusercontent.com/scl/fi/arnzqi87j7y6rehp80k0t/112304f.jpg?rlkey=cgine70vr0hkrhndmmpk039v1&amp;dl=0","Click to download Image")</f>
      </c>
      <c r="B2391" s="0">
        <f>HYPERLINK("https://dl.dropboxusercontent.com/scl/fi/9tfz4eqy9869qu64jh069/womens-long-sleeve-size-chartscoco.jpg?rlkey=u54t7iljy1u2pp6hcdctpk2ap&amp;dl=0","Click to download SizeChart")</f>
      </c>
      <c r="C2391" s="0" t="inlineStr">
        <is>
          <t>Coco Women's Cut Out Long Sleeve</t>
        </is>
      </c>
      <c r="D2391" s="0" t="inlineStr">
        <is>
          <t>'112304</t>
        </is>
      </c>
      <c r="E2391" s="0" t="inlineStr">
        <is>
          <t>ISU COCO CARDINAL:112304B-M</t>
        </is>
      </c>
      <c r="F2391" s="0" t="inlineStr">
        <is>
          <t>'801112304051</t>
        </is>
      </c>
      <c r="G2391" s="0" t="inlineStr">
        <is>
          <t>WOMENS</t>
        </is>
      </c>
      <c r="H2391" s="0" t="inlineStr">
        <is>
          <t>M</t>
        </is>
      </c>
      <c r="I2391" s="0">
        <v>49.99</v>
      </c>
      <c r="J2391" s="0">
        <v>23</v>
      </c>
    </row>
    <row r="2392" spans="1:10" customHeight="0">
      <c r="A2392" s="0">
        <f>HYPERLINK("https://dl.dropboxusercontent.com/scl/fi/arnzqi87j7y6rehp80k0t/112304f.jpg?rlkey=cgine70vr0hkrhndmmpk039v1&amp;dl=0","Click to download Image")</f>
      </c>
      <c r="B2392" s="0">
        <f>HYPERLINK("https://dl.dropboxusercontent.com/scl/fi/9tfz4eqy9869qu64jh069/womens-long-sleeve-size-chartscoco.jpg?rlkey=u54t7iljy1u2pp6hcdctpk2ap&amp;dl=0","Click to download SizeChart")</f>
      </c>
      <c r="C2392" s="0" t="inlineStr">
        <is>
          <t>Coco Women's Cut Out Long Sleeve</t>
        </is>
      </c>
      <c r="D2392" s="0" t="inlineStr">
        <is>
          <t>'112304</t>
        </is>
      </c>
      <c r="E2392" s="0" t="inlineStr">
        <is>
          <t>ISU COCO CARDINAL:112304C-L</t>
        </is>
      </c>
      <c r="F2392" s="0" t="inlineStr">
        <is>
          <t>'801112304068</t>
        </is>
      </c>
      <c r="G2392" s="0" t="inlineStr">
        <is>
          <t>WOMENS</t>
        </is>
      </c>
      <c r="H2392" s="0" t="inlineStr">
        <is>
          <t>L</t>
        </is>
      </c>
      <c r="I2392" s="0">
        <v>49.99</v>
      </c>
      <c r="J2392" s="0">
        <v>14</v>
      </c>
    </row>
    <row r="2393" spans="1:10" customHeight="0">
      <c r="A2393" s="0">
        <f>HYPERLINK("https://dl.dropboxusercontent.com/scl/fi/arnzqi87j7y6rehp80k0t/112304f.jpg?rlkey=cgine70vr0hkrhndmmpk039v1&amp;dl=0","Click to download Image")</f>
      </c>
      <c r="B2393" s="0">
        <f>HYPERLINK("https://dl.dropboxusercontent.com/scl/fi/9tfz4eqy9869qu64jh069/womens-long-sleeve-size-chartscoco.jpg?rlkey=u54t7iljy1u2pp6hcdctpk2ap&amp;dl=0","Click to download SizeChart")</f>
      </c>
      <c r="C2393" s="0" t="inlineStr">
        <is>
          <t>Coco Women's Cut Out Long Sleeve</t>
        </is>
      </c>
      <c r="D2393" s="0" t="inlineStr">
        <is>
          <t>'112304</t>
        </is>
      </c>
      <c r="E2393" s="0" t="inlineStr">
        <is>
          <t>ISU COCO CARDINAL:112304D-XL</t>
        </is>
      </c>
      <c r="F2393" s="0" t="inlineStr">
        <is>
          <t>'801112304075</t>
        </is>
      </c>
      <c r="G2393" s="0" t="inlineStr">
        <is>
          <t>WOMENS</t>
        </is>
      </c>
      <c r="H2393" s="0" t="inlineStr">
        <is>
          <t>XL</t>
        </is>
      </c>
      <c r="I2393" s="0">
        <v>49.99</v>
      </c>
      <c r="J2393" s="0">
        <v>17</v>
      </c>
    </row>
    <row r="2394" spans="1:10" customHeight="0">
      <c r="A2394" s="0">
        <f>HYPERLINK("https://dl.dropboxusercontent.com/scl/fi/arnzqi87j7y6rehp80k0t/112304f.jpg?rlkey=cgine70vr0hkrhndmmpk039v1&amp;dl=0","Click to download Image")</f>
      </c>
      <c r="B2394" s="0">
        <f>HYPERLINK("https://dl.dropboxusercontent.com/scl/fi/9tfz4eqy9869qu64jh069/womens-long-sleeve-size-chartscoco.jpg?rlkey=u54t7iljy1u2pp6hcdctpk2ap&amp;dl=0","Click to download SizeChart")</f>
      </c>
      <c r="C2394" s="0" t="inlineStr">
        <is>
          <t>Coco Women's Cut Out Long Sleeve</t>
        </is>
      </c>
      <c r="D2394" s="0" t="inlineStr">
        <is>
          <t>'112304</t>
        </is>
      </c>
      <c r="E2394" s="0" t="inlineStr">
        <is>
          <t>ISU COCO CARDINAL:112304E-2XL</t>
        </is>
      </c>
      <c r="F2394" s="0" t="inlineStr">
        <is>
          <t>'801112304082</t>
        </is>
      </c>
      <c r="G2394" s="0" t="inlineStr">
        <is>
          <t>WOMENS</t>
        </is>
      </c>
      <c r="H2394" s="0" t="inlineStr">
        <is>
          <t>2XL</t>
        </is>
      </c>
      <c r="I2394" s="0">
        <v>51.99</v>
      </c>
      <c r="J2394" s="0">
        <v>9</v>
      </c>
    </row>
    <row r="2395" spans="1:10" customHeight="0">
      <c r="A2395" s="0">
        <f>HYPERLINK("https://dl.dropboxusercontent.com/scl/fi/arnzqi87j7y6rehp80k0t/112304f.jpg?rlkey=cgine70vr0hkrhndmmpk039v1&amp;dl=0","Click to download Image")</f>
      </c>
      <c r="B2395" s="0">
        <f>HYPERLINK("https://dl.dropboxusercontent.com/scl/fi/9tfz4eqy9869qu64jh069/womens-long-sleeve-size-chartscoco.jpg?rlkey=u54t7iljy1u2pp6hcdctpk2ap&amp;dl=0","Click to download SizeChart")</f>
      </c>
      <c r="C2395" s="0" t="inlineStr">
        <is>
          <t>Coco Women's Cut Out Long Sleeve</t>
        </is>
      </c>
      <c r="D2395" s="0" t="inlineStr">
        <is>
          <t>'112304</t>
        </is>
      </c>
      <c r="E2395" s="0" t="inlineStr">
        <is>
          <t>ISU COCO CARDINAL:112304F-3XL</t>
        </is>
      </c>
      <c r="F2395" s="0" t="inlineStr">
        <is>
          <t>'801112304099</t>
        </is>
      </c>
      <c r="G2395" s="0" t="inlineStr">
        <is>
          <t>WOMENS</t>
        </is>
      </c>
      <c r="H2395" s="0" t="inlineStr">
        <is>
          <t>3XL</t>
        </is>
      </c>
      <c r="I2395" s="0">
        <v>51.99</v>
      </c>
      <c r="J2395" s="0">
        <v>10</v>
      </c>
    </row>
    <row r="2396" spans="1:10" customHeight="0">
      <c r="A2396" s="0">
        <f>HYPERLINK("https://dl.dropboxusercontent.com/scl/fi/arnzqi87j7y6rehp80k0t/112304f.jpg?rlkey=cgine70vr0hkrhndmmpk039v1&amp;dl=0","Click to download Image")</f>
      </c>
      <c r="B2396" s="0">
        <f>HYPERLINK("https://dl.dropboxusercontent.com/scl/fi/9tfz4eqy9869qu64jh069/womens-long-sleeve-size-chartscoco.jpg?rlkey=u54t7iljy1u2pp6hcdctpk2ap&amp;dl=0","Click to download SizeChart")</f>
      </c>
      <c r="C2396" s="0" t="inlineStr">
        <is>
          <t>Coco Women's Cut Out Long Sleeve</t>
        </is>
      </c>
      <c r="D2396" s="0" t="inlineStr">
        <is>
          <t>'112304</t>
        </is>
      </c>
      <c r="E2396" s="0" t="inlineStr">
        <is>
          <t>ISU COCO CARDINAL 12 PACK:112304Z-12PK</t>
        </is>
      </c>
      <c r="F2396" s="0" t="inlineStr">
        <is>
          <t>'801112304990</t>
        </is>
      </c>
      <c r="G2396" s="0" t="inlineStr">
        <is>
          <t>WOMENS</t>
        </is>
      </c>
      <c r="H2396" s="0" t="inlineStr">
        <is>
          <t>12 PACK</t>
        </is>
      </c>
      <c r="I2396" s="0">
        <v>480</v>
      </c>
      <c r="J2396" s="0">
        <v>0</v>
      </c>
    </row>
    <row r="2397" spans="1:10" customHeight="0">
      <c r="A2397" s="0">
        <f>HYPERLINK("https://dl.dropboxusercontent.com/scl/fi/b3tmr3ew696910s7leu3i/cocoia.jpg?rlkey=57gqdsf0f4l2xx3vivj7ex27k&amp;dl=0","Click to download Image")</f>
      </c>
      <c r="B2397" s="0">
        <f>HYPERLINK("https://dl.dropboxusercontent.com/scl/fi/9tfz4eqy9869qu64jh069/womens-long-sleeve-size-chartscoco.jpg?rlkey=u54t7iljy1u2pp6hcdctpk2ap&amp;dl=0","Click to download SizeChart")</f>
      </c>
      <c r="C2397" s="0" t="inlineStr">
        <is>
          <t>Coco Women's Cut Out Long Sleeve</t>
        </is>
      </c>
      <c r="D2397" s="0" t="inlineStr">
        <is>
          <t>'110831</t>
        </is>
      </c>
      <c r="E2397" s="0" t="inlineStr">
        <is>
          <t>IOWA COCO BLACK:110831AA-XS</t>
        </is>
      </c>
      <c r="F2397" s="0" t="inlineStr">
        <is>
          <t>'800110831033</t>
        </is>
      </c>
      <c r="G2397" s="0" t="inlineStr">
        <is>
          <t>WOMENS</t>
        </is>
      </c>
      <c r="H2397" s="0" t="inlineStr">
        <is>
          <t>XS</t>
        </is>
      </c>
      <c r="I2397" s="0">
        <v>49.99</v>
      </c>
      <c r="J2397" s="0">
        <v>40</v>
      </c>
    </row>
    <row r="2398" spans="1:10" customHeight="0">
      <c r="A2398" s="0">
        <f>HYPERLINK("https://dl.dropboxusercontent.com/scl/fi/b3tmr3ew696910s7leu3i/cocoia.jpg?rlkey=57gqdsf0f4l2xx3vivj7ex27k&amp;dl=0","Click to download Image")</f>
      </c>
      <c r="B2398" s="0">
        <f>HYPERLINK("https://dl.dropboxusercontent.com/scl/fi/9tfz4eqy9869qu64jh069/womens-long-sleeve-size-chartscoco.jpg?rlkey=u54t7iljy1u2pp6hcdctpk2ap&amp;dl=0","Click to download SizeChart")</f>
      </c>
      <c r="C2398" s="0" t="inlineStr">
        <is>
          <t>Coco Women's Cut Out Long Sleeve</t>
        </is>
      </c>
      <c r="D2398" s="0" t="inlineStr">
        <is>
          <t>'110831</t>
        </is>
      </c>
      <c r="E2398" s="0" t="inlineStr">
        <is>
          <t>IOWA COCO BLACK:110831A-S</t>
        </is>
      </c>
      <c r="F2398" s="0" t="inlineStr">
        <is>
          <t>'800110831040</t>
        </is>
      </c>
      <c r="G2398" s="0" t="inlineStr">
        <is>
          <t>WOMENS</t>
        </is>
      </c>
      <c r="H2398" s="0" t="inlineStr">
        <is>
          <t>S</t>
        </is>
      </c>
      <c r="I2398" s="0">
        <v>49.99</v>
      </c>
      <c r="J2398" s="0">
        <v>56</v>
      </c>
    </row>
    <row r="2399" spans="1:10" customHeight="0">
      <c r="A2399" s="0">
        <f>HYPERLINK("https://dl.dropboxusercontent.com/scl/fi/b3tmr3ew696910s7leu3i/cocoia.jpg?rlkey=57gqdsf0f4l2xx3vivj7ex27k&amp;dl=0","Click to download Image")</f>
      </c>
      <c r="B2399" s="0">
        <f>HYPERLINK("https://dl.dropboxusercontent.com/scl/fi/9tfz4eqy9869qu64jh069/womens-long-sleeve-size-chartscoco.jpg?rlkey=u54t7iljy1u2pp6hcdctpk2ap&amp;dl=0","Click to download SizeChart")</f>
      </c>
      <c r="C2399" s="0" t="inlineStr">
        <is>
          <t>Coco Women's Cut Out Long Sleeve</t>
        </is>
      </c>
      <c r="D2399" s="0" t="inlineStr">
        <is>
          <t>'110831</t>
        </is>
      </c>
      <c r="E2399" s="0" t="inlineStr">
        <is>
          <t>IOWA COCO BLACK:110831B-M</t>
        </is>
      </c>
      <c r="F2399" s="0" t="inlineStr">
        <is>
          <t>'800110831057</t>
        </is>
      </c>
      <c r="G2399" s="0" t="inlineStr">
        <is>
          <t>WOMENS</t>
        </is>
      </c>
      <c r="H2399" s="0" t="inlineStr">
        <is>
          <t>M</t>
        </is>
      </c>
      <c r="I2399" s="0">
        <v>49.99</v>
      </c>
      <c r="J2399" s="0">
        <v>54</v>
      </c>
    </row>
    <row r="2400" spans="1:10" customHeight="0">
      <c r="A2400" s="0">
        <f>HYPERLINK("https://dl.dropboxusercontent.com/scl/fi/b3tmr3ew696910s7leu3i/cocoia.jpg?rlkey=57gqdsf0f4l2xx3vivj7ex27k&amp;dl=0","Click to download Image")</f>
      </c>
      <c r="B2400" s="0">
        <f>HYPERLINK("https://dl.dropboxusercontent.com/scl/fi/9tfz4eqy9869qu64jh069/womens-long-sleeve-size-chartscoco.jpg?rlkey=u54t7iljy1u2pp6hcdctpk2ap&amp;dl=0","Click to download SizeChart")</f>
      </c>
      <c r="C2400" s="0" t="inlineStr">
        <is>
          <t>Coco Women's Cut Out Long Sleeve</t>
        </is>
      </c>
      <c r="D2400" s="0" t="inlineStr">
        <is>
          <t>'110831</t>
        </is>
      </c>
      <c r="E2400" s="0" t="inlineStr">
        <is>
          <t>IOWA COCO BLACK:110831C-L</t>
        </is>
      </c>
      <c r="F2400" s="0" t="inlineStr">
        <is>
          <t>'800110831064</t>
        </is>
      </c>
      <c r="G2400" s="0" t="inlineStr">
        <is>
          <t>WOMENS</t>
        </is>
      </c>
      <c r="H2400" s="0" t="inlineStr">
        <is>
          <t>L</t>
        </is>
      </c>
      <c r="I2400" s="0">
        <v>49.99</v>
      </c>
      <c r="J2400" s="0">
        <v>35</v>
      </c>
    </row>
    <row r="2401" spans="1:10" customHeight="0">
      <c r="A2401" s="0">
        <f>HYPERLINK("https://dl.dropboxusercontent.com/scl/fi/b3tmr3ew696910s7leu3i/cocoia.jpg?rlkey=57gqdsf0f4l2xx3vivj7ex27k&amp;dl=0","Click to download Image")</f>
      </c>
      <c r="B2401" s="0">
        <f>HYPERLINK("https://dl.dropboxusercontent.com/scl/fi/9tfz4eqy9869qu64jh069/womens-long-sleeve-size-chartscoco.jpg?rlkey=u54t7iljy1u2pp6hcdctpk2ap&amp;dl=0","Click to download SizeChart")</f>
      </c>
      <c r="C2401" s="0" t="inlineStr">
        <is>
          <t>Coco Women's Cut Out Long Sleeve</t>
        </is>
      </c>
      <c r="D2401" s="0" t="inlineStr">
        <is>
          <t>'110831</t>
        </is>
      </c>
      <c r="E2401" s="0" t="inlineStr">
        <is>
          <t>IOWA COCO BLACK:110831D-XL</t>
        </is>
      </c>
      <c r="F2401" s="0" t="inlineStr">
        <is>
          <t>'800110831071</t>
        </is>
      </c>
      <c r="G2401" s="0" t="inlineStr">
        <is>
          <t>WOMENS</t>
        </is>
      </c>
      <c r="H2401" s="0" t="inlineStr">
        <is>
          <t>XL</t>
        </is>
      </c>
      <c r="I2401" s="0">
        <v>49.99</v>
      </c>
      <c r="J2401" s="0">
        <v>39</v>
      </c>
    </row>
    <row r="2402" spans="1:10" customHeight="0">
      <c r="A2402" s="0">
        <f>HYPERLINK("https://dl.dropboxusercontent.com/scl/fi/b3tmr3ew696910s7leu3i/cocoia.jpg?rlkey=57gqdsf0f4l2xx3vivj7ex27k&amp;dl=0","Click to download Image")</f>
      </c>
      <c r="B2402" s="0">
        <f>HYPERLINK("https://dl.dropboxusercontent.com/scl/fi/9tfz4eqy9869qu64jh069/womens-long-sleeve-size-chartscoco.jpg?rlkey=u54t7iljy1u2pp6hcdctpk2ap&amp;dl=0","Click to download SizeChart")</f>
      </c>
      <c r="C2402" s="0" t="inlineStr">
        <is>
          <t>Coco Women's Cut Out Long Sleeve</t>
        </is>
      </c>
      <c r="D2402" s="0" t="inlineStr">
        <is>
          <t>'110831</t>
        </is>
      </c>
      <c r="E2402" s="0" t="inlineStr">
        <is>
          <t>IOWA COCO BLACK:110831E-2XL</t>
        </is>
      </c>
      <c r="F2402" s="0" t="inlineStr">
        <is>
          <t>'800110831088</t>
        </is>
      </c>
      <c r="G2402" s="0" t="inlineStr">
        <is>
          <t>WOMENS</t>
        </is>
      </c>
      <c r="H2402" s="0" t="inlineStr">
        <is>
          <t>2XL</t>
        </is>
      </c>
      <c r="I2402" s="0">
        <v>51.99</v>
      </c>
      <c r="J2402" s="0">
        <v>24</v>
      </c>
    </row>
    <row r="2403" spans="1:10" customHeight="0">
      <c r="A2403" s="0">
        <f>HYPERLINK("https://dl.dropboxusercontent.com/scl/fi/b3tmr3ew696910s7leu3i/cocoia.jpg?rlkey=57gqdsf0f4l2xx3vivj7ex27k&amp;dl=0","Click to download Image")</f>
      </c>
      <c r="B2403" s="0">
        <f>HYPERLINK("https://dl.dropboxusercontent.com/scl/fi/9tfz4eqy9869qu64jh069/womens-long-sleeve-size-chartscoco.jpg?rlkey=u54t7iljy1u2pp6hcdctpk2ap&amp;dl=0","Click to download SizeChart")</f>
      </c>
      <c r="C2403" s="0" t="inlineStr">
        <is>
          <t>Coco Women's Cut Out Long Sleeve</t>
        </is>
      </c>
      <c r="D2403" s="0" t="inlineStr">
        <is>
          <t>'110831</t>
        </is>
      </c>
      <c r="E2403" s="0" t="inlineStr">
        <is>
          <t>IOWA COCO BLACK:110831F-3XL</t>
        </is>
      </c>
      <c r="F2403" s="0" t="inlineStr">
        <is>
          <t>'800110831095</t>
        </is>
      </c>
      <c r="G2403" s="0" t="inlineStr">
        <is>
          <t>WOMENS</t>
        </is>
      </c>
      <c r="H2403" s="0" t="inlineStr">
        <is>
          <t>3XL</t>
        </is>
      </c>
      <c r="I2403" s="0">
        <v>51.99</v>
      </c>
      <c r="J2403" s="0">
        <v>23</v>
      </c>
    </row>
    <row r="2404" spans="1:10" customHeight="0">
      <c r="A2404" s="0">
        <f>HYPERLINK("https://dl.dropboxusercontent.com/scl/fi/b3tmr3ew696910s7leu3i/cocoia.jpg?rlkey=57gqdsf0f4l2xx3vivj7ex27k&amp;dl=0","Click to download Image")</f>
      </c>
      <c r="B2404" s="0">
        <f>HYPERLINK("https://dl.dropboxusercontent.com/scl/fi/9tfz4eqy9869qu64jh069/womens-long-sleeve-size-chartscoco.jpg?rlkey=u54t7iljy1u2pp6hcdctpk2ap&amp;dl=0","Click to download SizeChart")</f>
      </c>
      <c r="C2404" s="0" t="inlineStr">
        <is>
          <t>Coco Women's Cut Out Long Sleeve</t>
        </is>
      </c>
      <c r="D2404" s="0" t="inlineStr">
        <is>
          <t>'110831</t>
        </is>
      </c>
      <c r="E2404" s="0" t="inlineStr">
        <is>
          <t>IOWA COCO BLACK 12 PACK:110831Z-12PK</t>
        </is>
      </c>
      <c r="F2404" s="0" t="inlineStr">
        <is>
          <t>'800110831996</t>
        </is>
      </c>
      <c r="G2404" s="0" t="inlineStr">
        <is>
          <t>WOMENS</t>
        </is>
      </c>
      <c r="H2404" s="0" t="inlineStr">
        <is>
          <t>12 PACK</t>
        </is>
      </c>
      <c r="I2404" s="0">
        <v>480</v>
      </c>
      <c r="J2404" s="0">
        <v>0</v>
      </c>
    </row>
    <row r="2405" spans="1:10" customHeight="0">
      <c r="A2405" s="0">
        <f>HYPERLINK("https://dl.dropboxusercontent.com/scl/fi/0tn2i672lhgm72ycuopbn/113457-f1.jpg?rlkey=yeh43j78ehzbeqov7oo21fsr4&amp;dl=0","Click to download Image")</f>
      </c>
      <c r="B2405" s="0">
        <f>HYPERLINK("https://dl.dropboxusercontent.com/scl/fi/3on8pe36po55dqzm9v1q3/graphic-update22022-infant.jpg?rlkey=y1abenjbb60c69tk55lg2u96f&amp;dl=0","Click to download SizeChart")</f>
      </c>
      <c r="C2405" s="0" t="inlineStr">
        <is>
          <t>Morrissey Infant Bodysuit</t>
        </is>
      </c>
      <c r="D2405" s="0" t="inlineStr">
        <is>
          <t>'113457</t>
        </is>
      </c>
      <c r="E2405" s="0" t="inlineStr">
        <is>
          <t>ISU MORRISSEY I WHITE:113457A-0-3M</t>
        </is>
      </c>
      <c r="F2405" s="0" t="inlineStr">
        <is>
          <t>'801113457008</t>
        </is>
      </c>
      <c r="G2405" s="0" t="inlineStr">
        <is>
          <t>INFANT</t>
        </is>
      </c>
      <c r="H2405" s="0" t="inlineStr">
        <is>
          <t>0-3M</t>
        </is>
      </c>
      <c r="I2405" s="0">
        <v>32.99</v>
      </c>
      <c r="J2405" s="0">
        <v>17</v>
      </c>
    </row>
    <row r="2406" spans="1:10" customHeight="0">
      <c r="A2406" s="0">
        <f>HYPERLINK("https://dl.dropboxusercontent.com/scl/fi/0tn2i672lhgm72ycuopbn/113457-f1.jpg?rlkey=yeh43j78ehzbeqov7oo21fsr4&amp;dl=0","Click to download Image")</f>
      </c>
      <c r="B2406" s="0">
        <f>HYPERLINK("https://dl.dropboxusercontent.com/scl/fi/3on8pe36po55dqzm9v1q3/graphic-update22022-infant.jpg?rlkey=y1abenjbb60c69tk55lg2u96f&amp;dl=0","Click to download SizeChart")</f>
      </c>
      <c r="C2406" s="0" t="inlineStr">
        <is>
          <t>Morrissey Infant Bodysuit</t>
        </is>
      </c>
      <c r="D2406" s="0" t="inlineStr">
        <is>
          <t>'113457</t>
        </is>
      </c>
      <c r="E2406" s="0" t="inlineStr">
        <is>
          <t>ISU MORRISSEY I WHITE:113457B-3-6M</t>
        </is>
      </c>
      <c r="F2406" s="0" t="inlineStr">
        <is>
          <t>'801113457015</t>
        </is>
      </c>
      <c r="G2406" s="0" t="inlineStr">
        <is>
          <t>INFANT</t>
        </is>
      </c>
      <c r="H2406" s="0" t="inlineStr">
        <is>
          <t>3-6M</t>
        </is>
      </c>
      <c r="I2406" s="0">
        <v>32.99</v>
      </c>
      <c r="J2406" s="0">
        <v>16</v>
      </c>
    </row>
    <row r="2407" spans="1:10" customHeight="0">
      <c r="A2407" s="0">
        <f>HYPERLINK("https://dl.dropboxusercontent.com/scl/fi/0tn2i672lhgm72ycuopbn/113457-f1.jpg?rlkey=yeh43j78ehzbeqov7oo21fsr4&amp;dl=0","Click to download Image")</f>
      </c>
      <c r="B2407" s="0">
        <f>HYPERLINK("https://dl.dropboxusercontent.com/scl/fi/3on8pe36po55dqzm9v1q3/graphic-update22022-infant.jpg?rlkey=y1abenjbb60c69tk55lg2u96f&amp;dl=0","Click to download SizeChart")</f>
      </c>
      <c r="C2407" s="0" t="inlineStr">
        <is>
          <t>Morrissey Infant Bodysuit</t>
        </is>
      </c>
      <c r="D2407" s="0" t="inlineStr">
        <is>
          <t>'113457</t>
        </is>
      </c>
      <c r="E2407" s="0" t="inlineStr">
        <is>
          <t>ISU MORRISSEY I WHITE:113457C-6-9M</t>
        </is>
      </c>
      <c r="F2407" s="0" t="inlineStr">
        <is>
          <t>'801113457022</t>
        </is>
      </c>
      <c r="G2407" s="0" t="inlineStr">
        <is>
          <t>INFANT</t>
        </is>
      </c>
      <c r="H2407" s="0" t="inlineStr">
        <is>
          <t>6-9M</t>
        </is>
      </c>
      <c r="I2407" s="0">
        <v>32.99</v>
      </c>
      <c r="J2407" s="0">
        <v>16</v>
      </c>
    </row>
    <row r="2408" spans="1:10" customHeight="0">
      <c r="A2408" s="0">
        <f>HYPERLINK("https://dl.dropboxusercontent.com/scl/fi/0tn2i672lhgm72ycuopbn/113457-f1.jpg?rlkey=yeh43j78ehzbeqov7oo21fsr4&amp;dl=0","Click to download Image")</f>
      </c>
      <c r="B2408" s="0">
        <f>HYPERLINK("https://dl.dropboxusercontent.com/scl/fi/3on8pe36po55dqzm9v1q3/graphic-update22022-infant.jpg?rlkey=y1abenjbb60c69tk55lg2u96f&amp;dl=0","Click to download SizeChart")</f>
      </c>
      <c r="C2408" s="0" t="inlineStr">
        <is>
          <t>Morrissey Infant Bodysuit</t>
        </is>
      </c>
      <c r="D2408" s="0" t="inlineStr">
        <is>
          <t>'113457</t>
        </is>
      </c>
      <c r="E2408" s="0" t="inlineStr">
        <is>
          <t>ISU MORRISSEY I WHITE:113457F-12M</t>
        </is>
      </c>
      <c r="F2408" s="0" t="inlineStr">
        <is>
          <t>'801113457039</t>
        </is>
      </c>
      <c r="G2408" s="0" t="inlineStr">
        <is>
          <t>INFANT</t>
        </is>
      </c>
      <c r="H2408" s="0" t="inlineStr">
        <is>
          <t>12M</t>
        </is>
      </c>
      <c r="I2408" s="0">
        <v>32.99</v>
      </c>
      <c r="J2408" s="0">
        <v>17</v>
      </c>
    </row>
    <row r="2409" spans="1:10" customHeight="0">
      <c r="A2409" s="0">
        <f>HYPERLINK("https://dl.dropboxusercontent.com/scl/fi/0tn2i672lhgm72ycuopbn/113457-f1.jpg?rlkey=yeh43j78ehzbeqov7oo21fsr4&amp;dl=0","Click to download Image")</f>
      </c>
      <c r="B2409" s="0">
        <f>HYPERLINK("https://dl.dropboxusercontent.com/scl/fi/3on8pe36po55dqzm9v1q3/graphic-update22022-infant.jpg?rlkey=y1abenjbb60c69tk55lg2u96f&amp;dl=0","Click to download SizeChart")</f>
      </c>
      <c r="C2409" s="0" t="inlineStr">
        <is>
          <t>Morrissey Infant Bodysuit</t>
        </is>
      </c>
      <c r="D2409" s="0" t="inlineStr">
        <is>
          <t>'113457</t>
        </is>
      </c>
      <c r="E2409" s="0" t="inlineStr">
        <is>
          <t>ISU MORRISSEY I WHITE:113457Z-12PK</t>
        </is>
      </c>
      <c r="F2409" s="0" t="inlineStr">
        <is>
          <t>'801113457992</t>
        </is>
      </c>
      <c r="G2409" s="0" t="inlineStr">
        <is>
          <t>INFANT</t>
        </is>
      </c>
      <c r="H2409" s="0" t="inlineStr">
        <is>
          <t>12 PACK</t>
        </is>
      </c>
      <c r="I2409" s="0">
        <v>320</v>
      </c>
      <c r="J2409" s="0">
        <v>0</v>
      </c>
    </row>
    <row r="2410" spans="1:10" customHeight="0">
      <c r="A2410" s="0">
        <f>HYPERLINK("https://dl.dropboxusercontent.com/scl/fi/h7kjnd3ou6uf6dmvhdsuz/113456-f1.jpg?rlkey=jnobwvinalow5h0z9uj0fb4l7&amp;dl=0","Click to download Image")</f>
      </c>
      <c r="B2410" s="0">
        <f>HYPERLINK("https://dl.dropboxusercontent.com/scl/fi/3on8pe36po55dqzm9v1q3/graphic-update22022-infant.jpg?rlkey=y1abenjbb60c69tk55lg2u96f&amp;dl=0","Click to download SizeChart")</f>
      </c>
      <c r="C2410" s="0" t="inlineStr">
        <is>
          <t>Morrissey Infant Bodysuit</t>
        </is>
      </c>
      <c r="D2410" s="0" t="inlineStr">
        <is>
          <t>'113456</t>
        </is>
      </c>
      <c r="E2410" s="0" t="inlineStr">
        <is>
          <t>IOWA MORRISSEY I WHITE:113456A-0-3M</t>
        </is>
      </c>
      <c r="F2410" s="0" t="inlineStr">
        <is>
          <t>'800113456004</t>
        </is>
      </c>
      <c r="G2410" s="0" t="inlineStr">
        <is>
          <t>INFANT</t>
        </is>
      </c>
      <c r="H2410" s="0" t="inlineStr">
        <is>
          <t>0-3M</t>
        </is>
      </c>
      <c r="I2410" s="0">
        <v>32.99</v>
      </c>
      <c r="J2410" s="0">
        <v>2</v>
      </c>
    </row>
    <row r="2411" spans="1:10" customHeight="0">
      <c r="A2411" s="0">
        <f>HYPERLINK("https://dl.dropboxusercontent.com/scl/fi/h7kjnd3ou6uf6dmvhdsuz/113456-f1.jpg?rlkey=jnobwvinalow5h0z9uj0fb4l7&amp;dl=0","Click to download Image")</f>
      </c>
      <c r="B2411" s="0">
        <f>HYPERLINK("https://dl.dropboxusercontent.com/scl/fi/3on8pe36po55dqzm9v1q3/graphic-update22022-infant.jpg?rlkey=y1abenjbb60c69tk55lg2u96f&amp;dl=0","Click to download SizeChart")</f>
      </c>
      <c r="C2411" s="0" t="inlineStr">
        <is>
          <t>Morrissey Infant Bodysuit</t>
        </is>
      </c>
      <c r="D2411" s="0" t="inlineStr">
        <is>
          <t>'113456</t>
        </is>
      </c>
      <c r="E2411" s="0" t="inlineStr">
        <is>
          <t>IOWA MORRISSEY I WHITE:113456B-3-6M</t>
        </is>
      </c>
      <c r="F2411" s="0" t="inlineStr">
        <is>
          <t>'800113456011</t>
        </is>
      </c>
      <c r="G2411" s="0" t="inlineStr">
        <is>
          <t>INFANT</t>
        </is>
      </c>
      <c r="H2411" s="0" t="inlineStr">
        <is>
          <t>3-6M</t>
        </is>
      </c>
      <c r="I2411" s="0">
        <v>32.99</v>
      </c>
      <c r="J2411" s="0">
        <v>5</v>
      </c>
    </row>
    <row r="2412" spans="1:10" customHeight="0">
      <c r="A2412" s="0">
        <f>HYPERLINK("https://dl.dropboxusercontent.com/scl/fi/h7kjnd3ou6uf6dmvhdsuz/113456-f1.jpg?rlkey=jnobwvinalow5h0z9uj0fb4l7&amp;dl=0","Click to download Image")</f>
      </c>
      <c r="B2412" s="0">
        <f>HYPERLINK("https://dl.dropboxusercontent.com/scl/fi/3on8pe36po55dqzm9v1q3/graphic-update22022-infant.jpg?rlkey=y1abenjbb60c69tk55lg2u96f&amp;dl=0","Click to download SizeChart")</f>
      </c>
      <c r="C2412" s="0" t="inlineStr">
        <is>
          <t>Morrissey Infant Bodysuit</t>
        </is>
      </c>
      <c r="D2412" s="0" t="inlineStr">
        <is>
          <t>'113456</t>
        </is>
      </c>
      <c r="E2412" s="0" t="inlineStr">
        <is>
          <t>IOWA MORRISSEY I WHITE:113456C-6-9M</t>
        </is>
      </c>
      <c r="F2412" s="0" t="inlineStr">
        <is>
          <t>'800113456028</t>
        </is>
      </c>
      <c r="G2412" s="0" t="inlineStr">
        <is>
          <t>INFANT</t>
        </is>
      </c>
      <c r="H2412" s="0" t="inlineStr">
        <is>
          <t>6-9M</t>
        </is>
      </c>
      <c r="I2412" s="0">
        <v>32.99</v>
      </c>
      <c r="J2412" s="0">
        <v>11</v>
      </c>
    </row>
    <row r="2413" spans="1:10" customHeight="0">
      <c r="A2413" s="0">
        <f>HYPERLINK("https://dl.dropboxusercontent.com/scl/fi/h7kjnd3ou6uf6dmvhdsuz/113456-f1.jpg?rlkey=jnobwvinalow5h0z9uj0fb4l7&amp;dl=0","Click to download Image")</f>
      </c>
      <c r="B2413" s="0">
        <f>HYPERLINK("https://dl.dropboxusercontent.com/scl/fi/3on8pe36po55dqzm9v1q3/graphic-update22022-infant.jpg?rlkey=y1abenjbb60c69tk55lg2u96f&amp;dl=0","Click to download SizeChart")</f>
      </c>
      <c r="C2413" s="0" t="inlineStr">
        <is>
          <t>Morrissey Infant Bodysuit</t>
        </is>
      </c>
      <c r="D2413" s="0" t="inlineStr">
        <is>
          <t>'113456</t>
        </is>
      </c>
      <c r="E2413" s="0" t="inlineStr">
        <is>
          <t>IOWA MORRISSEY I WHITE:113456F-12M</t>
        </is>
      </c>
      <c r="F2413" s="0" t="inlineStr">
        <is>
          <t>'800113456035</t>
        </is>
      </c>
      <c r="G2413" s="0" t="inlineStr">
        <is>
          <t>INFANT</t>
        </is>
      </c>
      <c r="H2413" s="0" t="inlineStr">
        <is>
          <t>12M</t>
        </is>
      </c>
      <c r="I2413" s="0">
        <v>32.99</v>
      </c>
      <c r="J2413" s="0">
        <v>7</v>
      </c>
    </row>
    <row r="2414" spans="1:10" customHeight="0">
      <c r="A2414" s="0">
        <f>HYPERLINK("https://dl.dropboxusercontent.com/scl/fi/h7kjnd3ou6uf6dmvhdsuz/113456-f1.jpg?rlkey=jnobwvinalow5h0z9uj0fb4l7&amp;dl=0","Click to download Image")</f>
      </c>
      <c r="B2414" s="0">
        <f>HYPERLINK("https://dl.dropboxusercontent.com/scl/fi/3on8pe36po55dqzm9v1q3/graphic-update22022-infant.jpg?rlkey=y1abenjbb60c69tk55lg2u96f&amp;dl=0","Click to download SizeChart")</f>
      </c>
      <c r="C2414" s="0" t="inlineStr">
        <is>
          <t>Morrissey Infant Bodysuit</t>
        </is>
      </c>
      <c r="D2414" s="0" t="inlineStr">
        <is>
          <t>'113456</t>
        </is>
      </c>
      <c r="E2414" s="0" t="inlineStr">
        <is>
          <t>IOWA MORRISSEY I WHITE 12 PACK:113456Z-12PK</t>
        </is>
      </c>
      <c r="F2414" s="0" t="inlineStr">
        <is>
          <t>'800113456998</t>
        </is>
      </c>
      <c r="G2414" s="0" t="inlineStr">
        <is>
          <t>INFANT</t>
        </is>
      </c>
      <c r="H2414" s="0" t="inlineStr">
        <is>
          <t>12 PACK</t>
        </is>
      </c>
      <c r="I2414" s="0">
        <v>320</v>
      </c>
      <c r="J2414" s="0">
        <v>1</v>
      </c>
    </row>
    <row r="2415" spans="1:10" customHeight="0">
      <c r="A2415" s="0">
        <f>HYPERLINK("https://dl.dropboxusercontent.com/scl/fi/k1d8chvstyvega8u35vd4/112835f.jpg?rlkey=n5eqdk8q8jpi6o2k43xa1qbhm&amp;dl=0","Click to download Image")</f>
      </c>
      <c r="B2415" s="0">
        <f>HYPERLINK("https://dl.dropboxusercontent.com/scl/fi/k4pprgksg76fhedfdx847/womens-hoodie-and-sweatshirt-size-chartsrory.jpg?rlkey=h2tncb4kvwple7j1h8oun6u0n&amp;dl=0","Click to download SizeChart")</f>
      </c>
      <c r="C2415" s="0" t="inlineStr">
        <is>
          <t>Rory Women's Pullover</t>
        </is>
      </c>
      <c r="D2415" s="0" t="inlineStr">
        <is>
          <t>'112835</t>
        </is>
      </c>
      <c r="E2415" s="0" t="inlineStr">
        <is>
          <t>IOWA RORY W BLACK:112835A-S</t>
        </is>
      </c>
      <c r="F2415" s="0" t="inlineStr">
        <is>
          <t>'800112835046</t>
        </is>
      </c>
      <c r="G2415" s="0" t="inlineStr">
        <is>
          <t>WOMENS</t>
        </is>
      </c>
      <c r="H2415" s="0" t="inlineStr">
        <is>
          <t>S</t>
        </is>
      </c>
      <c r="I2415" s="0">
        <v>42.99</v>
      </c>
      <c r="J2415" s="0">
        <v>0</v>
      </c>
    </row>
    <row r="2416" spans="1:10" customHeight="0">
      <c r="A2416" s="0">
        <f>HYPERLINK("https://dl.dropboxusercontent.com/scl/fi/k1d8chvstyvega8u35vd4/112835f.jpg?rlkey=n5eqdk8q8jpi6o2k43xa1qbhm&amp;dl=0","Click to download Image")</f>
      </c>
      <c r="B2416" s="0">
        <f>HYPERLINK("https://dl.dropboxusercontent.com/scl/fi/k4pprgksg76fhedfdx847/womens-hoodie-and-sweatshirt-size-chartsrory.jpg?rlkey=h2tncb4kvwple7j1h8oun6u0n&amp;dl=0","Click to download SizeChart")</f>
      </c>
      <c r="C2416" s="0" t="inlineStr">
        <is>
          <t>Rory Women's Pullover</t>
        </is>
      </c>
      <c r="D2416" s="0" t="inlineStr">
        <is>
          <t>'112835</t>
        </is>
      </c>
      <c r="E2416" s="0" t="inlineStr">
        <is>
          <t>IOWA RORY W BLACK:112835B-M</t>
        </is>
      </c>
      <c r="F2416" s="0" t="inlineStr">
        <is>
          <t>'800112835053</t>
        </is>
      </c>
      <c r="G2416" s="0" t="inlineStr">
        <is>
          <t>WOMENS</t>
        </is>
      </c>
      <c r="H2416" s="0" t="inlineStr">
        <is>
          <t>M</t>
        </is>
      </c>
      <c r="I2416" s="0">
        <v>42.99</v>
      </c>
      <c r="J2416" s="0">
        <v>7</v>
      </c>
    </row>
    <row r="2417" spans="1:10" customHeight="0">
      <c r="A2417" s="0">
        <f>HYPERLINK("https://dl.dropboxusercontent.com/scl/fi/k1d8chvstyvega8u35vd4/112835f.jpg?rlkey=n5eqdk8q8jpi6o2k43xa1qbhm&amp;dl=0","Click to download Image")</f>
      </c>
      <c r="B2417" s="0">
        <f>HYPERLINK("https://dl.dropboxusercontent.com/scl/fi/k4pprgksg76fhedfdx847/womens-hoodie-and-sweatshirt-size-chartsrory.jpg?rlkey=h2tncb4kvwple7j1h8oun6u0n&amp;dl=0","Click to download SizeChart")</f>
      </c>
      <c r="C2417" s="0" t="inlineStr">
        <is>
          <t>Rory Women's Pullover</t>
        </is>
      </c>
      <c r="D2417" s="0" t="inlineStr">
        <is>
          <t>'112835</t>
        </is>
      </c>
      <c r="E2417" s="0" t="inlineStr">
        <is>
          <t>IOWA RORY W BLACK:112835C-L</t>
        </is>
      </c>
      <c r="F2417" s="0" t="inlineStr">
        <is>
          <t>'800112835060</t>
        </is>
      </c>
      <c r="G2417" s="0" t="inlineStr">
        <is>
          <t>WOMENS</t>
        </is>
      </c>
      <c r="H2417" s="0" t="inlineStr">
        <is>
          <t>L</t>
        </is>
      </c>
      <c r="I2417" s="0">
        <v>42.99</v>
      </c>
      <c r="J2417" s="0">
        <v>0</v>
      </c>
    </row>
    <row r="2418" spans="1:10" customHeight="0">
      <c r="A2418" s="0">
        <f>HYPERLINK("https://dl.dropboxusercontent.com/scl/fi/k1d8chvstyvega8u35vd4/112835f.jpg?rlkey=n5eqdk8q8jpi6o2k43xa1qbhm&amp;dl=0","Click to download Image")</f>
      </c>
      <c r="B2418" s="0">
        <f>HYPERLINK("https://dl.dropboxusercontent.com/scl/fi/k4pprgksg76fhedfdx847/womens-hoodie-and-sweatshirt-size-chartsrory.jpg?rlkey=h2tncb4kvwple7j1h8oun6u0n&amp;dl=0","Click to download SizeChart")</f>
      </c>
      <c r="C2418" s="0" t="inlineStr">
        <is>
          <t>Rory Women's Pullover</t>
        </is>
      </c>
      <c r="D2418" s="0" t="inlineStr">
        <is>
          <t>'112835</t>
        </is>
      </c>
      <c r="E2418" s="0" t="inlineStr">
        <is>
          <t>IOWA RORY W BLACK:112835D-XL</t>
        </is>
      </c>
      <c r="F2418" s="0" t="inlineStr">
        <is>
          <t>'800112835077</t>
        </is>
      </c>
      <c r="G2418" s="0" t="inlineStr">
        <is>
          <t>WOMENS</t>
        </is>
      </c>
      <c r="H2418" s="0" t="inlineStr">
        <is>
          <t>XL</t>
        </is>
      </c>
      <c r="I2418" s="0">
        <v>42.99</v>
      </c>
      <c r="J2418" s="0">
        <v>0</v>
      </c>
    </row>
    <row r="2419" spans="1:10" customHeight="0">
      <c r="A2419" s="0">
        <f>HYPERLINK("https://dl.dropboxusercontent.com/scl/fi/k1d8chvstyvega8u35vd4/112835f.jpg?rlkey=n5eqdk8q8jpi6o2k43xa1qbhm&amp;dl=0","Click to download Image")</f>
      </c>
      <c r="B2419" s="0">
        <f>HYPERLINK("https://dl.dropboxusercontent.com/scl/fi/k4pprgksg76fhedfdx847/womens-hoodie-and-sweatshirt-size-chartsrory.jpg?rlkey=h2tncb4kvwple7j1h8oun6u0n&amp;dl=0","Click to download SizeChart")</f>
      </c>
      <c r="C2419" s="0" t="inlineStr">
        <is>
          <t>Rory Women's Pullover</t>
        </is>
      </c>
      <c r="D2419" s="0" t="inlineStr">
        <is>
          <t>'112835</t>
        </is>
      </c>
      <c r="E2419" s="0" t="inlineStr">
        <is>
          <t>IOWA RORY W BLACK:112835E-2XL</t>
        </is>
      </c>
      <c r="F2419" s="0" t="inlineStr">
        <is>
          <t>'800112835084</t>
        </is>
      </c>
      <c r="G2419" s="0" t="inlineStr">
        <is>
          <t>WOMENS</t>
        </is>
      </c>
      <c r="H2419" s="0" t="inlineStr">
        <is>
          <t>2XL</t>
        </is>
      </c>
      <c r="I2419" s="0">
        <v>44.99</v>
      </c>
      <c r="J2419" s="0">
        <v>0</v>
      </c>
    </row>
    <row r="2420" spans="1:10" customHeight="0">
      <c r="A2420" s="0">
        <f>HYPERLINK("https://dl.dropboxusercontent.com/scl/fi/k1d8chvstyvega8u35vd4/112835f.jpg?rlkey=n5eqdk8q8jpi6o2k43xa1qbhm&amp;dl=0","Click to download Image")</f>
      </c>
      <c r="B2420" s="0">
        <f>HYPERLINK("https://dl.dropboxusercontent.com/scl/fi/k4pprgksg76fhedfdx847/womens-hoodie-and-sweatshirt-size-chartsrory.jpg?rlkey=h2tncb4kvwple7j1h8oun6u0n&amp;dl=0","Click to download SizeChart")</f>
      </c>
      <c r="C2420" s="0" t="inlineStr">
        <is>
          <t>Rory Women's Pullover</t>
        </is>
      </c>
      <c r="D2420" s="0" t="inlineStr">
        <is>
          <t>'112835</t>
        </is>
      </c>
      <c r="E2420" s="0" t="inlineStr">
        <is>
          <t>IOWA RORY W BLACK:112835F-3XL</t>
        </is>
      </c>
      <c r="F2420" s="0" t="inlineStr">
        <is>
          <t>'800112835091</t>
        </is>
      </c>
      <c r="G2420" s="0" t="inlineStr">
        <is>
          <t>WOMENS</t>
        </is>
      </c>
      <c r="H2420" s="0" t="inlineStr">
        <is>
          <t>3XL</t>
        </is>
      </c>
      <c r="I2420" s="0">
        <v>44.99</v>
      </c>
      <c r="J2420" s="0">
        <v>0</v>
      </c>
    </row>
    <row r="2421" spans="1:10" customHeight="0">
      <c r="A2421" s="0">
        <f>HYPERLINK("https://dl.dropboxusercontent.com/scl/fi/k1d8chvstyvega8u35vd4/112835f.jpg?rlkey=n5eqdk8q8jpi6o2k43xa1qbhm&amp;dl=0","Click to download Image")</f>
      </c>
      <c r="B2421" s="0">
        <f>HYPERLINK("https://dl.dropboxusercontent.com/scl/fi/k4pprgksg76fhedfdx847/womens-hoodie-and-sweatshirt-size-chartsrory.jpg?rlkey=h2tncb4kvwple7j1h8oun6u0n&amp;dl=0","Click to download SizeChart")</f>
      </c>
      <c r="C2421" s="0" t="inlineStr">
        <is>
          <t>Rory Women's Pullover</t>
        </is>
      </c>
      <c r="D2421" s="0" t="inlineStr">
        <is>
          <t>'112835</t>
        </is>
      </c>
      <c r="E2421" s="0" t="inlineStr">
        <is>
          <t>IOWA RORY W BLACK 12 PACK:112835Z-12PK</t>
        </is>
      </c>
      <c r="F2421" s="0" t="inlineStr">
        <is>
          <t>'800112835992</t>
        </is>
      </c>
      <c r="G2421" s="0" t="inlineStr">
        <is>
          <t>WOMENS</t>
        </is>
      </c>
      <c r="H2421" s="0" t="inlineStr">
        <is>
          <t>12 PACK</t>
        </is>
      </c>
      <c r="I2421" s="0">
        <v>420</v>
      </c>
      <c r="J2421" s="0">
        <v>0</v>
      </c>
    </row>
    <row r="2422" spans="1:10" customHeight="0">
      <c r="A2422" s="0">
        <f>HYPERLINK("https://dl.dropboxusercontent.com/scl/fi/cn7lxa35uuqlky2ysko80/11621368683.jpg?rlkey=yrk3xgfli27f65hz2qp0mu5ks&amp;dl=0","Click to download Image")</f>
      </c>
      <c r="B2422" s="0">
        <f>HYPERLINK("https://dl.dropboxusercontent.com/scl/fi/kg8aggtkgsvteswisx92e/graphic-update22022-infant.jpg?rlkey=zyqlirr3vvja1h8vglux97enb&amp;dl=0","Click to download SizeChart")</f>
      </c>
      <c r="C2422" s="0" t="inlineStr">
        <is>
          <t>Tia Infant Set</t>
        </is>
      </c>
      <c r="D2422" s="0" t="inlineStr">
        <is>
          <t>'114707</t>
        </is>
      </c>
      <c r="E2422" s="0" t="inlineStr">
        <is>
          <t>UNI TIA I OLD GOLD:114707A-0-3M</t>
        </is>
      </c>
      <c r="F2422" s="0" t="inlineStr">
        <is>
          <t>'802114707000</t>
        </is>
      </c>
      <c r="G2422" s="0" t="inlineStr">
        <is>
          <t>INFANT</t>
        </is>
      </c>
      <c r="H2422" s="0" t="inlineStr">
        <is>
          <t>0-3M</t>
        </is>
      </c>
      <c r="I2422" s="0">
        <v>32.99</v>
      </c>
      <c r="J2422" s="0">
        <v>11</v>
      </c>
    </row>
    <row r="2423" spans="1:10" customHeight="0">
      <c r="A2423" s="0">
        <f>HYPERLINK("https://dl.dropboxusercontent.com/scl/fi/cn7lxa35uuqlky2ysko80/11621368683.jpg?rlkey=yrk3xgfli27f65hz2qp0mu5ks&amp;dl=0","Click to download Image")</f>
      </c>
      <c r="B2423" s="0">
        <f>HYPERLINK("https://dl.dropboxusercontent.com/scl/fi/kg8aggtkgsvteswisx92e/graphic-update22022-infant.jpg?rlkey=zyqlirr3vvja1h8vglux97enb&amp;dl=0","Click to download SizeChart")</f>
      </c>
      <c r="C2423" s="0" t="inlineStr">
        <is>
          <t>Tia Infant Set</t>
        </is>
      </c>
      <c r="D2423" s="0" t="inlineStr">
        <is>
          <t>'114707</t>
        </is>
      </c>
      <c r="E2423" s="0" t="inlineStr">
        <is>
          <t>UNI TIA I OLD GOLD:114707B-3-6M</t>
        </is>
      </c>
      <c r="F2423" s="0" t="inlineStr">
        <is>
          <t>'802114707017</t>
        </is>
      </c>
      <c r="G2423" s="0" t="inlineStr">
        <is>
          <t>INFANT</t>
        </is>
      </c>
      <c r="H2423" s="0" t="inlineStr">
        <is>
          <t>3-6M</t>
        </is>
      </c>
      <c r="I2423" s="0">
        <v>32.99</v>
      </c>
      <c r="J2423" s="0">
        <v>13</v>
      </c>
    </row>
    <row r="2424" spans="1:10" customHeight="0">
      <c r="A2424" s="0">
        <f>HYPERLINK("https://dl.dropboxusercontent.com/scl/fi/cn7lxa35uuqlky2ysko80/11621368683.jpg?rlkey=yrk3xgfli27f65hz2qp0mu5ks&amp;dl=0","Click to download Image")</f>
      </c>
      <c r="B2424" s="0">
        <f>HYPERLINK("https://dl.dropboxusercontent.com/scl/fi/kg8aggtkgsvteswisx92e/graphic-update22022-infant.jpg?rlkey=zyqlirr3vvja1h8vglux97enb&amp;dl=0","Click to download SizeChart")</f>
      </c>
      <c r="C2424" s="0" t="inlineStr">
        <is>
          <t>Tia Infant Set</t>
        </is>
      </c>
      <c r="D2424" s="0" t="inlineStr">
        <is>
          <t>'114707</t>
        </is>
      </c>
      <c r="E2424" s="0" t="inlineStr">
        <is>
          <t>UNI TIA I OLD GOLD:114707C-6-9M</t>
        </is>
      </c>
      <c r="F2424" s="0" t="inlineStr">
        <is>
          <t>'802114707024</t>
        </is>
      </c>
      <c r="G2424" s="0" t="inlineStr">
        <is>
          <t>INFANT</t>
        </is>
      </c>
      <c r="H2424" s="0" t="inlineStr">
        <is>
          <t>6-9M</t>
        </is>
      </c>
      <c r="I2424" s="0">
        <v>32.99</v>
      </c>
      <c r="J2424" s="0">
        <v>13</v>
      </c>
    </row>
    <row r="2425" spans="1:10" customHeight="0">
      <c r="A2425" s="0">
        <f>HYPERLINK("https://dl.dropboxusercontent.com/scl/fi/cn7lxa35uuqlky2ysko80/11621368683.jpg?rlkey=yrk3xgfli27f65hz2qp0mu5ks&amp;dl=0","Click to download Image")</f>
      </c>
      <c r="B2425" s="0">
        <f>HYPERLINK("https://dl.dropboxusercontent.com/scl/fi/kg8aggtkgsvteswisx92e/graphic-update22022-infant.jpg?rlkey=zyqlirr3vvja1h8vglux97enb&amp;dl=0","Click to download SizeChart")</f>
      </c>
      <c r="C2425" s="0" t="inlineStr">
        <is>
          <t>Tia Infant Set</t>
        </is>
      </c>
      <c r="D2425" s="0" t="inlineStr">
        <is>
          <t>'114707</t>
        </is>
      </c>
      <c r="E2425" s="0" t="inlineStr">
        <is>
          <t>UNI TIA I OLD GOLD:114707F-12M</t>
        </is>
      </c>
      <c r="F2425" s="0" t="inlineStr">
        <is>
          <t>'802114707031</t>
        </is>
      </c>
      <c r="G2425" s="0" t="inlineStr">
        <is>
          <t>INFANT</t>
        </is>
      </c>
      <c r="H2425" s="0" t="inlineStr">
        <is>
          <t>12M</t>
        </is>
      </c>
      <c r="I2425" s="0">
        <v>32.99</v>
      </c>
      <c r="J2425" s="0">
        <v>9</v>
      </c>
    </row>
    <row r="2426" spans="1:10" customHeight="0">
      <c r="A2426" s="0">
        <f>HYPERLINK("https://dl.dropboxusercontent.com/scl/fi/cn7lxa35uuqlky2ysko80/11621368683.jpg?rlkey=yrk3xgfli27f65hz2qp0mu5ks&amp;dl=0","Click to download Image")</f>
      </c>
      <c r="B2426" s="0">
        <f>HYPERLINK("https://dl.dropboxusercontent.com/scl/fi/kg8aggtkgsvteswisx92e/graphic-update22022-infant.jpg?rlkey=zyqlirr3vvja1h8vglux97enb&amp;dl=0","Click to download SizeChart")</f>
      </c>
      <c r="C2426" s="0" t="inlineStr">
        <is>
          <t>Tia Infant Set</t>
        </is>
      </c>
      <c r="D2426" s="0" t="inlineStr">
        <is>
          <t>'114707</t>
        </is>
      </c>
      <c r="E2426" s="0" t="inlineStr">
        <is>
          <t>UNI TIA I OLD GOLD 12 PACK:114707Z-12PK</t>
        </is>
      </c>
      <c r="F2426" s="0" t="inlineStr">
        <is>
          <t>'802114707994</t>
        </is>
      </c>
      <c r="G2426" s="0" t="inlineStr">
        <is>
          <t>INFANT</t>
        </is>
      </c>
      <c r="H2426" s="0" t="inlineStr">
        <is>
          <t>12 PACK</t>
        </is>
      </c>
      <c r="I2426" s="0">
        <v>320</v>
      </c>
      <c r="J2426" s="0">
        <v>0</v>
      </c>
    </row>
    <row r="2427" spans="1:10" customHeight="0">
      <c r="A2427" s="0">
        <f>HYPERLINK("https://dl.dropboxusercontent.com/scl/fi/8np89pva1gd4uatm2z97p/106941-af.jpg?rlkey=ks1bsvqqt9pe2mvhen54mseqt&amp;dl=0","Click to download Image")</f>
      </c>
      <c r="B2427" s="0">
        <f>HYPERLINK("https://dl.dropboxusercontent.com/scl/fi/0h710c5oejyhjdo72waw2/mens-hoodie-size-chartsathens.jpg?rlkey=ru15xlavvcmxobperhahs0dcr&amp;dl=0","Click to download SizeChart")</f>
      </c>
      <c r="C2427" s="0" t="inlineStr">
        <is>
          <t>Athens Men's Hoodie</t>
        </is>
      </c>
      <c r="D2427" s="0" t="inlineStr">
        <is>
          <t>'106941</t>
        </is>
      </c>
      <c r="E2427" s="0" t="inlineStr">
        <is>
          <t>ISU ATHENS:106941A-S</t>
        </is>
      </c>
      <c r="F2427" s="0" t="inlineStr">
        <is>
          <t>'800106941012</t>
        </is>
      </c>
      <c r="G2427" s="0" t="inlineStr">
        <is>
          <t>MENS</t>
        </is>
      </c>
      <c r="H2427" s="0" t="inlineStr">
        <is>
          <t>S</t>
        </is>
      </c>
      <c r="I2427" s="0">
        <v>49.99</v>
      </c>
      <c r="J2427" s="0">
        <v>0</v>
      </c>
    </row>
    <row r="2428" spans="1:10" customHeight="0">
      <c r="A2428" s="0">
        <f>HYPERLINK("https://dl.dropboxusercontent.com/scl/fi/8np89pva1gd4uatm2z97p/106941-af.jpg?rlkey=ks1bsvqqt9pe2mvhen54mseqt&amp;dl=0","Click to download Image")</f>
      </c>
      <c r="B2428" s="0">
        <f>HYPERLINK("https://dl.dropboxusercontent.com/scl/fi/0h710c5oejyhjdo72waw2/mens-hoodie-size-chartsathens.jpg?rlkey=ru15xlavvcmxobperhahs0dcr&amp;dl=0","Click to download SizeChart")</f>
      </c>
      <c r="C2428" s="0" t="inlineStr">
        <is>
          <t>Athens Men's Hoodie</t>
        </is>
      </c>
      <c r="D2428" s="0" t="inlineStr">
        <is>
          <t>'106941</t>
        </is>
      </c>
      <c r="E2428" s="0" t="inlineStr">
        <is>
          <t>ISU ATHENS:106941B-M</t>
        </is>
      </c>
      <c r="F2428" s="0" t="inlineStr">
        <is>
          <t>'800106941029</t>
        </is>
      </c>
      <c r="G2428" s="0" t="inlineStr">
        <is>
          <t>MENS</t>
        </is>
      </c>
      <c r="H2428" s="0" t="inlineStr">
        <is>
          <t>M</t>
        </is>
      </c>
      <c r="I2428" s="0">
        <v>49.99</v>
      </c>
      <c r="J2428" s="0">
        <v>0</v>
      </c>
    </row>
    <row r="2429" spans="1:10" customHeight="0">
      <c r="A2429" s="0">
        <f>HYPERLINK("https://dl.dropboxusercontent.com/scl/fi/8np89pva1gd4uatm2z97p/106941-af.jpg?rlkey=ks1bsvqqt9pe2mvhen54mseqt&amp;dl=0","Click to download Image")</f>
      </c>
      <c r="B2429" s="0">
        <f>HYPERLINK("https://dl.dropboxusercontent.com/scl/fi/0h710c5oejyhjdo72waw2/mens-hoodie-size-chartsathens.jpg?rlkey=ru15xlavvcmxobperhahs0dcr&amp;dl=0","Click to download SizeChart")</f>
      </c>
      <c r="C2429" s="0" t="inlineStr">
        <is>
          <t>Athens Men's Hoodie</t>
        </is>
      </c>
      <c r="D2429" s="0" t="inlineStr">
        <is>
          <t>'106941</t>
        </is>
      </c>
      <c r="E2429" s="0" t="inlineStr">
        <is>
          <t>ISU ATHENS:106941C-L</t>
        </is>
      </c>
      <c r="F2429" s="0" t="inlineStr">
        <is>
          <t>'800106941036</t>
        </is>
      </c>
      <c r="G2429" s="0" t="inlineStr">
        <is>
          <t>MENS</t>
        </is>
      </c>
      <c r="H2429" s="0" t="inlineStr">
        <is>
          <t>L</t>
        </is>
      </c>
      <c r="I2429" s="0">
        <v>49.99</v>
      </c>
      <c r="J2429" s="0">
        <v>3</v>
      </c>
    </row>
    <row r="2430" spans="1:10" customHeight="0">
      <c r="A2430" s="0">
        <f>HYPERLINK("https://dl.dropboxusercontent.com/scl/fi/8np89pva1gd4uatm2z97p/106941-af.jpg?rlkey=ks1bsvqqt9pe2mvhen54mseqt&amp;dl=0","Click to download Image")</f>
      </c>
      <c r="B2430" s="0">
        <f>HYPERLINK("https://dl.dropboxusercontent.com/scl/fi/0h710c5oejyhjdo72waw2/mens-hoodie-size-chartsathens.jpg?rlkey=ru15xlavvcmxobperhahs0dcr&amp;dl=0","Click to download SizeChart")</f>
      </c>
      <c r="C2430" s="0" t="inlineStr">
        <is>
          <t>Athens Men's Hoodie</t>
        </is>
      </c>
      <c r="D2430" s="0" t="inlineStr">
        <is>
          <t>'106941</t>
        </is>
      </c>
      <c r="E2430" s="0" t="inlineStr">
        <is>
          <t>ISU ATHENS:106941D-XL</t>
        </is>
      </c>
      <c r="F2430" s="0" t="inlineStr">
        <is>
          <t>'800106941043</t>
        </is>
      </c>
      <c r="G2430" s="0" t="inlineStr">
        <is>
          <t>MENS</t>
        </is>
      </c>
      <c r="H2430" s="0" t="inlineStr">
        <is>
          <t>XL</t>
        </is>
      </c>
      <c r="I2430" s="0">
        <v>49.99</v>
      </c>
      <c r="J2430" s="0">
        <v>4</v>
      </c>
    </row>
    <row r="2431" spans="1:10" customHeight="0">
      <c r="A2431" s="0">
        <f>HYPERLINK("https://dl.dropboxusercontent.com/scl/fi/8np89pva1gd4uatm2z97p/106941-af.jpg?rlkey=ks1bsvqqt9pe2mvhen54mseqt&amp;dl=0","Click to download Image")</f>
      </c>
      <c r="B2431" s="0">
        <f>HYPERLINK("https://dl.dropboxusercontent.com/scl/fi/0h710c5oejyhjdo72waw2/mens-hoodie-size-chartsathens.jpg?rlkey=ru15xlavvcmxobperhahs0dcr&amp;dl=0","Click to download SizeChart")</f>
      </c>
      <c r="C2431" s="0" t="inlineStr">
        <is>
          <t>Athens Men's Hoodie</t>
        </is>
      </c>
      <c r="D2431" s="0" t="inlineStr">
        <is>
          <t>'106941</t>
        </is>
      </c>
      <c r="E2431" s="0" t="inlineStr">
        <is>
          <t>ISU ATHENS:106941E-2XL</t>
        </is>
      </c>
      <c r="F2431" s="0" t="inlineStr">
        <is>
          <t>'800106941050</t>
        </is>
      </c>
      <c r="G2431" s="0" t="inlineStr">
        <is>
          <t>MENS</t>
        </is>
      </c>
      <c r="H2431" s="0" t="inlineStr">
        <is>
          <t>2XL</t>
        </is>
      </c>
      <c r="I2431" s="0">
        <v>49.99</v>
      </c>
      <c r="J2431" s="0">
        <v>0</v>
      </c>
    </row>
    <row r="2432" spans="1:10" customHeight="0">
      <c r="A2432" s="0">
        <f>HYPERLINK("https://dl.dropboxusercontent.com/scl/fi/8np89pva1gd4uatm2z97p/106941-af.jpg?rlkey=ks1bsvqqt9pe2mvhen54mseqt&amp;dl=0","Click to download Image")</f>
      </c>
      <c r="B2432" s="0">
        <f>HYPERLINK("https://dl.dropboxusercontent.com/scl/fi/0h710c5oejyhjdo72waw2/mens-hoodie-size-chartsathens.jpg?rlkey=ru15xlavvcmxobperhahs0dcr&amp;dl=0","Click to download SizeChart")</f>
      </c>
      <c r="C2432" s="0" t="inlineStr">
        <is>
          <t>Athens Men's Hoodie</t>
        </is>
      </c>
      <c r="D2432" s="0" t="inlineStr">
        <is>
          <t>'106941</t>
        </is>
      </c>
      <c r="E2432" s="0" t="inlineStr">
        <is>
          <t>ISU ATHENS:106941F-3XL</t>
        </is>
      </c>
      <c r="F2432" s="0" t="inlineStr">
        <is>
          <t>'800106941067</t>
        </is>
      </c>
      <c r="G2432" s="0" t="inlineStr">
        <is>
          <t>MENS</t>
        </is>
      </c>
      <c r="H2432" s="0" t="inlineStr">
        <is>
          <t>3XL</t>
        </is>
      </c>
      <c r="I2432" s="0">
        <v>49.99</v>
      </c>
      <c r="J2432" s="0">
        <v>0</v>
      </c>
    </row>
    <row r="2433" spans="1:10" customHeight="0">
      <c r="A2433" s="0">
        <f>HYPERLINK("https://dl.dropboxusercontent.com/scl/fi/0h08s39yswk6t8per2xbs/109247-af.jpg?rlkey=ir1ifpztg25ybk1givv3q1pxt&amp;dl=0","Click to download Image")</f>
      </c>
      <c r="B2433" s="0">
        <f>HYPERLINK("https://dl.dropboxusercontent.com/scl/fi/0h710c5oejyhjdo72waw2/mens-hoodie-size-chartsathens.jpg?rlkey=ru15xlavvcmxobperhahs0dcr&amp;dl=0","Click to download SizeChart")</f>
      </c>
      <c r="C2433" s="0" t="inlineStr">
        <is>
          <t>Athens Men's Hoodie</t>
        </is>
      </c>
      <c r="D2433" s="0" t="inlineStr">
        <is>
          <t>'109246</t>
        </is>
      </c>
      <c r="E2433" s="0" t="inlineStr">
        <is>
          <t>KSU KSU ATHENS:109246A-S</t>
        </is>
      </c>
      <c r="F2433" s="0" t="inlineStr">
        <is>
          <t>'800109246015</t>
        </is>
      </c>
      <c r="G2433" s="0" t="inlineStr">
        <is>
          <t>MENS</t>
        </is>
      </c>
      <c r="H2433" s="0" t="inlineStr">
        <is>
          <t>S</t>
        </is>
      </c>
      <c r="I2433" s="0">
        <v>49.99</v>
      </c>
      <c r="J2433" s="0">
        <v>2</v>
      </c>
    </row>
    <row r="2434" spans="1:10" customHeight="0">
      <c r="A2434" s="0">
        <f>HYPERLINK("https://dl.dropboxusercontent.com/scl/fi/0h08s39yswk6t8per2xbs/109247-af.jpg?rlkey=ir1ifpztg25ybk1givv3q1pxt&amp;dl=0","Click to download Image")</f>
      </c>
      <c r="B2434" s="0">
        <f>HYPERLINK("https://dl.dropboxusercontent.com/scl/fi/0h710c5oejyhjdo72waw2/mens-hoodie-size-chartsathens.jpg?rlkey=ru15xlavvcmxobperhahs0dcr&amp;dl=0","Click to download SizeChart")</f>
      </c>
      <c r="C2434" s="0" t="inlineStr">
        <is>
          <t>Athens Men's Hoodie</t>
        </is>
      </c>
      <c r="D2434" s="0" t="inlineStr">
        <is>
          <t>'109246</t>
        </is>
      </c>
      <c r="E2434" s="0" t="inlineStr">
        <is>
          <t>KSU ATHENS:109246B-M</t>
        </is>
      </c>
      <c r="F2434" s="0" t="inlineStr">
        <is>
          <t>'800109246022</t>
        </is>
      </c>
      <c r="G2434" s="0" t="inlineStr">
        <is>
          <t>MENS</t>
        </is>
      </c>
      <c r="H2434" s="0" t="inlineStr">
        <is>
          <t>M</t>
        </is>
      </c>
      <c r="I2434" s="0">
        <v>49.99</v>
      </c>
      <c r="J2434" s="0">
        <v>4</v>
      </c>
    </row>
    <row r="2435" spans="1:10" customHeight="0">
      <c r="A2435" s="0">
        <f>HYPERLINK("https://dl.dropboxusercontent.com/scl/fi/0h08s39yswk6t8per2xbs/109247-af.jpg?rlkey=ir1ifpztg25ybk1givv3q1pxt&amp;dl=0","Click to download Image")</f>
      </c>
      <c r="B2435" s="0">
        <f>HYPERLINK("https://dl.dropboxusercontent.com/scl/fi/0h710c5oejyhjdo72waw2/mens-hoodie-size-chartsathens.jpg?rlkey=ru15xlavvcmxobperhahs0dcr&amp;dl=0","Click to download SizeChart")</f>
      </c>
      <c r="C2435" s="0" t="inlineStr">
        <is>
          <t>Athens Men's Hoodie</t>
        </is>
      </c>
      <c r="D2435" s="0" t="inlineStr">
        <is>
          <t>'109246</t>
        </is>
      </c>
      <c r="E2435" s="0" t="inlineStr">
        <is>
          <t>KSU ATHENS:109246C-L</t>
        </is>
      </c>
      <c r="F2435" s="0" t="inlineStr">
        <is>
          <t>'800109246039</t>
        </is>
      </c>
      <c r="G2435" s="0" t="inlineStr">
        <is>
          <t>MENS</t>
        </is>
      </c>
      <c r="H2435" s="0" t="inlineStr">
        <is>
          <t>L</t>
        </is>
      </c>
      <c r="I2435" s="0">
        <v>49.99</v>
      </c>
      <c r="J2435" s="0">
        <v>6</v>
      </c>
    </row>
    <row r="2436" spans="1:10" customHeight="0">
      <c r="A2436" s="0">
        <f>HYPERLINK("https://dl.dropboxusercontent.com/scl/fi/0h08s39yswk6t8per2xbs/109247-af.jpg?rlkey=ir1ifpztg25ybk1givv3q1pxt&amp;dl=0","Click to download Image")</f>
      </c>
      <c r="B2436" s="0">
        <f>HYPERLINK("https://dl.dropboxusercontent.com/scl/fi/0h710c5oejyhjdo72waw2/mens-hoodie-size-chartsathens.jpg?rlkey=ru15xlavvcmxobperhahs0dcr&amp;dl=0","Click to download SizeChart")</f>
      </c>
      <c r="C2436" s="0" t="inlineStr">
        <is>
          <t>Athens Men's Hoodie</t>
        </is>
      </c>
      <c r="D2436" s="0" t="inlineStr">
        <is>
          <t>'109246</t>
        </is>
      </c>
      <c r="E2436" s="0" t="inlineStr">
        <is>
          <t>KSU ATHENS:109246D-XL</t>
        </is>
      </c>
      <c r="F2436" s="0" t="inlineStr">
        <is>
          <t>'800109246046</t>
        </is>
      </c>
      <c r="G2436" s="0" t="inlineStr">
        <is>
          <t>MENS</t>
        </is>
      </c>
      <c r="H2436" s="0" t="inlineStr">
        <is>
          <t>XL</t>
        </is>
      </c>
      <c r="I2436" s="0">
        <v>49.99</v>
      </c>
      <c r="J2436" s="0">
        <v>7</v>
      </c>
    </row>
    <row r="2437" spans="1:10" customHeight="0">
      <c r="A2437" s="0">
        <f>HYPERLINK("https://dl.dropboxusercontent.com/scl/fi/0h08s39yswk6t8per2xbs/109247-af.jpg?rlkey=ir1ifpztg25ybk1givv3q1pxt&amp;dl=0","Click to download Image")</f>
      </c>
      <c r="B2437" s="0">
        <f>HYPERLINK("https://dl.dropboxusercontent.com/scl/fi/0h710c5oejyhjdo72waw2/mens-hoodie-size-chartsathens.jpg?rlkey=ru15xlavvcmxobperhahs0dcr&amp;dl=0","Click to download SizeChart")</f>
      </c>
      <c r="C2437" s="0" t="inlineStr">
        <is>
          <t>Athens Men's Hoodie</t>
        </is>
      </c>
      <c r="D2437" s="0" t="inlineStr">
        <is>
          <t>'109246</t>
        </is>
      </c>
      <c r="E2437" s="0" t="inlineStr">
        <is>
          <t>KSU ATHENS:109246E-2XL</t>
        </is>
      </c>
      <c r="F2437" s="0" t="inlineStr">
        <is>
          <t>'800109246053</t>
        </is>
      </c>
      <c r="G2437" s="0" t="inlineStr">
        <is>
          <t>MENS</t>
        </is>
      </c>
      <c r="H2437" s="0" t="inlineStr">
        <is>
          <t>2XL</t>
        </is>
      </c>
      <c r="I2437" s="0">
        <v>49.99</v>
      </c>
      <c r="J2437" s="0">
        <v>5</v>
      </c>
    </row>
    <row r="2438" spans="1:10" customHeight="0">
      <c r="A2438" s="0">
        <f>HYPERLINK("https://dl.dropboxusercontent.com/scl/fi/0h08s39yswk6t8per2xbs/109247-af.jpg?rlkey=ir1ifpztg25ybk1givv3q1pxt&amp;dl=0","Click to download Image")</f>
      </c>
      <c r="B2438" s="0">
        <f>HYPERLINK("https://dl.dropboxusercontent.com/scl/fi/0h710c5oejyhjdo72waw2/mens-hoodie-size-chartsathens.jpg?rlkey=ru15xlavvcmxobperhahs0dcr&amp;dl=0","Click to download SizeChart")</f>
      </c>
      <c r="C2438" s="0" t="inlineStr">
        <is>
          <t>Athens Men's Hoodie</t>
        </is>
      </c>
      <c r="D2438" s="0" t="inlineStr">
        <is>
          <t>'109246</t>
        </is>
      </c>
      <c r="E2438" s="0" t="inlineStr">
        <is>
          <t>KSU ATHENS:109246F-3XL</t>
        </is>
      </c>
      <c r="F2438" s="0" t="inlineStr">
        <is>
          <t>'800109246060</t>
        </is>
      </c>
      <c r="G2438" s="0" t="inlineStr">
        <is>
          <t>MENS</t>
        </is>
      </c>
      <c r="H2438" s="0" t="inlineStr">
        <is>
          <t>3XL</t>
        </is>
      </c>
      <c r="I2438" s="0">
        <v>49.99</v>
      </c>
      <c r="J2438" s="0">
        <v>4</v>
      </c>
    </row>
    <row r="2439" spans="1:10" customHeight="0">
      <c r="A2439" s="0">
        <f>HYPERLINK("https://dl.dropboxusercontent.com/scl/fi/19of966dzcd0rvktlx9h1/109253-af.jpg?rlkey=2wxpqq0o4f3mlwsylwthkfpe0&amp;dl=0","Click to download Image")</f>
      </c>
      <c r="B2439" s="0">
        <f>HYPERLINK("https://dl.dropboxusercontent.com/scl/fi/0h710c5oejyhjdo72waw2/mens-hoodie-size-chartsathens.jpg?rlkey=ru15xlavvcmxobperhahs0dcr&amp;dl=0","Click to download SizeChart")</f>
      </c>
      <c r="C2439" s="0" t="inlineStr">
        <is>
          <t>Athens Men's Hoodie</t>
        </is>
      </c>
      <c r="D2439" s="0" t="inlineStr">
        <is>
          <t>'109247</t>
        </is>
      </c>
      <c r="E2439" s="0" t="inlineStr">
        <is>
          <t>MARQ ATHENS:109247A-S</t>
        </is>
      </c>
      <c r="F2439" s="0" t="inlineStr">
        <is>
          <t>'800109247012</t>
        </is>
      </c>
      <c r="G2439" s="0" t="inlineStr">
        <is>
          <t>MENS</t>
        </is>
      </c>
      <c r="H2439" s="0" t="inlineStr">
        <is>
          <t>S</t>
        </is>
      </c>
      <c r="I2439" s="0">
        <v>49.99</v>
      </c>
      <c r="J2439" s="0">
        <v>4</v>
      </c>
    </row>
    <row r="2440" spans="1:10" customHeight="0">
      <c r="A2440" s="0">
        <f>HYPERLINK("https://dl.dropboxusercontent.com/scl/fi/19of966dzcd0rvktlx9h1/109253-af.jpg?rlkey=2wxpqq0o4f3mlwsylwthkfpe0&amp;dl=0","Click to download Image")</f>
      </c>
      <c r="B2440" s="0">
        <f>HYPERLINK("https://dl.dropboxusercontent.com/scl/fi/0h710c5oejyhjdo72waw2/mens-hoodie-size-chartsathens.jpg?rlkey=ru15xlavvcmxobperhahs0dcr&amp;dl=0","Click to download SizeChart")</f>
      </c>
      <c r="C2440" s="0" t="inlineStr">
        <is>
          <t>Athens Men's Hoodie</t>
        </is>
      </c>
      <c r="D2440" s="0" t="inlineStr">
        <is>
          <t>'109247</t>
        </is>
      </c>
      <c r="E2440" s="0" t="inlineStr">
        <is>
          <t>MARQ ATHENS:109247B-M</t>
        </is>
      </c>
      <c r="F2440" s="0" t="inlineStr">
        <is>
          <t>'800109247029</t>
        </is>
      </c>
      <c r="G2440" s="0" t="inlineStr">
        <is>
          <t>MENS</t>
        </is>
      </c>
      <c r="H2440" s="0" t="inlineStr">
        <is>
          <t>M</t>
        </is>
      </c>
      <c r="I2440" s="0">
        <v>49.99</v>
      </c>
      <c r="J2440" s="0">
        <v>8</v>
      </c>
    </row>
    <row r="2441" spans="1:10" customHeight="0">
      <c r="A2441" s="0">
        <f>HYPERLINK("https://dl.dropboxusercontent.com/scl/fi/19of966dzcd0rvktlx9h1/109253-af.jpg?rlkey=2wxpqq0o4f3mlwsylwthkfpe0&amp;dl=0","Click to download Image")</f>
      </c>
      <c r="B2441" s="0">
        <f>HYPERLINK("https://dl.dropboxusercontent.com/scl/fi/0h710c5oejyhjdo72waw2/mens-hoodie-size-chartsathens.jpg?rlkey=ru15xlavvcmxobperhahs0dcr&amp;dl=0","Click to download SizeChart")</f>
      </c>
      <c r="C2441" s="0" t="inlineStr">
        <is>
          <t>Athens Men's Hoodie</t>
        </is>
      </c>
      <c r="D2441" s="0" t="inlineStr">
        <is>
          <t>'109247</t>
        </is>
      </c>
      <c r="E2441" s="0" t="inlineStr">
        <is>
          <t>MARQ ATHENS:109247C-L</t>
        </is>
      </c>
      <c r="F2441" s="0" t="inlineStr">
        <is>
          <t>'800109247036</t>
        </is>
      </c>
      <c r="G2441" s="0" t="inlineStr">
        <is>
          <t>MENS</t>
        </is>
      </c>
      <c r="H2441" s="0" t="inlineStr">
        <is>
          <t>L</t>
        </is>
      </c>
      <c r="I2441" s="0">
        <v>49.99</v>
      </c>
      <c r="J2441" s="0">
        <v>11</v>
      </c>
    </row>
    <row r="2442" spans="1:10" customHeight="0">
      <c r="A2442" s="0">
        <f>HYPERLINK("https://dl.dropboxusercontent.com/scl/fi/19of966dzcd0rvktlx9h1/109253-af.jpg?rlkey=2wxpqq0o4f3mlwsylwthkfpe0&amp;dl=0","Click to download Image")</f>
      </c>
      <c r="B2442" s="0">
        <f>HYPERLINK("https://dl.dropboxusercontent.com/scl/fi/0h710c5oejyhjdo72waw2/mens-hoodie-size-chartsathens.jpg?rlkey=ru15xlavvcmxobperhahs0dcr&amp;dl=0","Click to download SizeChart")</f>
      </c>
      <c r="C2442" s="0" t="inlineStr">
        <is>
          <t>Athens Men's Hoodie</t>
        </is>
      </c>
      <c r="D2442" s="0" t="inlineStr">
        <is>
          <t>'109247</t>
        </is>
      </c>
      <c r="E2442" s="0" t="inlineStr">
        <is>
          <t>MARQ ATHENS:109247D-XL</t>
        </is>
      </c>
      <c r="F2442" s="0" t="inlineStr">
        <is>
          <t>'800109247043</t>
        </is>
      </c>
      <c r="G2442" s="0" t="inlineStr">
        <is>
          <t>MENS</t>
        </is>
      </c>
      <c r="H2442" s="0" t="inlineStr">
        <is>
          <t>XL</t>
        </is>
      </c>
      <c r="I2442" s="0">
        <v>49.99</v>
      </c>
      <c r="J2442" s="0">
        <v>12</v>
      </c>
    </row>
    <row r="2443" spans="1:10" customHeight="0">
      <c r="A2443" s="0">
        <f>HYPERLINK("https://dl.dropboxusercontent.com/scl/fi/19of966dzcd0rvktlx9h1/109253-af.jpg?rlkey=2wxpqq0o4f3mlwsylwthkfpe0&amp;dl=0","Click to download Image")</f>
      </c>
      <c r="B2443" s="0">
        <f>HYPERLINK("https://dl.dropboxusercontent.com/scl/fi/0h710c5oejyhjdo72waw2/mens-hoodie-size-chartsathens.jpg?rlkey=ru15xlavvcmxobperhahs0dcr&amp;dl=0","Click to download SizeChart")</f>
      </c>
      <c r="C2443" s="0" t="inlineStr">
        <is>
          <t>Athens Men's Hoodie</t>
        </is>
      </c>
      <c r="D2443" s="0" t="inlineStr">
        <is>
          <t>'109247</t>
        </is>
      </c>
      <c r="E2443" s="0" t="inlineStr">
        <is>
          <t>MARQ ATHENS:109247E-2XL</t>
        </is>
      </c>
      <c r="F2443" s="0" t="inlineStr">
        <is>
          <t>'800109247050</t>
        </is>
      </c>
      <c r="G2443" s="0" t="inlineStr">
        <is>
          <t>MENS</t>
        </is>
      </c>
      <c r="H2443" s="0" t="inlineStr">
        <is>
          <t>2XL</t>
        </is>
      </c>
      <c r="I2443" s="0">
        <v>49.99</v>
      </c>
      <c r="J2443" s="0">
        <v>8</v>
      </c>
    </row>
    <row r="2444" spans="1:10" customHeight="0">
      <c r="A2444" s="0">
        <f>HYPERLINK("https://dl.dropboxusercontent.com/scl/fi/19of966dzcd0rvktlx9h1/109253-af.jpg?rlkey=2wxpqq0o4f3mlwsylwthkfpe0&amp;dl=0","Click to download Image")</f>
      </c>
      <c r="B2444" s="0">
        <f>HYPERLINK("https://dl.dropboxusercontent.com/scl/fi/0h710c5oejyhjdo72waw2/mens-hoodie-size-chartsathens.jpg?rlkey=ru15xlavvcmxobperhahs0dcr&amp;dl=0","Click to download SizeChart")</f>
      </c>
      <c r="C2444" s="0" t="inlineStr">
        <is>
          <t>Athens Men's Hoodie</t>
        </is>
      </c>
      <c r="D2444" s="0" t="inlineStr">
        <is>
          <t>'109247</t>
        </is>
      </c>
      <c r="E2444" s="0" t="inlineStr">
        <is>
          <t>MARQ ATHENS:109247F-3XL</t>
        </is>
      </c>
      <c r="F2444" s="0" t="inlineStr">
        <is>
          <t>'800109247067</t>
        </is>
      </c>
      <c r="G2444" s="0" t="inlineStr">
        <is>
          <t>MENS</t>
        </is>
      </c>
      <c r="H2444" s="0" t="inlineStr">
        <is>
          <t>3XL</t>
        </is>
      </c>
      <c r="I2444" s="0">
        <v>49.99</v>
      </c>
      <c r="J2444" s="0">
        <v>4</v>
      </c>
    </row>
    <row r="2445" spans="1:10" customHeight="0">
      <c r="A2445" s="0">
        <f>HYPERLINK("https://dl.dropboxusercontent.com/scl/fi/vn5vya6f4lspu4phn4e62/109246-af.jpg?rlkey=gadoa7tjryxz66hb5i4r8qo2o&amp;dl=0","Click to download Image")</f>
      </c>
      <c r="B2445" s="0">
        <f>HYPERLINK("https://dl.dropboxusercontent.com/scl/fi/0h710c5oejyhjdo72waw2/mens-hoodie-size-chartsathens.jpg?rlkey=ru15xlavvcmxobperhahs0dcr&amp;dl=0","Click to download SizeChart")</f>
      </c>
      <c r="C2445" s="0" t="inlineStr">
        <is>
          <t>Athens Men's Hoodie</t>
        </is>
      </c>
      <c r="D2445" s="0" t="inlineStr">
        <is>
          <t>'109253</t>
        </is>
      </c>
      <c r="E2445" s="0" t="inlineStr">
        <is>
          <t>UNI  UNI ATHENS:109253A-S</t>
        </is>
      </c>
      <c r="F2445" s="0" t="inlineStr">
        <is>
          <t>'800109253013</t>
        </is>
      </c>
      <c r="G2445" s="0" t="inlineStr">
        <is>
          <t>MENS</t>
        </is>
      </c>
      <c r="H2445" s="0" t="inlineStr">
        <is>
          <t>S</t>
        </is>
      </c>
      <c r="I2445" s="0">
        <v>49.99</v>
      </c>
      <c r="J2445" s="0">
        <v>3</v>
      </c>
    </row>
    <row r="2446" spans="1:10" customHeight="0">
      <c r="A2446" s="0">
        <f>HYPERLINK("https://dl.dropboxusercontent.com/scl/fi/vn5vya6f4lspu4phn4e62/109246-af.jpg?rlkey=gadoa7tjryxz66hb5i4r8qo2o&amp;dl=0","Click to download Image")</f>
      </c>
      <c r="B2446" s="0">
        <f>HYPERLINK("https://dl.dropboxusercontent.com/scl/fi/0h710c5oejyhjdo72waw2/mens-hoodie-size-chartsathens.jpg?rlkey=ru15xlavvcmxobperhahs0dcr&amp;dl=0","Click to download SizeChart")</f>
      </c>
      <c r="C2446" s="0" t="inlineStr">
        <is>
          <t>Athens Men's Hoodie</t>
        </is>
      </c>
      <c r="D2446" s="0" t="inlineStr">
        <is>
          <t>'109253</t>
        </is>
      </c>
      <c r="E2446" s="0" t="inlineStr">
        <is>
          <t>UNI ATHENS:109253B-M</t>
        </is>
      </c>
      <c r="F2446" s="0" t="inlineStr">
        <is>
          <t>'800109253020</t>
        </is>
      </c>
      <c r="G2446" s="0" t="inlineStr">
        <is>
          <t>MENS</t>
        </is>
      </c>
      <c r="H2446" s="0" t="inlineStr">
        <is>
          <t>M</t>
        </is>
      </c>
      <c r="I2446" s="0">
        <v>49.99</v>
      </c>
      <c r="J2446" s="0">
        <v>8</v>
      </c>
    </row>
    <row r="2447" spans="1:10" customHeight="0">
      <c r="A2447" s="0">
        <f>HYPERLINK("https://dl.dropboxusercontent.com/scl/fi/vn5vya6f4lspu4phn4e62/109246-af.jpg?rlkey=gadoa7tjryxz66hb5i4r8qo2o&amp;dl=0","Click to download Image")</f>
      </c>
      <c r="B2447" s="0">
        <f>HYPERLINK("https://dl.dropboxusercontent.com/scl/fi/0h710c5oejyhjdo72waw2/mens-hoodie-size-chartsathens.jpg?rlkey=ru15xlavvcmxobperhahs0dcr&amp;dl=0","Click to download SizeChart")</f>
      </c>
      <c r="C2447" s="0" t="inlineStr">
        <is>
          <t>Athens Men's Hoodie</t>
        </is>
      </c>
      <c r="D2447" s="0" t="inlineStr">
        <is>
          <t>'109253</t>
        </is>
      </c>
      <c r="E2447" s="0" t="inlineStr">
        <is>
          <t>UNI ATHENS:109253C-L</t>
        </is>
      </c>
      <c r="F2447" s="0" t="inlineStr">
        <is>
          <t>'800109253037</t>
        </is>
      </c>
      <c r="G2447" s="0" t="inlineStr">
        <is>
          <t>MENS</t>
        </is>
      </c>
      <c r="H2447" s="0" t="inlineStr">
        <is>
          <t>L</t>
        </is>
      </c>
      <c r="I2447" s="0">
        <v>49.99</v>
      </c>
      <c r="J2447" s="0">
        <v>10</v>
      </c>
    </row>
    <row r="2448" spans="1:10" customHeight="0">
      <c r="A2448" s="0">
        <f>HYPERLINK("https://dl.dropboxusercontent.com/scl/fi/vn5vya6f4lspu4phn4e62/109246-af.jpg?rlkey=gadoa7tjryxz66hb5i4r8qo2o&amp;dl=0","Click to download Image")</f>
      </c>
      <c r="B2448" s="0">
        <f>HYPERLINK("https://dl.dropboxusercontent.com/scl/fi/0h710c5oejyhjdo72waw2/mens-hoodie-size-chartsathens.jpg?rlkey=ru15xlavvcmxobperhahs0dcr&amp;dl=0","Click to download SizeChart")</f>
      </c>
      <c r="C2448" s="0" t="inlineStr">
        <is>
          <t>Athens Men's Hoodie</t>
        </is>
      </c>
      <c r="D2448" s="0" t="inlineStr">
        <is>
          <t>'109253</t>
        </is>
      </c>
      <c r="E2448" s="0" t="inlineStr">
        <is>
          <t>UNI ATHENS:109253D-XL</t>
        </is>
      </c>
      <c r="F2448" s="0" t="inlineStr">
        <is>
          <t>'800109253044</t>
        </is>
      </c>
      <c r="G2448" s="0" t="inlineStr">
        <is>
          <t>MENS</t>
        </is>
      </c>
      <c r="H2448" s="0" t="inlineStr">
        <is>
          <t>XL</t>
        </is>
      </c>
      <c r="I2448" s="0">
        <v>49.99</v>
      </c>
      <c r="J2448" s="0">
        <v>12</v>
      </c>
    </row>
    <row r="2449" spans="1:10" customHeight="0">
      <c r="A2449" s="0">
        <f>HYPERLINK("https://dl.dropboxusercontent.com/scl/fi/vn5vya6f4lspu4phn4e62/109246-af.jpg?rlkey=gadoa7tjryxz66hb5i4r8qo2o&amp;dl=0","Click to download Image")</f>
      </c>
      <c r="B2449" s="0">
        <f>HYPERLINK("https://dl.dropboxusercontent.com/scl/fi/0h710c5oejyhjdo72waw2/mens-hoodie-size-chartsathens.jpg?rlkey=ru15xlavvcmxobperhahs0dcr&amp;dl=0","Click to download SizeChart")</f>
      </c>
      <c r="C2449" s="0" t="inlineStr">
        <is>
          <t>Athens Men's Hoodie</t>
        </is>
      </c>
      <c r="D2449" s="0" t="inlineStr">
        <is>
          <t>'109253</t>
        </is>
      </c>
      <c r="E2449" s="0" t="inlineStr">
        <is>
          <t>UNI ATHENS:109253E-2XL</t>
        </is>
      </c>
      <c r="F2449" s="0" t="inlineStr">
        <is>
          <t>'800109253051</t>
        </is>
      </c>
      <c r="G2449" s="0" t="inlineStr">
        <is>
          <t>MENS</t>
        </is>
      </c>
      <c r="H2449" s="0" t="inlineStr">
        <is>
          <t>2XL</t>
        </is>
      </c>
      <c r="I2449" s="0">
        <v>49.99</v>
      </c>
      <c r="J2449" s="0">
        <v>6</v>
      </c>
    </row>
    <row r="2450" spans="1:10" customHeight="0">
      <c r="A2450" s="0">
        <f>HYPERLINK("https://dl.dropboxusercontent.com/scl/fi/vn5vya6f4lspu4phn4e62/109246-af.jpg?rlkey=gadoa7tjryxz66hb5i4r8qo2o&amp;dl=0","Click to download Image")</f>
      </c>
      <c r="B2450" s="0">
        <f>HYPERLINK("https://dl.dropboxusercontent.com/scl/fi/0h710c5oejyhjdo72waw2/mens-hoodie-size-chartsathens.jpg?rlkey=ru15xlavvcmxobperhahs0dcr&amp;dl=0","Click to download SizeChart")</f>
      </c>
      <c r="C2450" s="0" t="inlineStr">
        <is>
          <t>Athens Men's Hoodie</t>
        </is>
      </c>
      <c r="D2450" s="0" t="inlineStr">
        <is>
          <t>'109253</t>
        </is>
      </c>
      <c r="E2450" s="0" t="inlineStr">
        <is>
          <t>UNI ATHENS:109253F-3XL</t>
        </is>
      </c>
      <c r="F2450" s="0" t="inlineStr">
        <is>
          <t>'800109253068</t>
        </is>
      </c>
      <c r="G2450" s="0" t="inlineStr">
        <is>
          <t>MENS</t>
        </is>
      </c>
      <c r="H2450" s="0" t="inlineStr">
        <is>
          <t>3XL</t>
        </is>
      </c>
      <c r="I2450" s="0">
        <v>49.99</v>
      </c>
      <c r="J2450" s="0">
        <v>4</v>
      </c>
    </row>
    <row r="2451" spans="1:10" customHeight="0">
      <c r="A2451" s="0">
        <f>HYPERLINK("https://dl.dropboxusercontent.com/scl/fi/upk9nyyn8uvaampnvhswn/finaldsc192348050.jpg?rlkey=5wpoj02nil5bq0z8ydd5zje8g&amp;dl=0","Click to download Image")</f>
      </c>
      <c r="B2451" s="0">
        <f>HYPERLINK("https://dl.dropboxusercontent.com/scl/fi/tgm0dhfjeec72bkvkin03/graphic-update2022-womens.jpg?rlkey=7plynrytzb6elq7h9cxrwpv30&amp;dl=0","Click to download SizeChart")</f>
      </c>
      <c r="C2451" s="0" t="inlineStr">
        <is>
          <t>Alexandria Women's Hoodie</t>
        </is>
      </c>
      <c r="D2451" s="0" t="inlineStr">
        <is>
          <t>'106786</t>
        </is>
      </c>
      <c r="E2451" s="0" t="inlineStr">
        <is>
          <t>IA ALEXANDRIA:106786AA-XS</t>
        </is>
      </c>
      <c r="F2451" s="0" t="inlineStr">
        <is>
          <t>'800106786002</t>
        </is>
      </c>
      <c r="G2451" s="0" t="inlineStr">
        <is>
          <t>WOMENS</t>
        </is>
      </c>
      <c r="H2451" s="0" t="inlineStr">
        <is>
          <t>XS</t>
        </is>
      </c>
      <c r="I2451" s="0">
        <v>42.99</v>
      </c>
      <c r="J2451" s="0">
        <v>41</v>
      </c>
    </row>
    <row r="2452" spans="1:10" customHeight="0">
      <c r="A2452" s="0">
        <f>HYPERLINK("https://dl.dropboxusercontent.com/scl/fi/upk9nyyn8uvaampnvhswn/finaldsc192348050.jpg?rlkey=5wpoj02nil5bq0z8ydd5zje8g&amp;dl=0","Click to download Image")</f>
      </c>
      <c r="B2452" s="0">
        <f>HYPERLINK("https://dl.dropboxusercontent.com/scl/fi/tgm0dhfjeec72bkvkin03/graphic-update2022-womens.jpg?rlkey=7plynrytzb6elq7h9cxrwpv30&amp;dl=0","Click to download SizeChart")</f>
      </c>
      <c r="C2452" s="0" t="inlineStr">
        <is>
          <t>Alexandria Women's Hoodie</t>
        </is>
      </c>
      <c r="D2452" s="0" t="inlineStr">
        <is>
          <t>'106786</t>
        </is>
      </c>
      <c r="E2452" s="0" t="inlineStr">
        <is>
          <t>IA ALEXANDRIA:106786A-S</t>
        </is>
      </c>
      <c r="F2452" s="0" t="inlineStr">
        <is>
          <t>'800106786019</t>
        </is>
      </c>
      <c r="G2452" s="0" t="inlineStr">
        <is>
          <t>WOMENS</t>
        </is>
      </c>
      <c r="H2452" s="0" t="inlineStr">
        <is>
          <t>S</t>
        </is>
      </c>
      <c r="I2452" s="0">
        <v>42.99</v>
      </c>
      <c r="J2452" s="0">
        <v>57</v>
      </c>
    </row>
    <row r="2453" spans="1:10" customHeight="0">
      <c r="A2453" s="0">
        <f>HYPERLINK("https://dl.dropboxusercontent.com/scl/fi/upk9nyyn8uvaampnvhswn/finaldsc192348050.jpg?rlkey=5wpoj02nil5bq0z8ydd5zje8g&amp;dl=0","Click to download Image")</f>
      </c>
      <c r="B2453" s="0">
        <f>HYPERLINK("https://dl.dropboxusercontent.com/scl/fi/tgm0dhfjeec72bkvkin03/graphic-update2022-womens.jpg?rlkey=7plynrytzb6elq7h9cxrwpv30&amp;dl=0","Click to download SizeChart")</f>
      </c>
      <c r="C2453" s="0" t="inlineStr">
        <is>
          <t>Alexandria Women's Hoodie</t>
        </is>
      </c>
      <c r="D2453" s="0" t="inlineStr">
        <is>
          <t>'106786</t>
        </is>
      </c>
      <c r="E2453" s="0" t="inlineStr">
        <is>
          <t>IA ALEXANDRIA:106786B-M</t>
        </is>
      </c>
      <c r="F2453" s="0" t="inlineStr">
        <is>
          <t>'800106786026</t>
        </is>
      </c>
      <c r="G2453" s="0" t="inlineStr">
        <is>
          <t>WOMENS</t>
        </is>
      </c>
      <c r="H2453" s="0" t="inlineStr">
        <is>
          <t>M</t>
        </is>
      </c>
      <c r="I2453" s="0">
        <v>42.99</v>
      </c>
      <c r="J2453" s="0">
        <v>61</v>
      </c>
    </row>
    <row r="2454" spans="1:10" customHeight="0">
      <c r="A2454" s="0">
        <f>HYPERLINK("https://dl.dropboxusercontent.com/scl/fi/upk9nyyn8uvaampnvhswn/finaldsc192348050.jpg?rlkey=5wpoj02nil5bq0z8ydd5zje8g&amp;dl=0","Click to download Image")</f>
      </c>
      <c r="B2454" s="0">
        <f>HYPERLINK("https://dl.dropboxusercontent.com/scl/fi/tgm0dhfjeec72bkvkin03/graphic-update2022-womens.jpg?rlkey=7plynrytzb6elq7h9cxrwpv30&amp;dl=0","Click to download SizeChart")</f>
      </c>
      <c r="C2454" s="0" t="inlineStr">
        <is>
          <t>Alexandria Women's Hoodie</t>
        </is>
      </c>
      <c r="D2454" s="0" t="inlineStr">
        <is>
          <t>'106786</t>
        </is>
      </c>
      <c r="E2454" s="0" t="inlineStr">
        <is>
          <t>IA ALEXANDRIA:106786C-L</t>
        </is>
      </c>
      <c r="F2454" s="0" t="inlineStr">
        <is>
          <t>'800106786033</t>
        </is>
      </c>
      <c r="G2454" s="0" t="inlineStr">
        <is>
          <t>WOMENS</t>
        </is>
      </c>
      <c r="H2454" s="0" t="inlineStr">
        <is>
          <t>L</t>
        </is>
      </c>
      <c r="I2454" s="0">
        <v>42.99</v>
      </c>
      <c r="J2454" s="0">
        <v>32</v>
      </c>
    </row>
    <row r="2455" spans="1:10" customHeight="0">
      <c r="A2455" s="0">
        <f>HYPERLINK("https://dl.dropboxusercontent.com/scl/fi/upk9nyyn8uvaampnvhswn/finaldsc192348050.jpg?rlkey=5wpoj02nil5bq0z8ydd5zje8g&amp;dl=0","Click to download Image")</f>
      </c>
      <c r="B2455" s="0">
        <f>HYPERLINK("https://dl.dropboxusercontent.com/scl/fi/tgm0dhfjeec72bkvkin03/graphic-update2022-womens.jpg?rlkey=7plynrytzb6elq7h9cxrwpv30&amp;dl=0","Click to download SizeChart")</f>
      </c>
      <c r="C2455" s="0" t="inlineStr">
        <is>
          <t>Alexandria Women's Hoodie</t>
        </is>
      </c>
      <c r="D2455" s="0" t="inlineStr">
        <is>
          <t>'106786</t>
        </is>
      </c>
      <c r="E2455" s="0" t="inlineStr">
        <is>
          <t>IA ALEXANDRIA:106786D-XL</t>
        </is>
      </c>
      <c r="F2455" s="0" t="inlineStr">
        <is>
          <t>'800106786040</t>
        </is>
      </c>
      <c r="G2455" s="0" t="inlineStr">
        <is>
          <t>WOMENS</t>
        </is>
      </c>
      <c r="H2455" s="0" t="inlineStr">
        <is>
          <t>XL</t>
        </is>
      </c>
      <c r="I2455" s="0">
        <v>42.99</v>
      </c>
      <c r="J2455" s="0">
        <v>2</v>
      </c>
    </row>
    <row r="2456" spans="1:10" customHeight="0">
      <c r="A2456" s="0">
        <f>HYPERLINK("https://dl.dropboxusercontent.com/scl/fi/oxm02t3s5uxstnnycdd9j/108947-af.jpg?rlkey=8scs1omwkvdk6h14npdthg4q4&amp;dl=0","Click to download Image")</f>
      </c>
      <c r="B2456" s="0">
        <f>HYPERLINK("https://dl.dropboxusercontent.com/scl/fi/hb3stzrw74qlw7oa336jb/womens-t-shirt-size-chartsaelia.jpg?rlkey=jir6so96cxzricxlfka7o5xiu&amp;dl=0","Click to download SizeChart")</f>
      </c>
      <c r="C2456" s="0" t="inlineStr">
        <is>
          <t>Aelia Women's Long Sleeve</t>
        </is>
      </c>
      <c r="D2456" s="0" t="inlineStr">
        <is>
          <t>'108947</t>
        </is>
      </c>
      <c r="E2456" s="0" t="inlineStr">
        <is>
          <t>ISU AELIA:108947A-S</t>
        </is>
      </c>
      <c r="F2456" s="0" t="inlineStr">
        <is>
          <t>'800108947012</t>
        </is>
      </c>
      <c r="G2456" s="0" t="inlineStr">
        <is>
          <t>WOMENS</t>
        </is>
      </c>
      <c r="H2456" s="0" t="inlineStr">
        <is>
          <t>S</t>
        </is>
      </c>
      <c r="I2456" s="0">
        <v>39.99</v>
      </c>
      <c r="J2456" s="0">
        <v>4</v>
      </c>
    </row>
    <row r="2457" spans="1:10" customHeight="0">
      <c r="A2457" s="0">
        <f>HYPERLINK("https://dl.dropboxusercontent.com/scl/fi/oxm02t3s5uxstnnycdd9j/108947-af.jpg?rlkey=8scs1omwkvdk6h14npdthg4q4&amp;dl=0","Click to download Image")</f>
      </c>
      <c r="B2457" s="0">
        <f>HYPERLINK("https://dl.dropboxusercontent.com/scl/fi/hb3stzrw74qlw7oa336jb/womens-t-shirt-size-chartsaelia.jpg?rlkey=jir6so96cxzricxlfka7o5xiu&amp;dl=0","Click to download SizeChart")</f>
      </c>
      <c r="C2457" s="0" t="inlineStr">
        <is>
          <t>Aelia Women's Long Sleeve</t>
        </is>
      </c>
      <c r="D2457" s="0" t="inlineStr">
        <is>
          <t>'108947</t>
        </is>
      </c>
      <c r="E2457" s="0" t="inlineStr">
        <is>
          <t>ISU AELIA:108947B-M</t>
        </is>
      </c>
      <c r="F2457" s="0" t="inlineStr">
        <is>
          <t>'800108947029</t>
        </is>
      </c>
      <c r="G2457" s="0" t="inlineStr">
        <is>
          <t>WOMENS</t>
        </is>
      </c>
      <c r="H2457" s="0" t="inlineStr">
        <is>
          <t>M</t>
        </is>
      </c>
      <c r="I2457" s="0">
        <v>39.99</v>
      </c>
      <c r="J2457" s="0">
        <v>8</v>
      </c>
    </row>
    <row r="2458" spans="1:10" customHeight="0">
      <c r="A2458" s="0">
        <f>HYPERLINK("https://dl.dropboxusercontent.com/scl/fi/oxm02t3s5uxstnnycdd9j/108947-af.jpg?rlkey=8scs1omwkvdk6h14npdthg4q4&amp;dl=0","Click to download Image")</f>
      </c>
      <c r="B2458" s="0">
        <f>HYPERLINK("https://dl.dropboxusercontent.com/scl/fi/hb3stzrw74qlw7oa336jb/womens-t-shirt-size-chartsaelia.jpg?rlkey=jir6so96cxzricxlfka7o5xiu&amp;dl=0","Click to download SizeChart")</f>
      </c>
      <c r="C2458" s="0" t="inlineStr">
        <is>
          <t>Aelia Women's Long Sleeve</t>
        </is>
      </c>
      <c r="D2458" s="0" t="inlineStr">
        <is>
          <t>'108947</t>
        </is>
      </c>
      <c r="E2458" s="0" t="inlineStr">
        <is>
          <t>ISU AELIA:108947C-L</t>
        </is>
      </c>
      <c r="F2458" s="0" t="inlineStr">
        <is>
          <t>'800108947036</t>
        </is>
      </c>
      <c r="G2458" s="0" t="inlineStr">
        <is>
          <t>WOMENS</t>
        </is>
      </c>
      <c r="H2458" s="0" t="inlineStr">
        <is>
          <t>L</t>
        </is>
      </c>
      <c r="I2458" s="0">
        <v>39.99</v>
      </c>
      <c r="J2458" s="0">
        <v>4</v>
      </c>
    </row>
    <row r="2459" spans="1:10" customHeight="0">
      <c r="A2459" s="0">
        <f>HYPERLINK("https://dl.dropboxusercontent.com/scl/fi/oxm02t3s5uxstnnycdd9j/108947-af.jpg?rlkey=8scs1omwkvdk6h14npdthg4q4&amp;dl=0","Click to download Image")</f>
      </c>
      <c r="B2459" s="0">
        <f>HYPERLINK("https://dl.dropboxusercontent.com/scl/fi/hb3stzrw74qlw7oa336jb/womens-t-shirt-size-chartsaelia.jpg?rlkey=jir6so96cxzricxlfka7o5xiu&amp;dl=0","Click to download SizeChart")</f>
      </c>
      <c r="C2459" s="0" t="inlineStr">
        <is>
          <t>Aelia Women's Long Sleeve</t>
        </is>
      </c>
      <c r="D2459" s="0" t="inlineStr">
        <is>
          <t>'108947</t>
        </is>
      </c>
      <c r="E2459" s="0" t="inlineStr">
        <is>
          <t>ISU AELIA:108947D-XL</t>
        </is>
      </c>
      <c r="F2459" s="0" t="inlineStr">
        <is>
          <t>'800108947043</t>
        </is>
      </c>
      <c r="G2459" s="0" t="inlineStr">
        <is>
          <t>WOMENS</t>
        </is>
      </c>
      <c r="H2459" s="0" t="inlineStr">
        <is>
          <t>XL</t>
        </is>
      </c>
      <c r="I2459" s="0">
        <v>39.99</v>
      </c>
      <c r="J2459" s="0">
        <v>0</v>
      </c>
    </row>
    <row r="2460" spans="1:10" customHeight="0">
      <c r="A2460" s="0">
        <f>HYPERLINK("https://dl.dropboxusercontent.com/scl/fi/oxm02t3s5uxstnnycdd9j/108947-af.jpg?rlkey=8scs1omwkvdk6h14npdthg4q4&amp;dl=0","Click to download Image")</f>
      </c>
      <c r="B2460" s="0">
        <f>HYPERLINK("https://dl.dropboxusercontent.com/scl/fi/hb3stzrw74qlw7oa336jb/womens-t-shirt-size-chartsaelia.jpg?rlkey=jir6so96cxzricxlfka7o5xiu&amp;dl=0","Click to download SizeChart")</f>
      </c>
      <c r="C2460" s="0" t="inlineStr">
        <is>
          <t>Aelia Women's Long Sleeve</t>
        </is>
      </c>
      <c r="D2460" s="0" t="inlineStr">
        <is>
          <t>'108947</t>
        </is>
      </c>
      <c r="E2460" s="0" t="inlineStr">
        <is>
          <t>ISU AELIA:108947E-2XL</t>
        </is>
      </c>
      <c r="F2460" s="0" t="inlineStr">
        <is>
          <t>'800108947050</t>
        </is>
      </c>
      <c r="G2460" s="0" t="inlineStr">
        <is>
          <t>WOMENS</t>
        </is>
      </c>
      <c r="H2460" s="0" t="inlineStr">
        <is>
          <t>2XL</t>
        </is>
      </c>
      <c r="I2460" s="0">
        <v>39.99</v>
      </c>
      <c r="J2460" s="0">
        <v>0</v>
      </c>
    </row>
    <row r="2461" spans="1:10" customHeight="0">
      <c r="A2461" s="0">
        <f>HYPERLINK("https://dl.dropboxusercontent.com/scl/fi/oxm02t3s5uxstnnycdd9j/108947-af.jpg?rlkey=8scs1omwkvdk6h14npdthg4q4&amp;dl=0","Click to download Image")</f>
      </c>
      <c r="B2461" s="0">
        <f>HYPERLINK("https://dl.dropboxusercontent.com/scl/fi/hb3stzrw74qlw7oa336jb/womens-t-shirt-size-chartsaelia.jpg?rlkey=jir6so96cxzricxlfka7o5xiu&amp;dl=0","Click to download SizeChart")</f>
      </c>
      <c r="C2461" s="0" t="inlineStr">
        <is>
          <t>Aelia Women's Long Sleeve</t>
        </is>
      </c>
      <c r="D2461" s="0" t="inlineStr">
        <is>
          <t>'108947</t>
        </is>
      </c>
      <c r="E2461" s="0" t="inlineStr">
        <is>
          <t>ISU AELIA:108947F-3XL</t>
        </is>
      </c>
      <c r="F2461" s="0" t="inlineStr">
        <is>
          <t>'800108947067</t>
        </is>
      </c>
      <c r="G2461" s="0" t="inlineStr">
        <is>
          <t>WOMENS</t>
        </is>
      </c>
      <c r="H2461" s="0" t="inlineStr">
        <is>
          <t>3XL</t>
        </is>
      </c>
      <c r="I2461" s="0">
        <v>39.99</v>
      </c>
      <c r="J2461" s="0">
        <v>1</v>
      </c>
    </row>
    <row r="2462" spans="1:10" customHeight="0">
      <c r="A2462" s="0">
        <f>HYPERLINK("https://dl.dropboxusercontent.com/scl/fi/9lppxt4lup1s1vfg2l4ao/106946-af.jpg?rlkey=kjqa0ybtipbvnprbwr2b2b76y&amp;dl=0","Click to download Image")</f>
      </c>
      <c r="B2462" s="0">
        <f>HYPERLINK("https://dl.dropboxusercontent.com/scl/fi/hb3stzrw74qlw7oa336jb/womens-t-shirt-size-chartsaelia.jpg?rlkey=jir6so96cxzricxlfka7o5xiu&amp;dl=0","Click to download SizeChart")</f>
      </c>
      <c r="C2462" s="0" t="inlineStr">
        <is>
          <t>Aelia Women's Long Sleeve</t>
        </is>
      </c>
      <c r="D2462" s="0" t="inlineStr">
        <is>
          <t>'106946</t>
        </is>
      </c>
      <c r="E2462" s="0" t="inlineStr">
        <is>
          <t>IA AELIA:106946A-S</t>
        </is>
      </c>
      <c r="F2462" s="0" t="inlineStr">
        <is>
          <t>'800106946017</t>
        </is>
      </c>
      <c r="G2462" s="0" t="inlineStr">
        <is>
          <t>WOMENS</t>
        </is>
      </c>
      <c r="H2462" s="0" t="inlineStr">
        <is>
          <t>S</t>
        </is>
      </c>
      <c r="I2462" s="0">
        <v>39.99</v>
      </c>
      <c r="J2462" s="0">
        <v>8</v>
      </c>
    </row>
    <row r="2463" spans="1:10" customHeight="0">
      <c r="A2463" s="0">
        <f>HYPERLINK("https://dl.dropboxusercontent.com/scl/fi/9lppxt4lup1s1vfg2l4ao/106946-af.jpg?rlkey=kjqa0ybtipbvnprbwr2b2b76y&amp;dl=0","Click to download Image")</f>
      </c>
      <c r="B2463" s="0">
        <f>HYPERLINK("https://dl.dropboxusercontent.com/scl/fi/hb3stzrw74qlw7oa336jb/womens-t-shirt-size-chartsaelia.jpg?rlkey=jir6so96cxzricxlfka7o5xiu&amp;dl=0","Click to download SizeChart")</f>
      </c>
      <c r="C2463" s="0" t="inlineStr">
        <is>
          <t>Aelia Women's Long Sleeve</t>
        </is>
      </c>
      <c r="D2463" s="0" t="inlineStr">
        <is>
          <t>'106946</t>
        </is>
      </c>
      <c r="E2463" s="0" t="inlineStr">
        <is>
          <t>IA AELIA:106946B-M</t>
        </is>
      </c>
      <c r="F2463" s="0" t="inlineStr">
        <is>
          <t>'800106946024</t>
        </is>
      </c>
      <c r="G2463" s="0" t="inlineStr">
        <is>
          <t>WOMENS</t>
        </is>
      </c>
      <c r="H2463" s="0" t="inlineStr">
        <is>
          <t>M</t>
        </is>
      </c>
      <c r="I2463" s="0">
        <v>39.99</v>
      </c>
      <c r="J2463" s="0">
        <v>46</v>
      </c>
    </row>
    <row r="2464" spans="1:10" customHeight="0">
      <c r="A2464" s="0">
        <f>HYPERLINK("https://dl.dropboxusercontent.com/scl/fi/9lppxt4lup1s1vfg2l4ao/106946-af.jpg?rlkey=kjqa0ybtipbvnprbwr2b2b76y&amp;dl=0","Click to download Image")</f>
      </c>
      <c r="B2464" s="0">
        <f>HYPERLINK("https://dl.dropboxusercontent.com/scl/fi/hb3stzrw74qlw7oa336jb/womens-t-shirt-size-chartsaelia.jpg?rlkey=jir6so96cxzricxlfka7o5xiu&amp;dl=0","Click to download SizeChart")</f>
      </c>
      <c r="C2464" s="0" t="inlineStr">
        <is>
          <t>Aelia Women's Long Sleeve</t>
        </is>
      </c>
      <c r="D2464" s="0" t="inlineStr">
        <is>
          <t>'106946</t>
        </is>
      </c>
      <c r="E2464" s="0" t="inlineStr">
        <is>
          <t>IA AELIA:106946C-L</t>
        </is>
      </c>
      <c r="F2464" s="0" t="inlineStr">
        <is>
          <t>'800106946031</t>
        </is>
      </c>
      <c r="G2464" s="0" t="inlineStr">
        <is>
          <t>WOMENS</t>
        </is>
      </c>
      <c r="H2464" s="0" t="inlineStr">
        <is>
          <t>L</t>
        </is>
      </c>
      <c r="I2464" s="0">
        <v>39.99</v>
      </c>
      <c r="J2464" s="0">
        <v>44</v>
      </c>
    </row>
    <row r="2465" spans="1:10" customHeight="0">
      <c r="A2465" s="0">
        <f>HYPERLINK("https://dl.dropboxusercontent.com/scl/fi/9lppxt4lup1s1vfg2l4ao/106946-af.jpg?rlkey=kjqa0ybtipbvnprbwr2b2b76y&amp;dl=0","Click to download Image")</f>
      </c>
      <c r="B2465" s="0">
        <f>HYPERLINK("https://dl.dropboxusercontent.com/scl/fi/hb3stzrw74qlw7oa336jb/womens-t-shirt-size-chartsaelia.jpg?rlkey=jir6so96cxzricxlfka7o5xiu&amp;dl=0","Click to download SizeChart")</f>
      </c>
      <c r="C2465" s="0" t="inlineStr">
        <is>
          <t>Aelia Women's Long Sleeve</t>
        </is>
      </c>
      <c r="D2465" s="0" t="inlineStr">
        <is>
          <t>'106946</t>
        </is>
      </c>
      <c r="E2465" s="0" t="inlineStr">
        <is>
          <t>IA AELIA:106946D-XL</t>
        </is>
      </c>
      <c r="F2465" s="0" t="inlineStr">
        <is>
          <t>'800106946048</t>
        </is>
      </c>
      <c r="G2465" s="0" t="inlineStr">
        <is>
          <t>WOMENS</t>
        </is>
      </c>
      <c r="H2465" s="0" t="inlineStr">
        <is>
          <t>XL</t>
        </is>
      </c>
      <c r="I2465" s="0">
        <v>39.99</v>
      </c>
      <c r="J2465" s="0">
        <v>5</v>
      </c>
    </row>
    <row r="2466" spans="1:10" customHeight="0">
      <c r="A2466" s="0">
        <f>HYPERLINK("https://dl.dropboxusercontent.com/scl/fi/9lppxt4lup1s1vfg2l4ao/106946-af.jpg?rlkey=kjqa0ybtipbvnprbwr2b2b76y&amp;dl=0","Click to download Image")</f>
      </c>
      <c r="B2466" s="0">
        <f>HYPERLINK("https://dl.dropboxusercontent.com/scl/fi/hb3stzrw74qlw7oa336jb/womens-t-shirt-size-chartsaelia.jpg?rlkey=jir6so96cxzricxlfka7o5xiu&amp;dl=0","Click to download SizeChart")</f>
      </c>
      <c r="C2466" s="0" t="inlineStr">
        <is>
          <t>Aelia Women's Long Sleeve</t>
        </is>
      </c>
      <c r="D2466" s="0" t="inlineStr">
        <is>
          <t>'106946</t>
        </is>
      </c>
      <c r="E2466" s="0" t="inlineStr">
        <is>
          <t>IA AELIA:106946E-2XL</t>
        </is>
      </c>
      <c r="F2466" s="0" t="inlineStr">
        <is>
          <t>'800106946055</t>
        </is>
      </c>
      <c r="G2466" s="0" t="inlineStr">
        <is>
          <t>WOMENS</t>
        </is>
      </c>
      <c r="H2466" s="0" t="inlineStr">
        <is>
          <t>2XL</t>
        </is>
      </c>
      <c r="I2466" s="0">
        <v>39.99</v>
      </c>
      <c r="J2466" s="0">
        <v>0</v>
      </c>
    </row>
    <row r="2467" spans="1:10" customHeight="0">
      <c r="A2467" s="0">
        <f>HYPERLINK("https://dl.dropboxusercontent.com/scl/fi/9lppxt4lup1s1vfg2l4ao/106946-af.jpg?rlkey=kjqa0ybtipbvnprbwr2b2b76y&amp;dl=0","Click to download Image")</f>
      </c>
      <c r="B2467" s="0">
        <f>HYPERLINK("https://dl.dropboxusercontent.com/scl/fi/hb3stzrw74qlw7oa336jb/womens-t-shirt-size-chartsaelia.jpg?rlkey=jir6so96cxzricxlfka7o5xiu&amp;dl=0","Click to download SizeChart")</f>
      </c>
      <c r="C2467" s="0" t="inlineStr">
        <is>
          <t>Aelia Women's Long Sleeve</t>
        </is>
      </c>
      <c r="D2467" s="0" t="inlineStr">
        <is>
          <t>'106946</t>
        </is>
      </c>
      <c r="E2467" s="0" t="inlineStr">
        <is>
          <t>IA AELIA:106946F-3XL</t>
        </is>
      </c>
      <c r="F2467" s="0" t="inlineStr">
        <is>
          <t>'800106946062</t>
        </is>
      </c>
      <c r="G2467" s="0" t="inlineStr">
        <is>
          <t>WOMENS</t>
        </is>
      </c>
      <c r="H2467" s="0" t="inlineStr">
        <is>
          <t>3XL</t>
        </is>
      </c>
      <c r="I2467" s="0">
        <v>39.99</v>
      </c>
      <c r="J2467" s="0">
        <v>3</v>
      </c>
    </row>
    <row r="2468" spans="1:10" customHeight="0">
      <c r="A2468" s="0">
        <f>HYPERLINK("https://dl.dropboxusercontent.com/scl/fi/33av8skyukm2tzwx83sqz/109678-af.jpg?rlkey=9nok11dxhnazggcb7loczb4au&amp;dl=0","Click to download Image")</f>
      </c>
      <c r="C2468" s="0" t="inlineStr">
        <is>
          <t>Atlanta Youth Cap</t>
        </is>
      </c>
      <c r="D2468" s="0" t="inlineStr">
        <is>
          <t>'109678</t>
        </is>
      </c>
      <c r="E2468" s="0" t="inlineStr">
        <is>
          <t>IOWA ATLANTA:109678</t>
        </is>
      </c>
      <c r="F2468" s="0" t="inlineStr">
        <is>
          <t>'700109678017</t>
        </is>
      </c>
      <c r="G2468" s="0" t="inlineStr">
        <is>
          <t>YOUTH</t>
        </is>
      </c>
      <c r="H2468" s="0" t="inlineStr">
        <is>
          <t>YOUTH</t>
        </is>
      </c>
      <c r="I2468" s="0">
        <v>18.99</v>
      </c>
      <c r="J2468" s="0">
        <v>20</v>
      </c>
    </row>
    <row r="2469" spans="1:10" customHeight="0">
      <c r="A2469" s="0">
        <f>HYPERLINK("https://dl.dropboxusercontent.com/scl/fi/t5tubka79ub1a9z7pen2n/109677-af.jpg?rlkey=bp9jbnw51d6sbxdz8qyv7idwt&amp;dl=0","Click to download Image")</f>
      </c>
      <c r="C2469" s="0" t="inlineStr">
        <is>
          <t>Atlanta Youth Cap</t>
        </is>
      </c>
      <c r="D2469" s="0" t="inlineStr">
        <is>
          <t>'109677</t>
        </is>
      </c>
      <c r="E2469" s="0" t="inlineStr">
        <is>
          <t>ISU ATLANTA:109677</t>
        </is>
      </c>
      <c r="F2469" s="0" t="inlineStr">
        <is>
          <t>'700109677010</t>
        </is>
      </c>
      <c r="G2469" s="0" t="inlineStr">
        <is>
          <t>YOUTH</t>
        </is>
      </c>
      <c r="H2469" s="0" t="inlineStr">
        <is>
          <t>YOUTH</t>
        </is>
      </c>
      <c r="I2469" s="0">
        <v>18.99</v>
      </c>
      <c r="J2469" s="0">
        <v>47</v>
      </c>
    </row>
    <row r="2470" spans="1:10" customHeight="0">
      <c r="A2470" s="0">
        <f>HYPERLINK("https://dl.dropboxusercontent.com/scl/fi/4zaukstmxykxvebp87siv/109676-af.jpg?rlkey=06k3i6dqhlwuo1ttwd2t053s0&amp;dl=0","Click to download Image")</f>
      </c>
      <c r="C2470" s="0" t="inlineStr">
        <is>
          <t>Atlanta Youth Cap</t>
        </is>
      </c>
      <c r="D2470" s="0" t="inlineStr">
        <is>
          <t>'109676</t>
        </is>
      </c>
      <c r="E2470" s="0" t="inlineStr">
        <is>
          <t>UNI ATLANTA:109676</t>
        </is>
      </c>
      <c r="F2470" s="0" t="inlineStr">
        <is>
          <t>'700109676013</t>
        </is>
      </c>
      <c r="G2470" s="0" t="inlineStr">
        <is>
          <t>YOUTH</t>
        </is>
      </c>
      <c r="H2470" s="0" t="inlineStr">
        <is>
          <t>YOUTH</t>
        </is>
      </c>
      <c r="I2470" s="0">
        <v>18.99</v>
      </c>
      <c r="J2470" s="0">
        <v>38</v>
      </c>
    </row>
    <row r="2471" spans="1:10" customHeight="0">
      <c r="A2471" s="0">
        <f>HYPERLINK("https://dl.dropboxusercontent.com/scl/fi/u3nhad64xbfhntaw6ygrj/105587f08207.jpg?rlkey=j81x26rebt57yxubfgtsf6c28&amp;dl=0","Click to download Image")</f>
      </c>
      <c r="B2471" s="0">
        <f>HYPERLINK("https://dl.dropboxusercontent.com/scl/fi/8l3tuhj12v8gf3z6wes0z/graphic-update22022-infant.jpg?rlkey=tmcuut2kh27kvk7fbx512uhoi&amp;dl=0","Click to download SizeChart")</f>
      </c>
      <c r="C2471" s="0" t="inlineStr">
        <is>
          <t>Ralston Infant Polo</t>
        </is>
      </c>
      <c r="D2471" s="0" t="inlineStr">
        <is>
          <t>'105345</t>
        </is>
      </c>
      <c r="E2471" s="0" t="inlineStr">
        <is>
          <t>RALSTON:105345A - 0-3M</t>
        </is>
      </c>
      <c r="F2471" s="0" t="inlineStr">
        <is>
          <t>'000000000000</t>
        </is>
      </c>
      <c r="G2471" s="0" t="inlineStr">
        <is>
          <t>INFANT</t>
        </is>
      </c>
      <c r="H2471" s="0" t="inlineStr">
        <is>
          <t>0-3M</t>
        </is>
      </c>
      <c r="I2471" s="0">
        <v>19.99</v>
      </c>
      <c r="J2471" s="0">
        <v>51</v>
      </c>
    </row>
    <row r="2472" spans="1:10" customHeight="0">
      <c r="A2472" s="0">
        <f>HYPERLINK("https://dl.dropboxusercontent.com/scl/fi/u3nhad64xbfhntaw6ygrj/105587f08207.jpg?rlkey=j81x26rebt57yxubfgtsf6c28&amp;dl=0","Click to download Image")</f>
      </c>
      <c r="B2472" s="0">
        <f>HYPERLINK("https://dl.dropboxusercontent.com/scl/fi/8l3tuhj12v8gf3z6wes0z/graphic-update22022-infant.jpg?rlkey=tmcuut2kh27kvk7fbx512uhoi&amp;dl=0","Click to download SizeChart")</f>
      </c>
      <c r="C2472" s="0" t="inlineStr">
        <is>
          <t>Ralston Infant Polo</t>
        </is>
      </c>
      <c r="D2472" s="0" t="inlineStr">
        <is>
          <t>'105345</t>
        </is>
      </c>
      <c r="E2472" s="0" t="inlineStr">
        <is>
          <t>RALSTON:105345B - 3-6M</t>
        </is>
      </c>
      <c r="F2472" s="0" t="inlineStr">
        <is>
          <t>'000000000000</t>
        </is>
      </c>
      <c r="G2472" s="0" t="inlineStr">
        <is>
          <t>INFANT</t>
        </is>
      </c>
      <c r="H2472" s="0" t="inlineStr">
        <is>
          <t>3-6M</t>
        </is>
      </c>
      <c r="I2472" s="0">
        <v>19.99</v>
      </c>
      <c r="J2472" s="0">
        <v>40</v>
      </c>
    </row>
    <row r="2473" spans="1:10" customHeight="0">
      <c r="A2473" s="0">
        <f>HYPERLINK("https://dl.dropboxusercontent.com/scl/fi/u3nhad64xbfhntaw6ygrj/105587f08207.jpg?rlkey=j81x26rebt57yxubfgtsf6c28&amp;dl=0","Click to download Image")</f>
      </c>
      <c r="B2473" s="0">
        <f>HYPERLINK("https://dl.dropboxusercontent.com/scl/fi/8l3tuhj12v8gf3z6wes0z/graphic-update22022-infant.jpg?rlkey=tmcuut2kh27kvk7fbx512uhoi&amp;dl=0","Click to download SizeChart")</f>
      </c>
      <c r="C2473" s="0" t="inlineStr">
        <is>
          <t>Ralston Infant Polo</t>
        </is>
      </c>
      <c r="D2473" s="0" t="inlineStr">
        <is>
          <t>'105345</t>
        </is>
      </c>
      <c r="E2473" s="0" t="inlineStr">
        <is>
          <t>RALSTON:105345C - 6-9M</t>
        </is>
      </c>
      <c r="F2473" s="0" t="inlineStr">
        <is>
          <t>'000000000000</t>
        </is>
      </c>
      <c r="G2473" s="0" t="inlineStr">
        <is>
          <t>INFANT</t>
        </is>
      </c>
      <c r="H2473" s="0" t="inlineStr">
        <is>
          <t>6-9M</t>
        </is>
      </c>
      <c r="I2473" s="0">
        <v>19.99</v>
      </c>
      <c r="J2473" s="0">
        <v>41</v>
      </c>
    </row>
    <row r="2474" spans="1:10" customHeight="0">
      <c r="A2474" s="0">
        <f>HYPERLINK("https://dl.dropboxusercontent.com/scl/fi/u3nhad64xbfhntaw6ygrj/105587f08207.jpg?rlkey=j81x26rebt57yxubfgtsf6c28&amp;dl=0","Click to download Image")</f>
      </c>
      <c r="B2474" s="0">
        <f>HYPERLINK("https://dl.dropboxusercontent.com/scl/fi/8l3tuhj12v8gf3z6wes0z/graphic-update22022-infant.jpg?rlkey=tmcuut2kh27kvk7fbx512uhoi&amp;dl=0","Click to download SizeChart")</f>
      </c>
      <c r="C2474" s="0" t="inlineStr">
        <is>
          <t>Ralston Infant Polo</t>
        </is>
      </c>
      <c r="D2474" s="0" t="inlineStr">
        <is>
          <t>'105345</t>
        </is>
      </c>
      <c r="E2474" s="0" t="inlineStr">
        <is>
          <t>RALSTON:105345D - 12M</t>
        </is>
      </c>
      <c r="F2474" s="0" t="inlineStr">
        <is>
          <t>'000000000000</t>
        </is>
      </c>
      <c r="G2474" s="0" t="inlineStr">
        <is>
          <t>INFANT</t>
        </is>
      </c>
      <c r="H2474" s="0" t="inlineStr">
        <is>
          <t>12M</t>
        </is>
      </c>
      <c r="I2474" s="0">
        <v>19.99</v>
      </c>
      <c r="J2474" s="0">
        <v>40</v>
      </c>
    </row>
    <row r="2475" spans="1:10" customHeight="0">
      <c r="A2475" s="0">
        <f>HYPERLINK("https://dl.dropboxusercontent.com/scl/fi/f114ohy39boea642y7bw7/105588f30647.jpg?rlkey=5lghhcul4pwkcm9zz1gi2gx21&amp;dl=0","Click to download Image")</f>
      </c>
      <c r="B2475" s="0">
        <f>HYPERLINK("https://dl.dropboxusercontent.com/scl/fi/8l3tuhj12v8gf3z6wes0z/graphic-update22022-infant.jpg?rlkey=tmcuut2kh27kvk7fbx512uhoi&amp;dl=0","Click to download SizeChart")</f>
      </c>
      <c r="C2475" s="0" t="inlineStr">
        <is>
          <t>Ralston Infant Polo</t>
        </is>
      </c>
      <c r="D2475" s="0" t="inlineStr">
        <is>
          <t>'105472</t>
        </is>
      </c>
      <c r="E2475" s="0" t="inlineStr">
        <is>
          <t>RALSTON:105472A-0-3M</t>
        </is>
      </c>
      <c r="F2475" s="0" t="inlineStr">
        <is>
          <t>'080010547201</t>
        </is>
      </c>
      <c r="G2475" s="0" t="inlineStr">
        <is>
          <t>INFANT</t>
        </is>
      </c>
      <c r="H2475" s="0" t="inlineStr">
        <is>
          <t>0-3M</t>
        </is>
      </c>
      <c r="I2475" s="0">
        <v>19.99</v>
      </c>
      <c r="J2475" s="0">
        <v>61</v>
      </c>
    </row>
    <row r="2476" spans="1:10" customHeight="0">
      <c r="A2476" s="0">
        <f>HYPERLINK("https://dl.dropboxusercontent.com/scl/fi/f114ohy39boea642y7bw7/105588f30647.jpg?rlkey=5lghhcul4pwkcm9zz1gi2gx21&amp;dl=0","Click to download Image")</f>
      </c>
      <c r="B2476" s="0">
        <f>HYPERLINK("https://dl.dropboxusercontent.com/scl/fi/8l3tuhj12v8gf3z6wes0z/graphic-update22022-infant.jpg?rlkey=tmcuut2kh27kvk7fbx512uhoi&amp;dl=0","Click to download SizeChart")</f>
      </c>
      <c r="C2476" s="0" t="inlineStr">
        <is>
          <t>Ralston Infant Polo</t>
        </is>
      </c>
      <c r="D2476" s="0" t="inlineStr">
        <is>
          <t>'105472</t>
        </is>
      </c>
      <c r="E2476" s="0" t="inlineStr">
        <is>
          <t>RALSTON:105472A-0-3M</t>
        </is>
      </c>
      <c r="F2476" s="0" t="inlineStr">
        <is>
          <t>'080010547202</t>
        </is>
      </c>
      <c r="G2476" s="0" t="inlineStr">
        <is>
          <t>INFANT</t>
        </is>
      </c>
      <c r="H2476" s="0" t="inlineStr">
        <is>
          <t>3-6M</t>
        </is>
      </c>
      <c r="I2476" s="0">
        <v>19.99</v>
      </c>
      <c r="J2476" s="0">
        <v>59</v>
      </c>
    </row>
    <row r="2477" spans="1:10" customHeight="0">
      <c r="A2477" s="0">
        <f>HYPERLINK("https://dl.dropboxusercontent.com/scl/fi/f114ohy39boea642y7bw7/105588f30647.jpg?rlkey=5lghhcul4pwkcm9zz1gi2gx21&amp;dl=0","Click to download Image")</f>
      </c>
      <c r="B2477" s="0">
        <f>HYPERLINK("https://dl.dropboxusercontent.com/scl/fi/8l3tuhj12v8gf3z6wes0z/graphic-update22022-infant.jpg?rlkey=tmcuut2kh27kvk7fbx512uhoi&amp;dl=0","Click to download SizeChart")</f>
      </c>
      <c r="C2477" s="0" t="inlineStr">
        <is>
          <t>Ralston Infant Polo</t>
        </is>
      </c>
      <c r="D2477" s="0" t="inlineStr">
        <is>
          <t>'105472</t>
        </is>
      </c>
      <c r="E2477" s="0" t="inlineStr">
        <is>
          <t>RALSTON:105472C-6-9M</t>
        </is>
      </c>
      <c r="F2477" s="0" t="inlineStr">
        <is>
          <t>'080010547203</t>
        </is>
      </c>
      <c r="G2477" s="0" t="inlineStr">
        <is>
          <t>INFANT</t>
        </is>
      </c>
      <c r="H2477" s="0" t="inlineStr">
        <is>
          <t>6-9M</t>
        </is>
      </c>
      <c r="I2477" s="0">
        <v>19.99</v>
      </c>
      <c r="J2477" s="0">
        <v>49</v>
      </c>
    </row>
    <row r="2478" spans="1:10" customHeight="0">
      <c r="A2478" s="0">
        <f>HYPERLINK("https://dl.dropboxusercontent.com/scl/fi/f114ohy39boea642y7bw7/105588f30647.jpg?rlkey=5lghhcul4pwkcm9zz1gi2gx21&amp;dl=0","Click to download Image")</f>
      </c>
      <c r="B2478" s="0">
        <f>HYPERLINK("https://dl.dropboxusercontent.com/scl/fi/8l3tuhj12v8gf3z6wes0z/graphic-update22022-infant.jpg?rlkey=tmcuut2kh27kvk7fbx512uhoi&amp;dl=0","Click to download SizeChart")</f>
      </c>
      <c r="C2478" s="0" t="inlineStr">
        <is>
          <t>Ralston Infant Polo</t>
        </is>
      </c>
      <c r="D2478" s="0" t="inlineStr">
        <is>
          <t>'105472</t>
        </is>
      </c>
      <c r="E2478" s="0" t="inlineStr">
        <is>
          <t>RALSTON:105472D-12M</t>
        </is>
      </c>
      <c r="F2478" s="0" t="inlineStr">
        <is>
          <t>'080010547204</t>
        </is>
      </c>
      <c r="G2478" s="0" t="inlineStr">
        <is>
          <t>INFANT</t>
        </is>
      </c>
      <c r="H2478" s="0" t="inlineStr">
        <is>
          <t>12M</t>
        </is>
      </c>
      <c r="I2478" s="0">
        <v>19.99</v>
      </c>
      <c r="J2478" s="0">
        <v>50</v>
      </c>
    </row>
    <row r="2479" spans="1:10" customHeight="0">
      <c r="A2479" s="0">
        <f>HYPERLINK("https://dl.dropboxusercontent.com/scl/fi/6waq6m9wl3yh5g6xvok18/109809-af.jpg?rlkey=gtmqe3t389jb153b0f78rvqi0&amp;dl=0","Click to download Image")</f>
      </c>
      <c r="B2479" s="0">
        <f>HYPERLINK("https://dl.dropboxusercontent.com/scl/fi/gu6u7jqhv2uwdtl6f0zih/graphic-update22022-toddler.jpg?rlkey=ntiyq03pa3q0xeyvglg0zjhi1&amp;dl=0","Click to download SizeChart")</f>
      </c>
      <c r="C2479" s="0" t="inlineStr">
        <is>
          <t>Westerly Henley Toddler T-Shirt</t>
        </is>
      </c>
      <c r="D2479" s="0" t="inlineStr">
        <is>
          <t>'109809</t>
        </is>
      </c>
      <c r="E2479" s="0" t="inlineStr">
        <is>
          <t>IOWA WESTERLY:109809A-2T</t>
        </is>
      </c>
      <c r="F2479" s="0" t="inlineStr">
        <is>
          <t>'800109809012</t>
        </is>
      </c>
      <c r="G2479" s="0" t="inlineStr">
        <is>
          <t>TODDLER</t>
        </is>
      </c>
      <c r="H2479" s="0" t="inlineStr">
        <is>
          <t>2T</t>
        </is>
      </c>
      <c r="I2479" s="0">
        <v>25.99</v>
      </c>
      <c r="J2479" s="0">
        <v>34</v>
      </c>
    </row>
    <row r="2480" spans="1:10" customHeight="0">
      <c r="A2480" s="0">
        <f>HYPERLINK("https://dl.dropboxusercontent.com/scl/fi/6waq6m9wl3yh5g6xvok18/109809-af.jpg?rlkey=gtmqe3t389jb153b0f78rvqi0&amp;dl=0","Click to download Image")</f>
      </c>
      <c r="B2480" s="0">
        <f>HYPERLINK("https://dl.dropboxusercontent.com/scl/fi/gu6u7jqhv2uwdtl6f0zih/graphic-update22022-toddler.jpg?rlkey=ntiyq03pa3q0xeyvglg0zjhi1&amp;dl=0","Click to download SizeChart")</f>
      </c>
      <c r="C2480" s="0" t="inlineStr">
        <is>
          <t>Westerly Henley Toddler T-Shirt</t>
        </is>
      </c>
      <c r="D2480" s="0" t="inlineStr">
        <is>
          <t>'109809</t>
        </is>
      </c>
      <c r="E2480" s="0" t="inlineStr">
        <is>
          <t>IOWA WESTERLY:109809B-3T</t>
        </is>
      </c>
      <c r="F2480" s="0" t="inlineStr">
        <is>
          <t>'800109809029</t>
        </is>
      </c>
      <c r="G2480" s="0" t="inlineStr">
        <is>
          <t>TODDLER</t>
        </is>
      </c>
      <c r="H2480" s="0" t="inlineStr">
        <is>
          <t>3T</t>
        </is>
      </c>
      <c r="I2480" s="0">
        <v>25.99</v>
      </c>
      <c r="J2480" s="0">
        <v>32</v>
      </c>
    </row>
    <row r="2481" spans="1:10" customHeight="0">
      <c r="A2481" s="0">
        <f>HYPERLINK("https://dl.dropboxusercontent.com/scl/fi/6waq6m9wl3yh5g6xvok18/109809-af.jpg?rlkey=gtmqe3t389jb153b0f78rvqi0&amp;dl=0","Click to download Image")</f>
      </c>
      <c r="B2481" s="0">
        <f>HYPERLINK("https://dl.dropboxusercontent.com/scl/fi/gu6u7jqhv2uwdtl6f0zih/graphic-update22022-toddler.jpg?rlkey=ntiyq03pa3q0xeyvglg0zjhi1&amp;dl=0","Click to download SizeChart")</f>
      </c>
      <c r="C2481" s="0" t="inlineStr">
        <is>
          <t>Westerly Henley Toddler T-Shirt</t>
        </is>
      </c>
      <c r="D2481" s="0" t="inlineStr">
        <is>
          <t>'109809</t>
        </is>
      </c>
      <c r="E2481" s="0" t="inlineStr">
        <is>
          <t>IOWA WESTERLY:109809C-4T</t>
        </is>
      </c>
      <c r="F2481" s="0" t="inlineStr">
        <is>
          <t>'800109809036</t>
        </is>
      </c>
      <c r="G2481" s="0" t="inlineStr">
        <is>
          <t>TODDLER</t>
        </is>
      </c>
      <c r="H2481" s="0" t="inlineStr">
        <is>
          <t>4T</t>
        </is>
      </c>
      <c r="I2481" s="0">
        <v>25.99</v>
      </c>
      <c r="J2481" s="0">
        <v>34</v>
      </c>
    </row>
    <row r="2482" spans="1:10" customHeight="0">
      <c r="A2482" s="0">
        <f>HYPERLINK("https://dl.dropboxusercontent.com/scl/fi/6waq6m9wl3yh5g6xvok18/109809-af.jpg?rlkey=gtmqe3t389jb153b0f78rvqi0&amp;dl=0","Click to download Image")</f>
      </c>
      <c r="B2482" s="0">
        <f>HYPERLINK("https://dl.dropboxusercontent.com/scl/fi/gu6u7jqhv2uwdtl6f0zih/graphic-update22022-toddler.jpg?rlkey=ntiyq03pa3q0xeyvglg0zjhi1&amp;dl=0","Click to download SizeChart")</f>
      </c>
      <c r="C2482" s="0" t="inlineStr">
        <is>
          <t>Westerly Henley Toddler T-Shirt</t>
        </is>
      </c>
      <c r="D2482" s="0" t="inlineStr">
        <is>
          <t>'109809</t>
        </is>
      </c>
      <c r="E2482" s="0" t="inlineStr">
        <is>
          <t>IOWA WESTERLY:109809D-5T</t>
        </is>
      </c>
      <c r="F2482" s="0" t="inlineStr">
        <is>
          <t>'800109809043</t>
        </is>
      </c>
      <c r="G2482" s="0" t="inlineStr">
        <is>
          <t>TODDLER</t>
        </is>
      </c>
      <c r="H2482" s="0" t="inlineStr">
        <is>
          <t>5T</t>
        </is>
      </c>
      <c r="I2482" s="0">
        <v>25.99</v>
      </c>
      <c r="J2482" s="0">
        <v>33</v>
      </c>
    </row>
    <row r="2483" spans="1:10" customHeight="0">
      <c r="A2483" s="0">
        <f>HYPERLINK("https://dl.dropboxusercontent.com/scl/fi/6waq6m9wl3yh5g6xvok18/109809-af.jpg?rlkey=gtmqe3t389jb153b0f78rvqi0&amp;dl=0","Click to download Image")</f>
      </c>
      <c r="B2483" s="0">
        <f>HYPERLINK("https://dl.dropboxusercontent.com/scl/fi/gu6u7jqhv2uwdtl6f0zih/graphic-update22022-toddler.jpg?rlkey=ntiyq03pa3q0xeyvglg0zjhi1&amp;dl=0","Click to download SizeChart")</f>
      </c>
      <c r="C2483" s="0" t="inlineStr">
        <is>
          <t>Westerly Henley Toddler T-Shirt</t>
        </is>
      </c>
      <c r="D2483" s="0" t="inlineStr">
        <is>
          <t>'109809</t>
        </is>
      </c>
      <c r="E2483" s="0" t="inlineStr">
        <is>
          <t>IOWA WESTERLEY 12 PACK:109809Z-12PK</t>
        </is>
      </c>
      <c r="F2483" s="0" t="inlineStr">
        <is>
          <t>'800109809104</t>
        </is>
      </c>
      <c r="G2483" s="0" t="inlineStr">
        <is>
          <t>TODDLER</t>
        </is>
      </c>
      <c r="H2483" s="0" t="inlineStr">
        <is>
          <t>12 PACK</t>
        </is>
      </c>
      <c r="I2483" s="0">
        <v>25.99</v>
      </c>
      <c r="J2483" s="0">
        <v>0</v>
      </c>
    </row>
    <row r="2484" spans="1:10" customHeight="0">
      <c r="A2484" s="0">
        <f>HYPERLINK("https://dl.dropboxusercontent.com/scl/fi/ed2sdx6z1sth4s1grui5r/110807-af.jpg?rlkey=6li3njyboh5u5gmlbvjhwqkhr&amp;dl=0","Click to download Image")</f>
      </c>
      <c r="C2484" s="0" t="inlineStr">
        <is>
          <t>Vail Youth Cap </t>
        </is>
      </c>
      <c r="D2484" s="0" t="inlineStr">
        <is>
          <t>'110807</t>
        </is>
      </c>
      <c r="E2484" s="0" t="inlineStr">
        <is>
          <t>IOWA VAIL BLACK:110807</t>
        </is>
      </c>
      <c r="F2484" s="0" t="inlineStr">
        <is>
          <t>'700110807017</t>
        </is>
      </c>
      <c r="G2484" s="0" t="inlineStr">
        <is>
          <t>YOUTH</t>
        </is>
      </c>
      <c r="H2484" s="0" t="inlineStr">
        <is>
          <t>STANDARD:55CM</t>
        </is>
      </c>
      <c r="I2484" s="0">
        <v>19.99</v>
      </c>
      <c r="J2484" s="0">
        <v>56</v>
      </c>
    </row>
    <row r="2485" spans="1:10" customHeight="0">
      <c r="A2485" s="0">
        <f>HYPERLINK("https://dl.dropboxusercontent.com/scl/fi/zckd8k1oy8a46rb6fzq7t/109893-af.jpg?rlkey=kpjlbvrswlhvravt50hcibrfc&amp;dl=0","Click to download Image")</f>
      </c>
      <c r="C2485" s="0" t="inlineStr">
        <is>
          <t>Vail Youth Cap </t>
        </is>
      </c>
      <c r="D2485" s="0" t="inlineStr">
        <is>
          <t>'109893</t>
        </is>
      </c>
      <c r="E2485" s="0" t="inlineStr">
        <is>
          <t>ISU VAIL CARDINAL:109893</t>
        </is>
      </c>
      <c r="F2485" s="0" t="inlineStr">
        <is>
          <t>'700109893014</t>
        </is>
      </c>
      <c r="G2485" s="0" t="inlineStr">
        <is>
          <t>YOUTH</t>
        </is>
      </c>
      <c r="H2485" s="0" t="inlineStr">
        <is>
          <t>STANDARD:55CM</t>
        </is>
      </c>
      <c r="I2485" s="0">
        <v>19.99</v>
      </c>
      <c r="J2485" s="0">
        <v>51</v>
      </c>
    </row>
    <row r="2486" spans="1:10" customHeight="0">
      <c r="A2486" s="0">
        <f>HYPERLINK("https://dl.dropboxusercontent.com/scl/fi/u8hu3hcjb4b23pl5mrm6q/super.jpg?rlkey=8928pebukxs9gvc3loag5qwqx&amp;dl=0","Click to download Image")</f>
      </c>
      <c r="B2486" s="0">
        <f>HYPERLINK("https://dl.dropboxusercontent.com/scl/fi/h5bn50rbxiibvrhgrqab3/graphic-update22022-infant.jpg?rlkey=lnuk4v536ay3mv5ncxj6uf77w&amp;dl=0","Click to download SizeChart")</f>
      </c>
      <c r="C2486" s="0" t="inlineStr">
        <is>
          <t>Super Hero Bodysuit</t>
        </is>
      </c>
      <c r="D2486" s="0" t="inlineStr">
        <is>
          <t>'94988</t>
        </is>
      </c>
      <c r="E2486" s="0" t="inlineStr">
        <is>
          <t>SUPER HERO:94988 0M-3M</t>
        </is>
      </c>
      <c r="F2486" s="0" t="inlineStr">
        <is>
          <t>'080009498801</t>
        </is>
      </c>
      <c r="G2486" s="0" t="inlineStr">
        <is>
          <t>INFANT</t>
        </is>
      </c>
      <c r="H2486" s="0" t="inlineStr">
        <is>
          <t>0-3M</t>
        </is>
      </c>
      <c r="I2486" s="0">
        <v>19.99</v>
      </c>
      <c r="J2486" s="0">
        <v>19</v>
      </c>
    </row>
    <row r="2487" spans="1:10" customHeight="0">
      <c r="A2487" s="0">
        <f>HYPERLINK("https://dl.dropboxusercontent.com/scl/fi/u8hu3hcjb4b23pl5mrm6q/super.jpg?rlkey=8928pebukxs9gvc3loag5qwqx&amp;dl=0","Click to download Image")</f>
      </c>
      <c r="B2487" s="0">
        <f>HYPERLINK("https://dl.dropboxusercontent.com/scl/fi/h5bn50rbxiibvrhgrqab3/graphic-update22022-infant.jpg?rlkey=lnuk4v536ay3mv5ncxj6uf77w&amp;dl=0","Click to download SizeChart")</f>
      </c>
      <c r="C2487" s="0" t="inlineStr">
        <is>
          <t>Super Hero Bodysuit</t>
        </is>
      </c>
      <c r="D2487" s="0" t="inlineStr">
        <is>
          <t>'94988</t>
        </is>
      </c>
      <c r="E2487" s="0" t="inlineStr">
        <is>
          <t>SUPER HERO:94988 3M-6M</t>
        </is>
      </c>
      <c r="F2487" s="0" t="inlineStr">
        <is>
          <t>'080009498802</t>
        </is>
      </c>
      <c r="G2487" s="0" t="inlineStr">
        <is>
          <t>INFANT</t>
        </is>
      </c>
      <c r="H2487" s="0" t="inlineStr">
        <is>
          <t>3-6M</t>
        </is>
      </c>
      <c r="I2487" s="0">
        <v>19.99</v>
      </c>
      <c r="J2487" s="0">
        <v>12</v>
      </c>
    </row>
    <row r="2488" spans="1:10" customHeight="0">
      <c r="A2488" s="0">
        <f>HYPERLINK("https://dl.dropboxusercontent.com/scl/fi/u8hu3hcjb4b23pl5mrm6q/super.jpg?rlkey=8928pebukxs9gvc3loag5qwqx&amp;dl=0","Click to download Image")</f>
      </c>
      <c r="B2488" s="0">
        <f>HYPERLINK("https://dl.dropboxusercontent.com/scl/fi/h5bn50rbxiibvrhgrqab3/graphic-update22022-infant.jpg?rlkey=lnuk4v536ay3mv5ncxj6uf77w&amp;dl=0","Click to download SizeChart")</f>
      </c>
      <c r="C2488" s="0" t="inlineStr">
        <is>
          <t>Super Hero Bodysuit</t>
        </is>
      </c>
      <c r="D2488" s="0" t="inlineStr">
        <is>
          <t>'94988</t>
        </is>
      </c>
      <c r="E2488" s="0" t="inlineStr">
        <is>
          <t>SUPER HERO:94988 6M-9M</t>
        </is>
      </c>
      <c r="F2488" s="0" t="inlineStr">
        <is>
          <t>'080009498803</t>
        </is>
      </c>
      <c r="G2488" s="0" t="inlineStr">
        <is>
          <t>INFANT</t>
        </is>
      </c>
      <c r="H2488" s="0" t="inlineStr">
        <is>
          <t>6-9M</t>
        </is>
      </c>
      <c r="I2488" s="0">
        <v>19.99</v>
      </c>
      <c r="J2488" s="0">
        <v>17</v>
      </c>
    </row>
    <row r="2489" spans="1:10" customHeight="0">
      <c r="A2489" s="0">
        <f>HYPERLINK("https://dl.dropboxusercontent.com/scl/fi/u8hu3hcjb4b23pl5mrm6q/super.jpg?rlkey=8928pebukxs9gvc3loag5qwqx&amp;dl=0","Click to download Image")</f>
      </c>
      <c r="B2489" s="0">
        <f>HYPERLINK("https://dl.dropboxusercontent.com/scl/fi/h5bn50rbxiibvrhgrqab3/graphic-update22022-infant.jpg?rlkey=lnuk4v536ay3mv5ncxj6uf77w&amp;dl=0","Click to download SizeChart")</f>
      </c>
      <c r="C2489" s="0" t="inlineStr">
        <is>
          <t>Super Hero Bodysuit</t>
        </is>
      </c>
      <c r="D2489" s="0" t="inlineStr">
        <is>
          <t>'94988</t>
        </is>
      </c>
      <c r="E2489" s="0" t="inlineStr">
        <is>
          <t>SUPER HERO:94988 9M-12M</t>
        </is>
      </c>
      <c r="F2489" s="0" t="inlineStr">
        <is>
          <t>'080009498804</t>
        </is>
      </c>
      <c r="G2489" s="0" t="inlineStr">
        <is>
          <t>INFANT</t>
        </is>
      </c>
      <c r="H2489" s="0" t="inlineStr">
        <is>
          <t>12M</t>
        </is>
      </c>
      <c r="I2489" s="0">
        <v>19.99</v>
      </c>
      <c r="J2489" s="0">
        <v>14</v>
      </c>
    </row>
    <row r="2490" spans="1:10" customHeight="0">
      <c r="A2490" s="0">
        <f>HYPERLINK("https://dl.dropboxusercontent.com/scl/fi/duuxavj8szjq6wuji2h7k/sunglass.jpg?rlkey=wk33vltd2v79zf9lmb55roj17&amp;dl=0","Click to download Image")</f>
      </c>
      <c r="C2490" s="0" t="inlineStr">
        <is>
          <t>Neoprene Sunglass Case &amp; Strap</t>
        </is>
      </c>
      <c r="D2490" s="0" t="inlineStr">
        <is>
          <t>'102750</t>
        </is>
      </c>
      <c r="E2490" s="0" t="inlineStr">
        <is>
          <t>SUNGLASSES:102750</t>
        </is>
      </c>
      <c r="F2490" s="0" t="inlineStr">
        <is>
          <t>'900102750011</t>
        </is>
      </c>
      <c r="H2490" s="0" t="inlineStr">
        <is>
          <t>ONE SIZE</t>
        </is>
      </c>
      <c r="I2490" s="0">
        <v>21.99</v>
      </c>
      <c r="J2490" s="0">
        <v>647</v>
      </c>
    </row>
    <row r="2491" spans="1:10" customHeight="0">
      <c r="A2491" s="0">
        <f>HYPERLINK("https://dl.dropboxusercontent.com/scl/fi/s33gus27evotg7i1zw6or/111662-af.jpg?rlkey=vuvd8tz9pdtjh3dugf7xjt9g5&amp;dl=0","Click to download Image")</f>
      </c>
      <c r="B2491" s="0">
        <f>HYPERLINK("https://dl.dropboxusercontent.com/scl/fi/nispshx74qqyjefehsno0/8-19-women-s.jpg?rlkey=91jaaoejgtokcnsr48ld717c4&amp;dl=0","Click to download SizeChart")</f>
      </c>
      <c r="C2491" s="0" t="inlineStr">
        <is>
          <t>Sandra Women's Open Back T-Shirt</t>
        </is>
      </c>
      <c r="D2491" s="0" t="inlineStr">
        <is>
          <t>'111662</t>
        </is>
      </c>
      <c r="E2491" s="0" t="inlineStr">
        <is>
          <t>IOWA SANDRA GOLD:111662AA-XS</t>
        </is>
      </c>
      <c r="F2491" s="0" t="inlineStr">
        <is>
          <t>'800111662032</t>
        </is>
      </c>
      <c r="G2491" s="0" t="inlineStr">
        <is>
          <t>WOMENS</t>
        </is>
      </c>
      <c r="H2491" s="0" t="inlineStr">
        <is>
          <t>XS</t>
        </is>
      </c>
      <c r="I2491" s="0">
        <v>34.99</v>
      </c>
      <c r="J2491" s="0">
        <v>31</v>
      </c>
    </row>
    <row r="2492" spans="1:10" customHeight="0">
      <c r="A2492" s="0">
        <f>HYPERLINK("https://dl.dropboxusercontent.com/scl/fi/s33gus27evotg7i1zw6or/111662-af.jpg?rlkey=vuvd8tz9pdtjh3dugf7xjt9g5&amp;dl=0","Click to download Image")</f>
      </c>
      <c r="B2492" s="0">
        <f>HYPERLINK("https://dl.dropboxusercontent.com/scl/fi/nispshx74qqyjefehsno0/8-19-women-s.jpg?rlkey=91jaaoejgtokcnsr48ld717c4&amp;dl=0","Click to download SizeChart")</f>
      </c>
      <c r="C2492" s="0" t="inlineStr">
        <is>
          <t>Sandra Women's Open Back T-Shirt</t>
        </is>
      </c>
      <c r="D2492" s="0" t="inlineStr">
        <is>
          <t>'111662</t>
        </is>
      </c>
      <c r="E2492" s="0" t="inlineStr">
        <is>
          <t>IOWA SANDRA GOLD:111662A-S</t>
        </is>
      </c>
      <c r="F2492" s="0" t="inlineStr">
        <is>
          <t>'800111662049</t>
        </is>
      </c>
      <c r="G2492" s="0" t="inlineStr">
        <is>
          <t>WOMENS</t>
        </is>
      </c>
      <c r="H2492" s="0" t="inlineStr">
        <is>
          <t>S</t>
        </is>
      </c>
      <c r="I2492" s="0">
        <v>34.99</v>
      </c>
      <c r="J2492" s="0">
        <v>48</v>
      </c>
    </row>
    <row r="2493" spans="1:10" customHeight="0">
      <c r="A2493" s="0">
        <f>HYPERLINK("https://dl.dropboxusercontent.com/scl/fi/s33gus27evotg7i1zw6or/111662-af.jpg?rlkey=vuvd8tz9pdtjh3dugf7xjt9g5&amp;dl=0","Click to download Image")</f>
      </c>
      <c r="B2493" s="0">
        <f>HYPERLINK("https://dl.dropboxusercontent.com/scl/fi/nispshx74qqyjefehsno0/8-19-women-s.jpg?rlkey=91jaaoejgtokcnsr48ld717c4&amp;dl=0","Click to download SizeChart")</f>
      </c>
      <c r="C2493" s="0" t="inlineStr">
        <is>
          <t>Sandra Women's Open Back T-Shirt</t>
        </is>
      </c>
      <c r="D2493" s="0" t="inlineStr">
        <is>
          <t>'111662</t>
        </is>
      </c>
      <c r="E2493" s="0" t="inlineStr">
        <is>
          <t>IOWA SANDRA GOLD:111662B-M</t>
        </is>
      </c>
      <c r="F2493" s="0" t="inlineStr">
        <is>
          <t>'800111662056</t>
        </is>
      </c>
      <c r="G2493" s="0" t="inlineStr">
        <is>
          <t>WOMENS</t>
        </is>
      </c>
      <c r="H2493" s="0" t="inlineStr">
        <is>
          <t>M</t>
        </is>
      </c>
      <c r="I2493" s="0">
        <v>34.99</v>
      </c>
      <c r="J2493" s="0">
        <v>48</v>
      </c>
    </row>
    <row r="2494" spans="1:10" customHeight="0">
      <c r="A2494" s="0">
        <f>HYPERLINK("https://dl.dropboxusercontent.com/scl/fi/s33gus27evotg7i1zw6or/111662-af.jpg?rlkey=vuvd8tz9pdtjh3dugf7xjt9g5&amp;dl=0","Click to download Image")</f>
      </c>
      <c r="B2494" s="0">
        <f>HYPERLINK("https://dl.dropboxusercontent.com/scl/fi/nispshx74qqyjefehsno0/8-19-women-s.jpg?rlkey=91jaaoejgtokcnsr48ld717c4&amp;dl=0","Click to download SizeChart")</f>
      </c>
      <c r="C2494" s="0" t="inlineStr">
        <is>
          <t>Sandra Women's Open Back T-Shirt</t>
        </is>
      </c>
      <c r="D2494" s="0" t="inlineStr">
        <is>
          <t>'111662</t>
        </is>
      </c>
      <c r="E2494" s="0" t="inlineStr">
        <is>
          <t>IOWA SANDRA GOLD:111662C-L</t>
        </is>
      </c>
      <c r="F2494" s="0" t="inlineStr">
        <is>
          <t>'800111662063</t>
        </is>
      </c>
      <c r="G2494" s="0" t="inlineStr">
        <is>
          <t>WOMENS</t>
        </is>
      </c>
      <c r="H2494" s="0" t="inlineStr">
        <is>
          <t>L</t>
        </is>
      </c>
      <c r="I2494" s="0">
        <v>34.99</v>
      </c>
      <c r="J2494" s="0">
        <v>29</v>
      </c>
    </row>
    <row r="2495" spans="1:10" customHeight="0">
      <c r="A2495" s="0">
        <f>HYPERLINK("https://dl.dropboxusercontent.com/scl/fi/s33gus27evotg7i1zw6or/111662-af.jpg?rlkey=vuvd8tz9pdtjh3dugf7xjt9g5&amp;dl=0","Click to download Image")</f>
      </c>
      <c r="B2495" s="0">
        <f>HYPERLINK("https://dl.dropboxusercontent.com/scl/fi/nispshx74qqyjefehsno0/8-19-women-s.jpg?rlkey=91jaaoejgtokcnsr48ld717c4&amp;dl=0","Click to download SizeChart")</f>
      </c>
      <c r="C2495" s="0" t="inlineStr">
        <is>
          <t>Sandra Women's Open Back T-Shirt</t>
        </is>
      </c>
      <c r="D2495" s="0" t="inlineStr">
        <is>
          <t>'111662</t>
        </is>
      </c>
      <c r="E2495" s="0" t="inlineStr">
        <is>
          <t>IOWA SANDRA GOLD:111662D-XL</t>
        </is>
      </c>
      <c r="F2495" s="0" t="inlineStr">
        <is>
          <t>'800111662070</t>
        </is>
      </c>
      <c r="G2495" s="0" t="inlineStr">
        <is>
          <t>WOMENS</t>
        </is>
      </c>
      <c r="H2495" s="0" t="inlineStr">
        <is>
          <t>XL</t>
        </is>
      </c>
      <c r="I2495" s="0">
        <v>34.99</v>
      </c>
      <c r="J2495" s="0">
        <v>31</v>
      </c>
    </row>
    <row r="2496" spans="1:10" customHeight="0">
      <c r="A2496" s="0">
        <f>HYPERLINK("https://dl.dropboxusercontent.com/scl/fi/s33gus27evotg7i1zw6or/111662-af.jpg?rlkey=vuvd8tz9pdtjh3dugf7xjt9g5&amp;dl=0","Click to download Image")</f>
      </c>
      <c r="B2496" s="0">
        <f>HYPERLINK("https://dl.dropboxusercontent.com/scl/fi/nispshx74qqyjefehsno0/8-19-women-s.jpg?rlkey=91jaaoejgtokcnsr48ld717c4&amp;dl=0","Click to download SizeChart")</f>
      </c>
      <c r="C2496" s="0" t="inlineStr">
        <is>
          <t>Sandra Women's Open Back T-Shirt</t>
        </is>
      </c>
      <c r="D2496" s="0" t="inlineStr">
        <is>
          <t>'111662</t>
        </is>
      </c>
      <c r="E2496" s="0" t="inlineStr">
        <is>
          <t>IOWA SANDRA GOLD:111662E-2XL</t>
        </is>
      </c>
      <c r="F2496" s="0" t="inlineStr">
        <is>
          <t>'800111662087</t>
        </is>
      </c>
      <c r="G2496" s="0" t="inlineStr">
        <is>
          <t>WOMENS</t>
        </is>
      </c>
      <c r="H2496" s="0" t="inlineStr">
        <is>
          <t>2XL</t>
        </is>
      </c>
      <c r="I2496" s="0">
        <v>34.99</v>
      </c>
      <c r="J2496" s="0">
        <v>15</v>
      </c>
    </row>
    <row r="2497" spans="1:10" customHeight="0">
      <c r="A2497" s="0">
        <f>HYPERLINK("https://dl.dropboxusercontent.com/scl/fi/s33gus27evotg7i1zw6or/111662-af.jpg?rlkey=vuvd8tz9pdtjh3dugf7xjt9g5&amp;dl=0","Click to download Image")</f>
      </c>
      <c r="B2497" s="0">
        <f>HYPERLINK("https://dl.dropboxusercontent.com/scl/fi/nispshx74qqyjefehsno0/8-19-women-s.jpg?rlkey=91jaaoejgtokcnsr48ld717c4&amp;dl=0","Click to download SizeChart")</f>
      </c>
      <c r="C2497" s="0" t="inlineStr">
        <is>
          <t>Sandra Women's Open Back T-Shirt</t>
        </is>
      </c>
      <c r="D2497" s="0" t="inlineStr">
        <is>
          <t>'111662</t>
        </is>
      </c>
      <c r="E2497" s="0" t="inlineStr">
        <is>
          <t>IOWA SANDRA GOLD:111662F-3XL</t>
        </is>
      </c>
      <c r="F2497" s="0" t="inlineStr">
        <is>
          <t>'800111662094</t>
        </is>
      </c>
      <c r="G2497" s="0" t="inlineStr">
        <is>
          <t>WOMENS</t>
        </is>
      </c>
      <c r="H2497" s="0" t="inlineStr">
        <is>
          <t>3XL</t>
        </is>
      </c>
      <c r="I2497" s="0">
        <v>34.99</v>
      </c>
      <c r="J2497" s="0">
        <v>16</v>
      </c>
    </row>
    <row r="2498" spans="1:10" customHeight="0">
      <c r="A2498" s="0">
        <f>HYPERLINK("https://dl.dropboxusercontent.com/scl/fi/s33gus27evotg7i1zw6or/111662-af.jpg?rlkey=vuvd8tz9pdtjh3dugf7xjt9g5&amp;dl=0","Click to download Image")</f>
      </c>
      <c r="B2498" s="0">
        <f>HYPERLINK("https://dl.dropboxusercontent.com/scl/fi/nispshx74qqyjefehsno0/8-19-women-s.jpg?rlkey=91jaaoejgtokcnsr48ld717c4&amp;dl=0","Click to download SizeChart")</f>
      </c>
      <c r="C2498" s="0" t="inlineStr">
        <is>
          <t>Sandra Women's Open Back T-Shirt</t>
        </is>
      </c>
      <c r="D2498" s="0" t="inlineStr">
        <is>
          <t>'111662</t>
        </is>
      </c>
      <c r="E2498" s="0" t="inlineStr">
        <is>
          <t>IOWA SANDRA GOLD 12 PACK:111662Z-12PK</t>
        </is>
      </c>
      <c r="F2498" s="0" t="inlineStr">
        <is>
          <t>'800111662995</t>
        </is>
      </c>
      <c r="G2498" s="0" t="inlineStr">
        <is>
          <t>WOMENS</t>
        </is>
      </c>
      <c r="H2498" s="0" t="inlineStr">
        <is>
          <t>12 PACK</t>
        </is>
      </c>
      <c r="I2498" s="0">
        <v>34.99</v>
      </c>
      <c r="J2498" s="0">
        <v>0</v>
      </c>
    </row>
    <row r="2499" spans="1:10" customHeight="0">
      <c r="A2499" s="0">
        <f>HYPERLINK("https://dl.dropboxusercontent.com/scl/fi/b5c2gfoaoukoltyf9c4gq/111661-af.jpg?rlkey=ej25xa34fjvfdww6ojwg4vfbz&amp;dl=0","Click to download Image")</f>
      </c>
      <c r="B2499" s="0">
        <f>HYPERLINK("https://dl.dropboxusercontent.com/scl/fi/nispshx74qqyjefehsno0/8-19-women-s.jpg?rlkey=91jaaoejgtokcnsr48ld717c4&amp;dl=0","Click to download SizeChart")</f>
      </c>
      <c r="C2499" s="0" t="inlineStr">
        <is>
          <t>Sandra Women's Open Back T-Shirt</t>
        </is>
      </c>
      <c r="D2499" s="0" t="inlineStr">
        <is>
          <t>'111661</t>
        </is>
      </c>
      <c r="E2499" s="0" t="inlineStr">
        <is>
          <t>IOWA SANDRA WHITE:111661AA-XS</t>
        </is>
      </c>
      <c r="F2499" s="0" t="inlineStr">
        <is>
          <t>'800111661035</t>
        </is>
      </c>
      <c r="G2499" s="0" t="inlineStr">
        <is>
          <t>WOMENS</t>
        </is>
      </c>
      <c r="H2499" s="0" t="inlineStr">
        <is>
          <t>XS</t>
        </is>
      </c>
      <c r="I2499" s="0">
        <v>34.99</v>
      </c>
      <c r="J2499" s="0">
        <v>23</v>
      </c>
    </row>
    <row r="2500" spans="1:10" customHeight="0">
      <c r="A2500" s="0">
        <f>HYPERLINK("https://dl.dropboxusercontent.com/scl/fi/b5c2gfoaoukoltyf9c4gq/111661-af.jpg?rlkey=ej25xa34fjvfdww6ojwg4vfbz&amp;dl=0","Click to download Image")</f>
      </c>
      <c r="B2500" s="0">
        <f>HYPERLINK("https://dl.dropboxusercontent.com/scl/fi/nispshx74qqyjefehsno0/8-19-women-s.jpg?rlkey=91jaaoejgtokcnsr48ld717c4&amp;dl=0","Click to download SizeChart")</f>
      </c>
      <c r="C2500" s="0" t="inlineStr">
        <is>
          <t>Sandra Women's Open Back T-Shirt</t>
        </is>
      </c>
      <c r="D2500" s="0" t="inlineStr">
        <is>
          <t>'111661</t>
        </is>
      </c>
      <c r="E2500" s="0" t="inlineStr">
        <is>
          <t>IOWA SANDRA WHITE:111661A-S</t>
        </is>
      </c>
      <c r="F2500" s="0" t="inlineStr">
        <is>
          <t>'800111661042</t>
        </is>
      </c>
      <c r="G2500" s="0" t="inlineStr">
        <is>
          <t>WOMENS</t>
        </is>
      </c>
      <c r="H2500" s="0" t="inlineStr">
        <is>
          <t>S</t>
        </is>
      </c>
      <c r="I2500" s="0">
        <v>34.99</v>
      </c>
      <c r="J2500" s="0">
        <v>34</v>
      </c>
    </row>
    <row r="2501" spans="1:10" customHeight="0">
      <c r="A2501" s="0">
        <f>HYPERLINK("https://dl.dropboxusercontent.com/scl/fi/b5c2gfoaoukoltyf9c4gq/111661-af.jpg?rlkey=ej25xa34fjvfdww6ojwg4vfbz&amp;dl=0","Click to download Image")</f>
      </c>
      <c r="B2501" s="0">
        <f>HYPERLINK("https://dl.dropboxusercontent.com/scl/fi/nispshx74qqyjefehsno0/8-19-women-s.jpg?rlkey=91jaaoejgtokcnsr48ld717c4&amp;dl=0","Click to download SizeChart")</f>
      </c>
      <c r="C2501" s="0" t="inlineStr">
        <is>
          <t>Sandra Women's Open Back T-Shirt</t>
        </is>
      </c>
      <c r="D2501" s="0" t="inlineStr">
        <is>
          <t>'111661</t>
        </is>
      </c>
      <c r="E2501" s="0" t="inlineStr">
        <is>
          <t>IOWA SANDRA WHITE:111661B-M</t>
        </is>
      </c>
      <c r="F2501" s="0" t="inlineStr">
        <is>
          <t>'800111661059</t>
        </is>
      </c>
      <c r="G2501" s="0" t="inlineStr">
        <is>
          <t>WOMENS</t>
        </is>
      </c>
      <c r="H2501" s="0" t="inlineStr">
        <is>
          <t>M</t>
        </is>
      </c>
      <c r="I2501" s="0">
        <v>34.99</v>
      </c>
      <c r="J2501" s="0">
        <v>36</v>
      </c>
    </row>
    <row r="2502" spans="1:10" customHeight="0">
      <c r="A2502" s="0">
        <f>HYPERLINK("https://dl.dropboxusercontent.com/scl/fi/b5c2gfoaoukoltyf9c4gq/111661-af.jpg?rlkey=ej25xa34fjvfdww6ojwg4vfbz&amp;dl=0","Click to download Image")</f>
      </c>
      <c r="B2502" s="0">
        <f>HYPERLINK("https://dl.dropboxusercontent.com/scl/fi/nispshx74qqyjefehsno0/8-19-women-s.jpg?rlkey=91jaaoejgtokcnsr48ld717c4&amp;dl=0","Click to download SizeChart")</f>
      </c>
      <c r="C2502" s="0" t="inlineStr">
        <is>
          <t>Sandra Women's Open Back T-Shirt</t>
        </is>
      </c>
      <c r="D2502" s="0" t="inlineStr">
        <is>
          <t>'111661</t>
        </is>
      </c>
      <c r="E2502" s="0" t="inlineStr">
        <is>
          <t>IOWA SANDRA WHITE:111661C-L</t>
        </is>
      </c>
      <c r="F2502" s="0" t="inlineStr">
        <is>
          <t>'800111661066</t>
        </is>
      </c>
      <c r="G2502" s="0" t="inlineStr">
        <is>
          <t>WOMENS</t>
        </is>
      </c>
      <c r="H2502" s="0" t="inlineStr">
        <is>
          <t>L</t>
        </is>
      </c>
      <c r="I2502" s="0">
        <v>34.99</v>
      </c>
      <c r="J2502" s="0">
        <v>23</v>
      </c>
    </row>
    <row r="2503" spans="1:10" customHeight="0">
      <c r="A2503" s="0">
        <f>HYPERLINK("https://dl.dropboxusercontent.com/scl/fi/b5c2gfoaoukoltyf9c4gq/111661-af.jpg?rlkey=ej25xa34fjvfdww6ojwg4vfbz&amp;dl=0","Click to download Image")</f>
      </c>
      <c r="B2503" s="0">
        <f>HYPERLINK("https://dl.dropboxusercontent.com/scl/fi/nispshx74qqyjefehsno0/8-19-women-s.jpg?rlkey=91jaaoejgtokcnsr48ld717c4&amp;dl=0","Click to download SizeChart")</f>
      </c>
      <c r="C2503" s="0" t="inlineStr">
        <is>
          <t>Sandra Women's Open Back T-Shirt</t>
        </is>
      </c>
      <c r="D2503" s="0" t="inlineStr">
        <is>
          <t>'111661</t>
        </is>
      </c>
      <c r="E2503" s="0" t="inlineStr">
        <is>
          <t>IOWA SANDRA WHITE:111661D-XL</t>
        </is>
      </c>
      <c r="F2503" s="0" t="inlineStr">
        <is>
          <t>'800111661073</t>
        </is>
      </c>
      <c r="G2503" s="0" t="inlineStr">
        <is>
          <t>WOMENS</t>
        </is>
      </c>
      <c r="H2503" s="0" t="inlineStr">
        <is>
          <t>XL</t>
        </is>
      </c>
      <c r="I2503" s="0">
        <v>34.99</v>
      </c>
      <c r="J2503" s="0">
        <v>23</v>
      </c>
    </row>
    <row r="2504" spans="1:10" customHeight="0">
      <c r="A2504" s="0">
        <f>HYPERLINK("https://dl.dropboxusercontent.com/scl/fi/b5c2gfoaoukoltyf9c4gq/111661-af.jpg?rlkey=ej25xa34fjvfdww6ojwg4vfbz&amp;dl=0","Click to download Image")</f>
      </c>
      <c r="B2504" s="0">
        <f>HYPERLINK("https://dl.dropboxusercontent.com/scl/fi/nispshx74qqyjefehsno0/8-19-women-s.jpg?rlkey=91jaaoejgtokcnsr48ld717c4&amp;dl=0","Click to download SizeChart")</f>
      </c>
      <c r="C2504" s="0" t="inlineStr">
        <is>
          <t>Sandra Women's Open Back T-Shirt</t>
        </is>
      </c>
      <c r="D2504" s="0" t="inlineStr">
        <is>
          <t>'111661</t>
        </is>
      </c>
      <c r="E2504" s="0" t="inlineStr">
        <is>
          <t>IOWA SANDRA WHITE:111661E-2XL</t>
        </is>
      </c>
      <c r="F2504" s="0" t="inlineStr">
        <is>
          <t>'800111661080</t>
        </is>
      </c>
      <c r="G2504" s="0" t="inlineStr">
        <is>
          <t>WOMENS</t>
        </is>
      </c>
      <c r="H2504" s="0" t="inlineStr">
        <is>
          <t>2XL</t>
        </is>
      </c>
      <c r="I2504" s="0">
        <v>34.99</v>
      </c>
      <c r="J2504" s="0">
        <v>11</v>
      </c>
    </row>
    <row r="2505" spans="1:10" customHeight="0">
      <c r="A2505" s="0">
        <f>HYPERLINK("https://dl.dropboxusercontent.com/scl/fi/b5c2gfoaoukoltyf9c4gq/111661-af.jpg?rlkey=ej25xa34fjvfdww6ojwg4vfbz&amp;dl=0","Click to download Image")</f>
      </c>
      <c r="B2505" s="0">
        <f>HYPERLINK("https://dl.dropboxusercontent.com/scl/fi/nispshx74qqyjefehsno0/8-19-women-s.jpg?rlkey=91jaaoejgtokcnsr48ld717c4&amp;dl=0","Click to download SizeChart")</f>
      </c>
      <c r="C2505" s="0" t="inlineStr">
        <is>
          <t>Sandra Women's Open Back T-Shirt</t>
        </is>
      </c>
      <c r="D2505" s="0" t="inlineStr">
        <is>
          <t>'111661</t>
        </is>
      </c>
      <c r="E2505" s="0" t="inlineStr">
        <is>
          <t>IOWA SANDRA WHITE:111661F-3XL</t>
        </is>
      </c>
      <c r="F2505" s="0" t="inlineStr">
        <is>
          <t>'800111661097</t>
        </is>
      </c>
      <c r="G2505" s="0" t="inlineStr">
        <is>
          <t>WOMENS</t>
        </is>
      </c>
      <c r="H2505" s="0" t="inlineStr">
        <is>
          <t>3XL</t>
        </is>
      </c>
      <c r="I2505" s="0">
        <v>34.99</v>
      </c>
      <c r="J2505" s="0">
        <v>12</v>
      </c>
    </row>
    <row r="2506" spans="1:10" customHeight="0">
      <c r="A2506" s="0">
        <f>HYPERLINK("https://dl.dropboxusercontent.com/scl/fi/b5c2gfoaoukoltyf9c4gq/111661-af.jpg?rlkey=ej25xa34fjvfdww6ojwg4vfbz&amp;dl=0","Click to download Image")</f>
      </c>
      <c r="B2506" s="0">
        <f>HYPERLINK("https://dl.dropboxusercontent.com/scl/fi/nispshx74qqyjefehsno0/8-19-women-s.jpg?rlkey=91jaaoejgtokcnsr48ld717c4&amp;dl=0","Click to download SizeChart")</f>
      </c>
      <c r="C2506" s="0" t="inlineStr">
        <is>
          <t>Sandra Women's Open Back T-Shirt</t>
        </is>
      </c>
      <c r="D2506" s="0" t="inlineStr">
        <is>
          <t>'111661</t>
        </is>
      </c>
      <c r="E2506" s="0" t="inlineStr">
        <is>
          <t>IOWA SANDRA WHITE 12 PACK:111661Z-12PK</t>
        </is>
      </c>
      <c r="F2506" s="0" t="inlineStr">
        <is>
          <t>'800111661998</t>
        </is>
      </c>
      <c r="G2506" s="0" t="inlineStr">
        <is>
          <t>WOMENS</t>
        </is>
      </c>
      <c r="H2506" s="0" t="inlineStr">
        <is>
          <t>12 PACK</t>
        </is>
      </c>
      <c r="I2506" s="0">
        <v>34.99</v>
      </c>
      <c r="J2506" s="0">
        <v>0</v>
      </c>
    </row>
    <row r="2507" spans="1:10" customHeight="0">
      <c r="A2507" s="0">
        <f>HYPERLINK("https://dl.dropboxusercontent.com/scl/fi/yyn1zfaj4a7uociqrpnbp/115406-af.jpg?rlkey=onwc21xo1jwvr3fyi57n5h1ny&amp;dl=0","Click to download Image")</f>
      </c>
      <c r="C2507" s="0" t="inlineStr">
        <is>
          <t>Aubry Duffel Bag</t>
        </is>
      </c>
      <c r="D2507" s="0" t="inlineStr">
        <is>
          <t>'115406</t>
        </is>
      </c>
      <c r="E2507" s="0" t="inlineStr">
        <is>
          <t>UNI AUBRY DUFFEL:115406</t>
        </is>
      </c>
      <c r="F2507" s="0" t="inlineStr">
        <is>
          <t>'902115406015</t>
        </is>
      </c>
      <c r="I2507" s="0">
        <v>44.99</v>
      </c>
      <c r="J2507" s="0">
        <v>24</v>
      </c>
    </row>
    <row r="2508" spans="1:10" customHeight="0">
      <c r="A2508" s="0">
        <f>HYPERLINK("https://dl.dropboxusercontent.com/scl/fi/1qwl7yac3a110eag4kucw/101170-af.jpg?rlkey=6ub3e93jkb3cqfztntarp7bb4&amp;dl=0","Click to download Image")</f>
      </c>
      <c r="C2508" s="0" t="inlineStr">
        <is>
          <t>Aubry Duffel Bag</t>
        </is>
      </c>
      <c r="D2508" s="0" t="inlineStr">
        <is>
          <t>'101170</t>
        </is>
      </c>
      <c r="E2508" s="0" t="inlineStr">
        <is>
          <t>AUBRY:101170</t>
        </is>
      </c>
      <c r="F2508" s="0" t="inlineStr">
        <is>
          <t>'000000000000</t>
        </is>
      </c>
      <c r="I2508" s="0">
        <v>44.99</v>
      </c>
      <c r="J2508" s="0">
        <v>124</v>
      </c>
    </row>
    <row r="2509" spans="1:10" customHeight="0">
      <c r="A2509" s="0">
        <f>HYPERLINK("https://dl.dropboxusercontent.com/scl/fi/wroaycko399jv2a6urbc5/109860af.jpg?rlkey=hacs13en1tig6kzdes582dri3&amp;dl=0","Click to download Image")</f>
      </c>
      <c r="B2509" s="0">
        <f>HYPERLINK("https://dl.dropboxusercontent.com/scl/fi/ng93ccc29qoclh2a2ctme/tdlr-yth-bottoms-size-chartsbelle.jpg?rlkey=xmy2vnl00w7ek8c3rquulh2j6&amp;dl=0","Click to download SizeChart")</f>
      </c>
      <c r="C2509" s="0" t="inlineStr">
        <is>
          <t>Belle Youth Leggings</t>
        </is>
      </c>
      <c r="D2509" s="0" t="inlineStr">
        <is>
          <t>'109860</t>
        </is>
      </c>
      <c r="E2509" s="0" t="inlineStr">
        <is>
          <t>IOWA BELLE:109860B-YS</t>
        </is>
      </c>
      <c r="F2509" s="0" t="inlineStr">
        <is>
          <t>'800109860013</t>
        </is>
      </c>
      <c r="G2509" s="0" t="inlineStr">
        <is>
          <t>YOUTH</t>
        </is>
      </c>
      <c r="H2509" s="0" t="inlineStr">
        <is>
          <t>YS</t>
        </is>
      </c>
      <c r="I2509" s="0">
        <v>24.99</v>
      </c>
      <c r="J2509" s="0">
        <v>14</v>
      </c>
    </row>
    <row r="2510" spans="1:10" customHeight="0">
      <c r="A2510" s="0">
        <f>HYPERLINK("https://dl.dropboxusercontent.com/scl/fi/wroaycko399jv2a6urbc5/109860af.jpg?rlkey=hacs13en1tig6kzdes582dri3&amp;dl=0","Click to download Image")</f>
      </c>
      <c r="B2510" s="0">
        <f>HYPERLINK("https://dl.dropboxusercontent.com/scl/fi/ng93ccc29qoclh2a2ctme/tdlr-yth-bottoms-size-chartsbelle.jpg?rlkey=xmy2vnl00w7ek8c3rquulh2j6&amp;dl=0","Click to download SizeChart")</f>
      </c>
      <c r="C2510" s="0" t="inlineStr">
        <is>
          <t>Belle Youth Leggings</t>
        </is>
      </c>
      <c r="D2510" s="0" t="inlineStr">
        <is>
          <t>'109860</t>
        </is>
      </c>
      <c r="E2510" s="0" t="inlineStr">
        <is>
          <t>IOWA BELLE:109860C-YM</t>
        </is>
      </c>
      <c r="F2510" s="0" t="inlineStr">
        <is>
          <t>'800109860020</t>
        </is>
      </c>
      <c r="G2510" s="0" t="inlineStr">
        <is>
          <t>YOUTH</t>
        </is>
      </c>
      <c r="H2510" s="0" t="inlineStr">
        <is>
          <t>YM</t>
        </is>
      </c>
      <c r="I2510" s="0">
        <v>24.99</v>
      </c>
      <c r="J2510" s="0">
        <v>0</v>
      </c>
    </row>
    <row r="2511" spans="1:10" customHeight="0">
      <c r="A2511" s="0">
        <f>HYPERLINK("https://dl.dropboxusercontent.com/scl/fi/wroaycko399jv2a6urbc5/109860af.jpg?rlkey=hacs13en1tig6kzdes582dri3&amp;dl=0","Click to download Image")</f>
      </c>
      <c r="B2511" s="0">
        <f>HYPERLINK("https://dl.dropboxusercontent.com/scl/fi/ng93ccc29qoclh2a2ctme/tdlr-yth-bottoms-size-chartsbelle.jpg?rlkey=xmy2vnl00w7ek8c3rquulh2j6&amp;dl=0","Click to download SizeChart")</f>
      </c>
      <c r="C2511" s="0" t="inlineStr">
        <is>
          <t>Belle Youth Leggings</t>
        </is>
      </c>
      <c r="D2511" s="0" t="inlineStr">
        <is>
          <t>'109860</t>
        </is>
      </c>
      <c r="E2511" s="0" t="inlineStr">
        <is>
          <t>IOWA BELLE:109860D-YL</t>
        </is>
      </c>
      <c r="F2511" s="0" t="inlineStr">
        <is>
          <t>'800109860037</t>
        </is>
      </c>
      <c r="G2511" s="0" t="inlineStr">
        <is>
          <t>YOUTH</t>
        </is>
      </c>
      <c r="H2511" s="0" t="inlineStr">
        <is>
          <t>YL</t>
        </is>
      </c>
      <c r="I2511" s="0">
        <v>24.99</v>
      </c>
      <c r="J2511" s="0">
        <v>18</v>
      </c>
    </row>
    <row r="2512" spans="1:10" customHeight="0">
      <c r="A2512" s="0">
        <f>HYPERLINK("https://dl.dropboxusercontent.com/scl/fi/wroaycko399jv2a6urbc5/109860af.jpg?rlkey=hacs13en1tig6kzdes582dri3&amp;dl=0","Click to download Image")</f>
      </c>
      <c r="B2512" s="0">
        <f>HYPERLINK("https://dl.dropboxusercontent.com/scl/fi/ng93ccc29qoclh2a2ctme/tdlr-yth-bottoms-size-chartsbelle.jpg?rlkey=xmy2vnl00w7ek8c3rquulh2j6&amp;dl=0","Click to download SizeChart")</f>
      </c>
      <c r="C2512" s="0" t="inlineStr">
        <is>
          <t>Belle Youth Leggings</t>
        </is>
      </c>
      <c r="D2512" s="0" t="inlineStr">
        <is>
          <t>'109860</t>
        </is>
      </c>
      <c r="E2512" s="0" t="inlineStr">
        <is>
          <t>IOWA BELLE:109860E-YXL</t>
        </is>
      </c>
      <c r="F2512" s="0" t="inlineStr">
        <is>
          <t>'800109860044</t>
        </is>
      </c>
      <c r="G2512" s="0" t="inlineStr">
        <is>
          <t>YOUTH</t>
        </is>
      </c>
      <c r="H2512" s="0" t="inlineStr">
        <is>
          <t>YXL</t>
        </is>
      </c>
      <c r="I2512" s="0">
        <v>24.99</v>
      </c>
      <c r="J2512" s="0">
        <v>28</v>
      </c>
    </row>
    <row r="2513" spans="1:10" customHeight="0">
      <c r="A2513" s="0">
        <f>HYPERLINK("https://dl.dropboxusercontent.com/scl/fi/wroaycko399jv2a6urbc5/109860af.jpg?rlkey=hacs13en1tig6kzdes582dri3&amp;dl=0","Click to download Image")</f>
      </c>
      <c r="B2513" s="0">
        <f>HYPERLINK("https://dl.dropboxusercontent.com/scl/fi/ng93ccc29qoclh2a2ctme/tdlr-yth-bottoms-size-chartsbelle.jpg?rlkey=xmy2vnl00w7ek8c3rquulh2j6&amp;dl=0","Click to download SizeChart")</f>
      </c>
      <c r="C2513" s="0" t="inlineStr">
        <is>
          <t>Belle Youth Leggings</t>
        </is>
      </c>
      <c r="D2513" s="0" t="inlineStr">
        <is>
          <t>'109860</t>
        </is>
      </c>
      <c r="E2513" s="0" t="inlineStr">
        <is>
          <t>IOWA BELLE YOUTH 12 PACK:109860Z-12PK</t>
        </is>
      </c>
      <c r="F2513" s="0" t="inlineStr">
        <is>
          <t>'800109860990</t>
        </is>
      </c>
      <c r="G2513" s="0" t="inlineStr">
        <is>
          <t>YOUTH</t>
        </is>
      </c>
      <c r="H2513" s="0" t="inlineStr">
        <is>
          <t>12 PACK</t>
        </is>
      </c>
      <c r="I2513" s="0">
        <v>240</v>
      </c>
      <c r="J2513" s="0">
        <v>0</v>
      </c>
    </row>
    <row r="2514" spans="1:10" customHeight="0">
      <c r="A2514" s="0">
        <f>HYPERLINK("https://dl.dropboxusercontent.com/scl/fi/6e3s4bqiiyd7m5k9ywn2c/111420af.jpg?rlkey=hxypr93tcg26c4bc2ppgph5f1&amp;dl=0","Click to download Image")</f>
      </c>
      <c r="B2514" s="0">
        <f>HYPERLINK("https://dl.dropboxusercontent.com/scl/fi/ng93ccc29qoclh2a2ctme/tdlr-yth-bottoms-size-chartsbelle.jpg?rlkey=xmy2vnl00w7ek8c3rquulh2j6&amp;dl=0","Click to download SizeChart")</f>
      </c>
      <c r="C2514" s="0" t="inlineStr">
        <is>
          <t>Belle Youth Leggings</t>
        </is>
      </c>
      <c r="D2514" s="0" t="inlineStr">
        <is>
          <t>'111420</t>
        </is>
      </c>
      <c r="E2514" s="0" t="inlineStr">
        <is>
          <t>UNI BELLE PURPLE:111420B-YS</t>
        </is>
      </c>
      <c r="F2514" s="0" t="inlineStr">
        <is>
          <t>'802111420018</t>
        </is>
      </c>
      <c r="G2514" s="0" t="inlineStr">
        <is>
          <t>YOUTH</t>
        </is>
      </c>
      <c r="H2514" s="0" t="inlineStr">
        <is>
          <t>YS</t>
        </is>
      </c>
      <c r="I2514" s="0">
        <v>24.99</v>
      </c>
      <c r="J2514" s="0">
        <v>6</v>
      </c>
    </row>
    <row r="2515" spans="1:10" customHeight="0">
      <c r="A2515" s="0">
        <f>HYPERLINK("https://dl.dropboxusercontent.com/scl/fi/6e3s4bqiiyd7m5k9ywn2c/111420af.jpg?rlkey=hxypr93tcg26c4bc2ppgph5f1&amp;dl=0","Click to download Image")</f>
      </c>
      <c r="B2515" s="0">
        <f>HYPERLINK("https://dl.dropboxusercontent.com/scl/fi/ng93ccc29qoclh2a2ctme/tdlr-yth-bottoms-size-chartsbelle.jpg?rlkey=xmy2vnl00w7ek8c3rquulh2j6&amp;dl=0","Click to download SizeChart")</f>
      </c>
      <c r="C2515" s="0" t="inlineStr">
        <is>
          <t>Belle Youth Leggings</t>
        </is>
      </c>
      <c r="D2515" s="0" t="inlineStr">
        <is>
          <t>'111420</t>
        </is>
      </c>
      <c r="E2515" s="0" t="inlineStr">
        <is>
          <t>UNI BELLE PURPLE:111420C-YM</t>
        </is>
      </c>
      <c r="F2515" s="0" t="inlineStr">
        <is>
          <t>'802111420025</t>
        </is>
      </c>
      <c r="G2515" s="0" t="inlineStr">
        <is>
          <t>YOUTH</t>
        </is>
      </c>
      <c r="H2515" s="0" t="inlineStr">
        <is>
          <t>YM</t>
        </is>
      </c>
      <c r="I2515" s="0">
        <v>24.99</v>
      </c>
      <c r="J2515" s="0">
        <v>11</v>
      </c>
    </row>
    <row r="2516" spans="1:10" customHeight="0">
      <c r="A2516" s="0">
        <f>HYPERLINK("https://dl.dropboxusercontent.com/scl/fi/6e3s4bqiiyd7m5k9ywn2c/111420af.jpg?rlkey=hxypr93tcg26c4bc2ppgph5f1&amp;dl=0","Click to download Image")</f>
      </c>
      <c r="B2516" s="0">
        <f>HYPERLINK("https://dl.dropboxusercontent.com/scl/fi/ng93ccc29qoclh2a2ctme/tdlr-yth-bottoms-size-chartsbelle.jpg?rlkey=xmy2vnl00w7ek8c3rquulh2j6&amp;dl=0","Click to download SizeChart")</f>
      </c>
      <c r="C2516" s="0" t="inlineStr">
        <is>
          <t>Belle Youth Leggings</t>
        </is>
      </c>
      <c r="D2516" s="0" t="inlineStr">
        <is>
          <t>'111420</t>
        </is>
      </c>
      <c r="E2516" s="0" t="inlineStr">
        <is>
          <t>UNI BELLE PURPLE:111420D-YL</t>
        </is>
      </c>
      <c r="F2516" s="0" t="inlineStr">
        <is>
          <t>'802111420032</t>
        </is>
      </c>
      <c r="G2516" s="0" t="inlineStr">
        <is>
          <t>YOUTH</t>
        </is>
      </c>
      <c r="H2516" s="0" t="inlineStr">
        <is>
          <t>YL</t>
        </is>
      </c>
      <c r="I2516" s="0">
        <v>24.99</v>
      </c>
      <c r="J2516" s="0">
        <v>10</v>
      </c>
    </row>
    <row r="2517" spans="1:10" customHeight="0">
      <c r="A2517" s="0">
        <f>HYPERLINK("https://dl.dropboxusercontent.com/scl/fi/6e3s4bqiiyd7m5k9ywn2c/111420af.jpg?rlkey=hxypr93tcg26c4bc2ppgph5f1&amp;dl=0","Click to download Image")</f>
      </c>
      <c r="B2517" s="0">
        <f>HYPERLINK("https://dl.dropboxusercontent.com/scl/fi/ng93ccc29qoclh2a2ctme/tdlr-yth-bottoms-size-chartsbelle.jpg?rlkey=xmy2vnl00w7ek8c3rquulh2j6&amp;dl=0","Click to download SizeChart")</f>
      </c>
      <c r="C2517" s="0" t="inlineStr">
        <is>
          <t>Belle Youth Leggings</t>
        </is>
      </c>
      <c r="D2517" s="0" t="inlineStr">
        <is>
          <t>'111420</t>
        </is>
      </c>
      <c r="E2517" s="0" t="inlineStr">
        <is>
          <t>UNI BELLE PURPLE:111420E-YXL</t>
        </is>
      </c>
      <c r="F2517" s="0" t="inlineStr">
        <is>
          <t>'802111420049</t>
        </is>
      </c>
      <c r="G2517" s="0" t="inlineStr">
        <is>
          <t>YOUTH</t>
        </is>
      </c>
      <c r="H2517" s="0" t="inlineStr">
        <is>
          <t>YXL</t>
        </is>
      </c>
      <c r="I2517" s="0">
        <v>24.99</v>
      </c>
      <c r="J2517" s="0">
        <v>12</v>
      </c>
    </row>
    <row r="2518" spans="1:10" customHeight="0">
      <c r="A2518" s="0">
        <f>HYPERLINK("https://dl.dropboxusercontent.com/scl/fi/6e3s4bqiiyd7m5k9ywn2c/111420af.jpg?rlkey=hxypr93tcg26c4bc2ppgph5f1&amp;dl=0","Click to download Image")</f>
      </c>
      <c r="B2518" s="0">
        <f>HYPERLINK("https://dl.dropboxusercontent.com/scl/fi/ng93ccc29qoclh2a2ctme/tdlr-yth-bottoms-size-chartsbelle.jpg?rlkey=xmy2vnl00w7ek8c3rquulh2j6&amp;dl=0","Click to download SizeChart")</f>
      </c>
      <c r="C2518" s="0" t="inlineStr">
        <is>
          <t>Belle Youth Leggings</t>
        </is>
      </c>
      <c r="D2518" s="0" t="inlineStr">
        <is>
          <t>'111420</t>
        </is>
      </c>
      <c r="E2518" s="0" t="inlineStr">
        <is>
          <t>UNI BELLE PURPLE 12 PACK:111420Z-12PK</t>
        </is>
      </c>
      <c r="F2518" s="0" t="inlineStr">
        <is>
          <t>'802111420995</t>
        </is>
      </c>
      <c r="G2518" s="0" t="inlineStr">
        <is>
          <t>YOUTH</t>
        </is>
      </c>
      <c r="H2518" s="0" t="inlineStr">
        <is>
          <t>12 PACK</t>
        </is>
      </c>
      <c r="I2518" s="0">
        <v>240</v>
      </c>
      <c r="J2518" s="0">
        <v>2</v>
      </c>
    </row>
    <row r="2519" spans="1:10" customHeight="0">
      <c r="A2519" s="0">
        <f>HYPERLINK("https://dl.dropboxusercontent.com/scl/fi/09bidxhsd293ioyzghxc5/111419af.jpg?rlkey=co7tzbauh0eknftf6yeyvgzfl&amp;dl=0","Click to download Image")</f>
      </c>
      <c r="B2519" s="0">
        <f>HYPERLINK("https://dl.dropboxusercontent.com/scl/fi/ng93ccc29qoclh2a2ctme/tdlr-yth-bottoms-size-chartsbelle.jpg?rlkey=xmy2vnl00w7ek8c3rquulh2j6&amp;dl=0","Click to download SizeChart")</f>
      </c>
      <c r="C2519" s="0" t="inlineStr">
        <is>
          <t>Belle Youth Leggings</t>
        </is>
      </c>
      <c r="D2519" s="0" t="inlineStr">
        <is>
          <t>'111419</t>
        </is>
      </c>
      <c r="E2519" s="0" t="inlineStr">
        <is>
          <t>ISU BELLE:111419B-YS</t>
        </is>
      </c>
      <c r="F2519" s="0" t="inlineStr">
        <is>
          <t>'801111419015</t>
        </is>
      </c>
      <c r="G2519" s="0" t="inlineStr">
        <is>
          <t>YOUTH</t>
        </is>
      </c>
      <c r="H2519" s="0" t="inlineStr">
        <is>
          <t>YS</t>
        </is>
      </c>
      <c r="I2519" s="0">
        <v>24.99</v>
      </c>
      <c r="J2519" s="0">
        <v>9</v>
      </c>
    </row>
    <row r="2520" spans="1:10" customHeight="0">
      <c r="A2520" s="0">
        <f>HYPERLINK("https://dl.dropboxusercontent.com/scl/fi/09bidxhsd293ioyzghxc5/111419af.jpg?rlkey=co7tzbauh0eknftf6yeyvgzfl&amp;dl=0","Click to download Image")</f>
      </c>
      <c r="B2520" s="0">
        <f>HYPERLINK("https://dl.dropboxusercontent.com/scl/fi/ng93ccc29qoclh2a2ctme/tdlr-yth-bottoms-size-chartsbelle.jpg?rlkey=xmy2vnl00w7ek8c3rquulh2j6&amp;dl=0","Click to download SizeChart")</f>
      </c>
      <c r="C2520" s="0" t="inlineStr">
        <is>
          <t>Belle Youth Leggings</t>
        </is>
      </c>
      <c r="D2520" s="0" t="inlineStr">
        <is>
          <t>'111419</t>
        </is>
      </c>
      <c r="E2520" s="0" t="inlineStr">
        <is>
          <t>ISU BELLE:111419C-YM</t>
        </is>
      </c>
      <c r="F2520" s="0" t="inlineStr">
        <is>
          <t>'801111419022</t>
        </is>
      </c>
      <c r="G2520" s="0" t="inlineStr">
        <is>
          <t>YOUTH</t>
        </is>
      </c>
      <c r="H2520" s="0" t="inlineStr">
        <is>
          <t>YM</t>
        </is>
      </c>
      <c r="I2520" s="0">
        <v>24.99</v>
      </c>
      <c r="J2520" s="0">
        <v>10</v>
      </c>
    </row>
    <row r="2521" spans="1:10" customHeight="0">
      <c r="A2521" s="0">
        <f>HYPERLINK("https://dl.dropboxusercontent.com/scl/fi/09bidxhsd293ioyzghxc5/111419af.jpg?rlkey=co7tzbauh0eknftf6yeyvgzfl&amp;dl=0","Click to download Image")</f>
      </c>
      <c r="B2521" s="0">
        <f>HYPERLINK("https://dl.dropboxusercontent.com/scl/fi/ng93ccc29qoclh2a2ctme/tdlr-yth-bottoms-size-chartsbelle.jpg?rlkey=xmy2vnl00w7ek8c3rquulh2j6&amp;dl=0","Click to download SizeChart")</f>
      </c>
      <c r="C2521" s="0" t="inlineStr">
        <is>
          <t>Belle Youth Leggings</t>
        </is>
      </c>
      <c r="D2521" s="0" t="inlineStr">
        <is>
          <t>'111419</t>
        </is>
      </c>
      <c r="E2521" s="0" t="inlineStr">
        <is>
          <t>ISU BELLE:111419D-YL</t>
        </is>
      </c>
      <c r="F2521" s="0" t="inlineStr">
        <is>
          <t>'801111419039</t>
        </is>
      </c>
      <c r="G2521" s="0" t="inlineStr">
        <is>
          <t>YOUTH</t>
        </is>
      </c>
      <c r="H2521" s="0" t="inlineStr">
        <is>
          <t>YL</t>
        </is>
      </c>
      <c r="I2521" s="0">
        <v>24.99</v>
      </c>
      <c r="J2521" s="0">
        <v>10</v>
      </c>
    </row>
    <row r="2522" spans="1:10" customHeight="0">
      <c r="A2522" s="0">
        <f>HYPERLINK("https://dl.dropboxusercontent.com/scl/fi/09bidxhsd293ioyzghxc5/111419af.jpg?rlkey=co7tzbauh0eknftf6yeyvgzfl&amp;dl=0","Click to download Image")</f>
      </c>
      <c r="B2522" s="0">
        <f>HYPERLINK("https://dl.dropboxusercontent.com/scl/fi/ng93ccc29qoclh2a2ctme/tdlr-yth-bottoms-size-chartsbelle.jpg?rlkey=xmy2vnl00w7ek8c3rquulh2j6&amp;dl=0","Click to download SizeChart")</f>
      </c>
      <c r="C2522" s="0" t="inlineStr">
        <is>
          <t>Belle Youth Leggings</t>
        </is>
      </c>
      <c r="D2522" s="0" t="inlineStr">
        <is>
          <t>'111419</t>
        </is>
      </c>
      <c r="E2522" s="0" t="inlineStr">
        <is>
          <t>ISU BELLE:111419E-YXL</t>
        </is>
      </c>
      <c r="F2522" s="0" t="inlineStr">
        <is>
          <t>'801111419046</t>
        </is>
      </c>
      <c r="G2522" s="0" t="inlineStr">
        <is>
          <t>YOUTH</t>
        </is>
      </c>
      <c r="H2522" s="0" t="inlineStr">
        <is>
          <t>YXL</t>
        </is>
      </c>
      <c r="I2522" s="0">
        <v>24.99</v>
      </c>
      <c r="J2522" s="0">
        <v>16</v>
      </c>
    </row>
    <row r="2523" spans="1:10" customHeight="0">
      <c r="A2523" s="0">
        <f>HYPERLINK("https://dl.dropboxusercontent.com/scl/fi/09bidxhsd293ioyzghxc5/111419af.jpg?rlkey=co7tzbauh0eknftf6yeyvgzfl&amp;dl=0","Click to download Image")</f>
      </c>
      <c r="B2523" s="0">
        <f>HYPERLINK("https://dl.dropboxusercontent.com/scl/fi/ng93ccc29qoclh2a2ctme/tdlr-yth-bottoms-size-chartsbelle.jpg?rlkey=xmy2vnl00w7ek8c3rquulh2j6&amp;dl=0","Click to download SizeChart")</f>
      </c>
      <c r="C2523" s="0" t="inlineStr">
        <is>
          <t>Belle Youth Leggings</t>
        </is>
      </c>
      <c r="D2523" s="0" t="inlineStr">
        <is>
          <t>'111419</t>
        </is>
      </c>
      <c r="E2523" s="0" t="inlineStr">
        <is>
          <t>ISU BELLE YOUTH 12 PACK:111419Z-12PK</t>
        </is>
      </c>
      <c r="F2523" s="0" t="inlineStr">
        <is>
          <t>'801111419992</t>
        </is>
      </c>
      <c r="G2523" s="0" t="inlineStr">
        <is>
          <t>YOUTH</t>
        </is>
      </c>
      <c r="H2523" s="0" t="inlineStr">
        <is>
          <t>12 PACK</t>
        </is>
      </c>
      <c r="I2523" s="0">
        <v>240</v>
      </c>
      <c r="J2523" s="0">
        <v>0</v>
      </c>
    </row>
    <row r="2524" spans="1:10" customHeight="0">
      <c r="A2524" s="0">
        <f>HYPERLINK("https://dl.dropboxusercontent.com/scl/fi/ckv9aha6bkmjg1jra47z7/115980-af.jpg?rlkey=2wbdbeu1j13m2jb644szm58ww&amp;dl=0","Click to download Image")</f>
      </c>
      <c r="C2524" s="0" t="inlineStr">
        <is>
          <t>Chelsea Women's Cap</t>
        </is>
      </c>
      <c r="D2524" s="0" t="inlineStr">
        <is>
          <t>'115980</t>
        </is>
      </c>
      <c r="E2524" s="0" t="inlineStr">
        <is>
          <t>UNI CHELSEA A GOLD:115980</t>
        </is>
      </c>
      <c r="F2524" s="0" t="inlineStr">
        <is>
          <t>'702115980016</t>
        </is>
      </c>
      <c r="G2524" s="0" t="inlineStr">
        <is>
          <t>WOMENS</t>
        </is>
      </c>
      <c r="H2524" s="0" t="inlineStr">
        <is>
          <t>WOMEN:56CM</t>
        </is>
      </c>
      <c r="I2524" s="0">
        <v>24.99</v>
      </c>
      <c r="J2524" s="0">
        <v>37</v>
      </c>
    </row>
    <row r="2525" spans="1:10" customHeight="0">
      <c r="A2525" s="0">
        <f>HYPERLINK("https://dl.dropboxusercontent.com/scl/fi/2j380zffhma2025aoc8hh/107238-af.jpg?rlkey=h38u3viu20m9kpra0rcb0qji3&amp;dl=0","Click to download Image")</f>
      </c>
      <c r="C2525" s="0" t="inlineStr">
        <is>
          <t>Aurora Women's Cap</t>
        </is>
      </c>
      <c r="D2525" s="0" t="inlineStr">
        <is>
          <t>'107238</t>
        </is>
      </c>
      <c r="E2525" s="0" t="inlineStr">
        <is>
          <t>AURORA:107238</t>
        </is>
      </c>
      <c r="F2525" s="0" t="inlineStr">
        <is>
          <t>'700107238015</t>
        </is>
      </c>
      <c r="G2525" s="0" t="inlineStr">
        <is>
          <t>WOMENS</t>
        </is>
      </c>
      <c r="H2525" s="0" t="inlineStr">
        <is>
          <t>WOMENS</t>
        </is>
      </c>
      <c r="I2525" s="0">
        <v>23.99</v>
      </c>
      <c r="J2525" s="0">
        <v>89</v>
      </c>
    </row>
    <row r="2526" spans="1:10" customHeight="0">
      <c r="A2526" s="0">
        <f>HYPERLINK("https://dl.dropboxusercontent.com/scl/fi/nrbyc4v2hvc94j9ewaf5i/107239-af.jpg?rlkey=vgwjqm6y5puycb9exry1h8dh7&amp;dl=0","Click to download Image")</f>
      </c>
      <c r="C2526" s="0" t="inlineStr">
        <is>
          <t>Aurora Women's Cap</t>
        </is>
      </c>
      <c r="D2526" s="0" t="inlineStr">
        <is>
          <t>'107239</t>
        </is>
      </c>
      <c r="E2526" s="0" t="inlineStr">
        <is>
          <t>ISU AURORA:107239</t>
        </is>
      </c>
      <c r="F2526" s="0" t="inlineStr">
        <is>
          <t>'700107239012</t>
        </is>
      </c>
      <c r="G2526" s="0" t="inlineStr">
        <is>
          <t>WOMENS</t>
        </is>
      </c>
      <c r="H2526" s="0" t="inlineStr">
        <is>
          <t>WOMENS</t>
        </is>
      </c>
      <c r="I2526" s="0">
        <v>23.99</v>
      </c>
      <c r="J2526" s="0">
        <v>93</v>
      </c>
    </row>
    <row r="2527" spans="1:10" customHeight="0">
      <c r="A2527" s="0">
        <f>HYPERLINK("https://dl.dropboxusercontent.com/scl/fi/brhhcbjejoq78auaezetk/120546-af.jpg?rlkey=of0dll8q46c2gv3xnqmxsew5h&amp;dl=0","Click to download Image")</f>
      </c>
      <c r="C2527" s="0" t="inlineStr">
        <is>
          <t>Bonafide Men's Cap</t>
        </is>
      </c>
      <c r="D2527" s="0" t="inlineStr">
        <is>
          <t>'120546</t>
        </is>
      </c>
      <c r="E2527" s="0" t="inlineStr">
        <is>
          <t>KSU A BONAFIDE:120546</t>
        </is>
      </c>
      <c r="F2527" s="0" t="inlineStr">
        <is>
          <t>'705120546000</t>
        </is>
      </c>
      <c r="G2527" s="0" t="inlineStr">
        <is>
          <t>MENS</t>
        </is>
      </c>
      <c r="H2527" s="0" t="inlineStr">
        <is>
          <t>STANDARD MENS</t>
        </is>
      </c>
      <c r="I2527" s="0">
        <v>24.99</v>
      </c>
      <c r="J2527" s="0">
        <v>123</v>
      </c>
    </row>
    <row r="2528" spans="1:10" customHeight="0">
      <c r="A2528" s="0">
        <f>HYPERLINK("https://dl.dropboxusercontent.com/scl/fi/eoaqnrygkebljopiqwybo/blush-121535-f.jpg?rlkey=grr92bk9rizpxozmsft7q6l0p&amp;dl=0","Click to download Image")</f>
      </c>
      <c r="B2528" s="0">
        <f>HYPERLINK("https://dl.dropboxusercontent.com/scl/fi/pgi8jy9mxqhc1tjcm2198/graphic-update22022-infant.jpg?rlkey=hfxv6o2mjrvxhapxu5wwi189z&amp;dl=0","Click to download SizeChart")</f>
      </c>
      <c r="C2528" s="0" t="inlineStr">
        <is>
          <t>Blush Infant Bodysuit</t>
        </is>
      </c>
      <c r="D2528" s="0" t="inlineStr">
        <is>
          <t>'121535</t>
        </is>
      </c>
      <c r="E2528" s="0" t="inlineStr">
        <is>
          <t>UNI BLUSH I WE:121535A-0-3M</t>
        </is>
      </c>
      <c r="F2528" s="0" t="inlineStr">
        <is>
          <t>'802121535009</t>
        </is>
      </c>
      <c r="G2528" s="0" t="inlineStr">
        <is>
          <t>INFANT</t>
        </is>
      </c>
      <c r="H2528" s="0" t="inlineStr">
        <is>
          <t>0-3M</t>
        </is>
      </c>
      <c r="I2528" s="0">
        <v>29.99</v>
      </c>
      <c r="J2528" s="0">
        <v>13</v>
      </c>
    </row>
    <row r="2529" spans="1:10" customHeight="0">
      <c r="A2529" s="0">
        <f>HYPERLINK("https://dl.dropboxusercontent.com/scl/fi/eoaqnrygkebljopiqwybo/blush-121535-f.jpg?rlkey=grr92bk9rizpxozmsft7q6l0p&amp;dl=0","Click to download Image")</f>
      </c>
      <c r="B2529" s="0">
        <f>HYPERLINK("https://dl.dropboxusercontent.com/scl/fi/pgi8jy9mxqhc1tjcm2198/graphic-update22022-infant.jpg?rlkey=hfxv6o2mjrvxhapxu5wwi189z&amp;dl=0","Click to download SizeChart")</f>
      </c>
      <c r="C2529" s="0" t="inlineStr">
        <is>
          <t>Blush Infant Bodysuit</t>
        </is>
      </c>
      <c r="D2529" s="0" t="inlineStr">
        <is>
          <t>'121535</t>
        </is>
      </c>
      <c r="E2529" s="0" t="inlineStr">
        <is>
          <t>UNI BLUSH I WE:121535B-3-6M</t>
        </is>
      </c>
      <c r="F2529" s="0" t="inlineStr">
        <is>
          <t>'802121535016</t>
        </is>
      </c>
      <c r="G2529" s="0" t="inlineStr">
        <is>
          <t>INFANT</t>
        </is>
      </c>
      <c r="H2529" s="0" t="inlineStr">
        <is>
          <t>3-6M</t>
        </is>
      </c>
      <c r="I2529" s="0">
        <v>29.99</v>
      </c>
      <c r="J2529" s="0">
        <v>13</v>
      </c>
    </row>
    <row r="2530" spans="1:10" customHeight="0">
      <c r="A2530" s="0">
        <f>HYPERLINK("https://dl.dropboxusercontent.com/scl/fi/eoaqnrygkebljopiqwybo/blush-121535-f.jpg?rlkey=grr92bk9rizpxozmsft7q6l0p&amp;dl=0","Click to download Image")</f>
      </c>
      <c r="B2530" s="0">
        <f>HYPERLINK("https://dl.dropboxusercontent.com/scl/fi/pgi8jy9mxqhc1tjcm2198/graphic-update22022-infant.jpg?rlkey=hfxv6o2mjrvxhapxu5wwi189z&amp;dl=0","Click to download SizeChart")</f>
      </c>
      <c r="C2530" s="0" t="inlineStr">
        <is>
          <t>Blush Infant Bodysuit</t>
        </is>
      </c>
      <c r="D2530" s="0" t="inlineStr">
        <is>
          <t>'121535</t>
        </is>
      </c>
      <c r="E2530" s="0" t="inlineStr">
        <is>
          <t>UNI BLUSH I WE:121535C-6-9M</t>
        </is>
      </c>
      <c r="F2530" s="0" t="inlineStr">
        <is>
          <t>'802121535023</t>
        </is>
      </c>
      <c r="G2530" s="0" t="inlineStr">
        <is>
          <t>INFANT</t>
        </is>
      </c>
      <c r="H2530" s="0" t="inlineStr">
        <is>
          <t>6-9M</t>
        </is>
      </c>
      <c r="I2530" s="0">
        <v>29.99</v>
      </c>
      <c r="J2530" s="0">
        <v>13</v>
      </c>
    </row>
    <row r="2531" spans="1:10" customHeight="0">
      <c r="A2531" s="0">
        <f>HYPERLINK("https://dl.dropboxusercontent.com/scl/fi/eoaqnrygkebljopiqwybo/blush-121535-f.jpg?rlkey=grr92bk9rizpxozmsft7q6l0p&amp;dl=0","Click to download Image")</f>
      </c>
      <c r="B2531" s="0">
        <f>HYPERLINK("https://dl.dropboxusercontent.com/scl/fi/pgi8jy9mxqhc1tjcm2198/graphic-update22022-infant.jpg?rlkey=hfxv6o2mjrvxhapxu5wwi189z&amp;dl=0","Click to download SizeChart")</f>
      </c>
      <c r="C2531" s="0" t="inlineStr">
        <is>
          <t>Blush Infant Bodysuit</t>
        </is>
      </c>
      <c r="D2531" s="0" t="inlineStr">
        <is>
          <t>'121535</t>
        </is>
      </c>
      <c r="E2531" s="0" t="inlineStr">
        <is>
          <t>UNI BLUSH I WE:121535F-12M</t>
        </is>
      </c>
      <c r="F2531" s="0" t="inlineStr">
        <is>
          <t>'802121535030</t>
        </is>
      </c>
      <c r="G2531" s="0" t="inlineStr">
        <is>
          <t>INFANT</t>
        </is>
      </c>
      <c r="H2531" s="0" t="inlineStr">
        <is>
          <t>12M</t>
        </is>
      </c>
      <c r="I2531" s="0">
        <v>29.99</v>
      </c>
      <c r="J2531" s="0">
        <v>13</v>
      </c>
    </row>
    <row r="2532" spans="1:10" customHeight="0">
      <c r="A2532" s="0">
        <f>HYPERLINK("https://dl.dropboxusercontent.com/scl/fi/eoaqnrygkebljopiqwybo/blush-121535-f.jpg?rlkey=grr92bk9rizpxozmsft7q6l0p&amp;dl=0","Click to download Image")</f>
      </c>
      <c r="B2532" s="0">
        <f>HYPERLINK("https://dl.dropboxusercontent.com/scl/fi/pgi8jy9mxqhc1tjcm2198/graphic-update22022-infant.jpg?rlkey=hfxv6o2mjrvxhapxu5wwi189z&amp;dl=0","Click to download SizeChart")</f>
      </c>
      <c r="C2532" s="0" t="inlineStr">
        <is>
          <t>Blush Infant Bodysuit</t>
        </is>
      </c>
      <c r="D2532" s="0" t="inlineStr">
        <is>
          <t>'121535</t>
        </is>
      </c>
      <c r="E2532" s="0" t="inlineStr">
        <is>
          <t>UNI BLUSH I WE 12PK:121535Z-12PK</t>
        </is>
      </c>
      <c r="F2532" s="0" t="inlineStr">
        <is>
          <t>'802121535993</t>
        </is>
      </c>
      <c r="G2532" s="0" t="inlineStr">
        <is>
          <t>INFANT</t>
        </is>
      </c>
      <c r="H2532" s="0" t="inlineStr">
        <is>
          <t>12 PACK</t>
        </is>
      </c>
      <c r="I2532" s="0">
        <v>280</v>
      </c>
      <c r="J2532" s="0">
        <v>4</v>
      </c>
    </row>
    <row r="2533" spans="1:10" customHeight="0">
      <c r="A2533" s="0">
        <f>HYPERLINK("https://dl.dropboxusercontent.com/scl/fi/5prln4wtxmdsmsgnvb8br/bristol-tn.jpg?rlkey=3jwk82uifym16lkudpdqelh0v&amp;dl=0","Click to download Image")</f>
      </c>
      <c r="B2533" s="0">
        <f>HYPERLINK("https://dl.dropboxusercontent.com/scl/fi/yb55tkamjzv1y2guu5of0/graphic-update2022-womens.jpg?rlkey=ldbz4bbxlln0rtuxzbnk1nlg6&amp;dl=0","Click to download SizeChart")</f>
      </c>
      <c r="C2533" s="0" t="inlineStr">
        <is>
          <t>Bristol Women's Long Sleeve Shirt</t>
        </is>
      </c>
      <c r="D2533" s="0" t="inlineStr">
        <is>
          <t>'107210</t>
        </is>
      </c>
      <c r="E2533" s="0" t="inlineStr">
        <is>
          <t>IA BRISTOL:107210A - S</t>
        </is>
      </c>
      <c r="F2533" s="0" t="inlineStr">
        <is>
          <t>'000000000000</t>
        </is>
      </c>
      <c r="G2533" s="0" t="inlineStr">
        <is>
          <t>WOMENS</t>
        </is>
      </c>
      <c r="H2533" s="0" t="inlineStr">
        <is>
          <t>S</t>
        </is>
      </c>
      <c r="I2533" s="0">
        <v>34.99</v>
      </c>
      <c r="J2533" s="0">
        <v>25</v>
      </c>
    </row>
    <row r="2534" spans="1:10" customHeight="0">
      <c r="A2534" s="0">
        <f>HYPERLINK("https://dl.dropboxusercontent.com/scl/fi/5prln4wtxmdsmsgnvb8br/bristol-tn.jpg?rlkey=3jwk82uifym16lkudpdqelh0v&amp;dl=0","Click to download Image")</f>
      </c>
      <c r="B2534" s="0">
        <f>HYPERLINK("https://dl.dropboxusercontent.com/scl/fi/yb55tkamjzv1y2guu5of0/graphic-update2022-womens.jpg?rlkey=ldbz4bbxlln0rtuxzbnk1nlg6&amp;dl=0","Click to download SizeChart")</f>
      </c>
      <c r="C2534" s="0" t="inlineStr">
        <is>
          <t>Bristol Women's Long Sleeve Shirt</t>
        </is>
      </c>
      <c r="D2534" s="0" t="inlineStr">
        <is>
          <t>'107210</t>
        </is>
      </c>
      <c r="E2534" s="0" t="inlineStr">
        <is>
          <t>IA BRISTOL:107210B - M</t>
        </is>
      </c>
      <c r="F2534" s="0" t="inlineStr">
        <is>
          <t>'000000000000</t>
        </is>
      </c>
      <c r="G2534" s="0" t="inlineStr">
        <is>
          <t>WOMENS</t>
        </is>
      </c>
      <c r="H2534" s="0" t="inlineStr">
        <is>
          <t>M</t>
        </is>
      </c>
      <c r="I2534" s="0">
        <v>34.99</v>
      </c>
      <c r="J2534" s="0">
        <v>69</v>
      </c>
    </row>
    <row r="2535" spans="1:10" customHeight="0">
      <c r="A2535" s="0">
        <f>HYPERLINK("https://dl.dropboxusercontent.com/scl/fi/5prln4wtxmdsmsgnvb8br/bristol-tn.jpg?rlkey=3jwk82uifym16lkudpdqelh0v&amp;dl=0","Click to download Image")</f>
      </c>
      <c r="B2535" s="0">
        <f>HYPERLINK("https://dl.dropboxusercontent.com/scl/fi/yb55tkamjzv1y2guu5of0/graphic-update2022-womens.jpg?rlkey=ldbz4bbxlln0rtuxzbnk1nlg6&amp;dl=0","Click to download SizeChart")</f>
      </c>
      <c r="C2535" s="0" t="inlineStr">
        <is>
          <t>Bristol Women's Long Sleeve Shirt</t>
        </is>
      </c>
      <c r="D2535" s="0" t="inlineStr">
        <is>
          <t>'107210</t>
        </is>
      </c>
      <c r="E2535" s="0" t="inlineStr">
        <is>
          <t>IA BRISTOL:107210C - L</t>
        </is>
      </c>
      <c r="F2535" s="0" t="inlineStr">
        <is>
          <t>'000000000000</t>
        </is>
      </c>
      <c r="G2535" s="0" t="inlineStr">
        <is>
          <t>WOMENS</t>
        </is>
      </c>
      <c r="H2535" s="0" t="inlineStr">
        <is>
          <t>L</t>
        </is>
      </c>
      <c r="I2535" s="0">
        <v>34.99</v>
      </c>
      <c r="J2535" s="0">
        <v>60</v>
      </c>
    </row>
    <row r="2536" spans="1:10" customHeight="0">
      <c r="A2536" s="0">
        <f>HYPERLINK("https://dl.dropboxusercontent.com/scl/fi/5prln4wtxmdsmsgnvb8br/bristol-tn.jpg?rlkey=3jwk82uifym16lkudpdqelh0v&amp;dl=0","Click to download Image")</f>
      </c>
      <c r="B2536" s="0">
        <f>HYPERLINK("https://dl.dropboxusercontent.com/scl/fi/yb55tkamjzv1y2guu5of0/graphic-update2022-womens.jpg?rlkey=ldbz4bbxlln0rtuxzbnk1nlg6&amp;dl=0","Click to download SizeChart")</f>
      </c>
      <c r="C2536" s="0" t="inlineStr">
        <is>
          <t>Bristol Women's Long Sleeve Shirt</t>
        </is>
      </c>
      <c r="D2536" s="0" t="inlineStr">
        <is>
          <t>'107210</t>
        </is>
      </c>
      <c r="E2536" s="0" t="inlineStr">
        <is>
          <t>IA BRISTOL:107210D - XL</t>
        </is>
      </c>
      <c r="F2536" s="0" t="inlineStr">
        <is>
          <t>'000000000000</t>
        </is>
      </c>
      <c r="G2536" s="0" t="inlineStr">
        <is>
          <t>WOMENS</t>
        </is>
      </c>
      <c r="H2536" s="0" t="inlineStr">
        <is>
          <t>XL</t>
        </is>
      </c>
      <c r="I2536" s="0">
        <v>34.99</v>
      </c>
      <c r="J2536" s="0">
        <v>14</v>
      </c>
    </row>
    <row r="2537" spans="1:10" customHeight="0">
      <c r="A2537" s="0">
        <f>HYPERLINK("https://dl.dropboxusercontent.com/scl/fi/5prln4wtxmdsmsgnvb8br/bristol-tn.jpg?rlkey=3jwk82uifym16lkudpdqelh0v&amp;dl=0","Click to download Image")</f>
      </c>
      <c r="B2537" s="0">
        <f>HYPERLINK("https://dl.dropboxusercontent.com/scl/fi/yb55tkamjzv1y2guu5of0/graphic-update2022-womens.jpg?rlkey=ldbz4bbxlln0rtuxzbnk1nlg6&amp;dl=0","Click to download SizeChart")</f>
      </c>
      <c r="C2537" s="0" t="inlineStr">
        <is>
          <t>Bristol Women's Long Sleeve Shirt</t>
        </is>
      </c>
      <c r="D2537" s="0" t="inlineStr">
        <is>
          <t>'107210</t>
        </is>
      </c>
      <c r="E2537" s="0" t="inlineStr">
        <is>
          <t>IA BRISTOL:107210E - 2XL</t>
        </is>
      </c>
      <c r="F2537" s="0" t="inlineStr">
        <is>
          <t>'000000000000</t>
        </is>
      </c>
      <c r="G2537" s="0" t="inlineStr">
        <is>
          <t>WOMENS</t>
        </is>
      </c>
      <c r="H2537" s="0" t="inlineStr">
        <is>
          <t>2XL</t>
        </is>
      </c>
      <c r="I2537" s="0">
        <v>34.99</v>
      </c>
      <c r="J2537" s="0">
        <v>0</v>
      </c>
    </row>
    <row r="2538" spans="1:10" customHeight="0">
      <c r="A2538" s="0">
        <f>HYPERLINK("https://dl.dropboxusercontent.com/scl/fi/5prln4wtxmdsmsgnvb8br/bristol-tn.jpg?rlkey=3jwk82uifym16lkudpdqelh0v&amp;dl=0","Click to download Image")</f>
      </c>
      <c r="B2538" s="0">
        <f>HYPERLINK("https://dl.dropboxusercontent.com/scl/fi/yb55tkamjzv1y2guu5of0/graphic-update2022-womens.jpg?rlkey=ldbz4bbxlln0rtuxzbnk1nlg6&amp;dl=0","Click to download SizeChart")</f>
      </c>
      <c r="C2538" s="0" t="inlineStr">
        <is>
          <t>Bristol Women's Long Sleeve Shirt</t>
        </is>
      </c>
      <c r="D2538" s="0" t="inlineStr">
        <is>
          <t>'107210</t>
        </is>
      </c>
      <c r="E2538" s="0" t="inlineStr">
        <is>
          <t>IA BRISTOL:107210F - 3XL</t>
        </is>
      </c>
      <c r="F2538" s="0" t="inlineStr">
        <is>
          <t>'000000000000</t>
        </is>
      </c>
      <c r="G2538" s="0" t="inlineStr">
        <is>
          <t>WOMENS</t>
        </is>
      </c>
      <c r="H2538" s="0" t="inlineStr">
        <is>
          <t>3XL</t>
        </is>
      </c>
      <c r="I2538" s="0">
        <v>34.99</v>
      </c>
      <c r="J2538" s="0">
        <v>4</v>
      </c>
    </row>
    <row r="2539" spans="1:10" customHeight="0">
      <c r="A2539" s="0">
        <f>HYPERLINK("https://dl.dropboxusercontent.com/scl/fi/ut4mhzpjvn4n0av1pdwaf/109585-af.jpg?rlkey=7wjjc9wsx0pj2ot4rmj9xrqgn&amp;dl=0","Click to download Image")</f>
      </c>
      <c r="B2539" s="0">
        <f>HYPERLINK("https://dl.dropboxusercontent.com/scl/fi/yb55tkamjzv1y2guu5of0/graphic-update2022-womens.jpg?rlkey=ldbz4bbxlln0rtuxzbnk1nlg6&amp;dl=0","Click to download SizeChart")</f>
      </c>
      <c r="C2539" s="0" t="inlineStr">
        <is>
          <t>Bristol Women's Long Sleeve Shirt</t>
        </is>
      </c>
      <c r="D2539" s="0" t="inlineStr">
        <is>
          <t>'109585</t>
        </is>
      </c>
      <c r="E2539" s="0" t="inlineStr">
        <is>
          <t>MU BRISTOL:109585A-S</t>
        </is>
      </c>
      <c r="F2539" s="0" t="inlineStr">
        <is>
          <t>'800109585015</t>
        </is>
      </c>
      <c r="G2539" s="0" t="inlineStr">
        <is>
          <t>WOMENS</t>
        </is>
      </c>
      <c r="H2539" s="0" t="inlineStr">
        <is>
          <t>S</t>
        </is>
      </c>
      <c r="I2539" s="0">
        <v>34.99</v>
      </c>
      <c r="J2539" s="0">
        <v>8</v>
      </c>
    </row>
    <row r="2540" spans="1:10" customHeight="0">
      <c r="A2540" s="0">
        <f>HYPERLINK("https://dl.dropboxusercontent.com/scl/fi/ut4mhzpjvn4n0av1pdwaf/109585-af.jpg?rlkey=7wjjc9wsx0pj2ot4rmj9xrqgn&amp;dl=0","Click to download Image")</f>
      </c>
      <c r="B2540" s="0">
        <f>HYPERLINK("https://dl.dropboxusercontent.com/scl/fi/yb55tkamjzv1y2guu5of0/graphic-update2022-womens.jpg?rlkey=ldbz4bbxlln0rtuxzbnk1nlg6&amp;dl=0","Click to download SizeChart")</f>
      </c>
      <c r="C2540" s="0" t="inlineStr">
        <is>
          <t>Bristol Women's Long Sleeve Shirt</t>
        </is>
      </c>
      <c r="D2540" s="0" t="inlineStr">
        <is>
          <t>'109585</t>
        </is>
      </c>
      <c r="E2540" s="0" t="inlineStr">
        <is>
          <t>MU BRISTOL:109585B-M</t>
        </is>
      </c>
      <c r="F2540" s="0" t="inlineStr">
        <is>
          <t>'800109585022</t>
        </is>
      </c>
      <c r="G2540" s="0" t="inlineStr">
        <is>
          <t>WOMENS</t>
        </is>
      </c>
      <c r="H2540" s="0" t="inlineStr">
        <is>
          <t>M</t>
        </is>
      </c>
      <c r="I2540" s="0">
        <v>34.99</v>
      </c>
      <c r="J2540" s="0">
        <v>16</v>
      </c>
    </row>
    <row r="2541" spans="1:10" customHeight="0">
      <c r="A2541" s="0">
        <f>HYPERLINK("https://dl.dropboxusercontent.com/scl/fi/ut4mhzpjvn4n0av1pdwaf/109585-af.jpg?rlkey=7wjjc9wsx0pj2ot4rmj9xrqgn&amp;dl=0","Click to download Image")</f>
      </c>
      <c r="B2541" s="0">
        <f>HYPERLINK("https://dl.dropboxusercontent.com/scl/fi/yb55tkamjzv1y2guu5of0/graphic-update2022-womens.jpg?rlkey=ldbz4bbxlln0rtuxzbnk1nlg6&amp;dl=0","Click to download SizeChart")</f>
      </c>
      <c r="C2541" s="0" t="inlineStr">
        <is>
          <t>Bristol Women's Long Sleeve Shirt</t>
        </is>
      </c>
      <c r="D2541" s="0" t="inlineStr">
        <is>
          <t>'109585</t>
        </is>
      </c>
      <c r="E2541" s="0" t="inlineStr">
        <is>
          <t>MU BRISTOL:109585C-L</t>
        </is>
      </c>
      <c r="F2541" s="0" t="inlineStr">
        <is>
          <t>'800109585039</t>
        </is>
      </c>
      <c r="G2541" s="0" t="inlineStr">
        <is>
          <t>WOMENS</t>
        </is>
      </c>
      <c r="H2541" s="0" t="inlineStr">
        <is>
          <t>L</t>
        </is>
      </c>
      <c r="I2541" s="0">
        <v>34.99</v>
      </c>
      <c r="J2541" s="0">
        <v>15</v>
      </c>
    </row>
    <row r="2542" spans="1:10" customHeight="0">
      <c r="A2542" s="0">
        <f>HYPERLINK("https://dl.dropboxusercontent.com/scl/fi/ut4mhzpjvn4n0av1pdwaf/109585-af.jpg?rlkey=7wjjc9wsx0pj2ot4rmj9xrqgn&amp;dl=0","Click to download Image")</f>
      </c>
      <c r="B2542" s="0">
        <f>HYPERLINK("https://dl.dropboxusercontent.com/scl/fi/yb55tkamjzv1y2guu5of0/graphic-update2022-womens.jpg?rlkey=ldbz4bbxlln0rtuxzbnk1nlg6&amp;dl=0","Click to download SizeChart")</f>
      </c>
      <c r="C2542" s="0" t="inlineStr">
        <is>
          <t>Bristol Women's Long Sleeve Shirt</t>
        </is>
      </c>
      <c r="D2542" s="0" t="inlineStr">
        <is>
          <t>'109585</t>
        </is>
      </c>
      <c r="E2542" s="0" t="inlineStr">
        <is>
          <t>MU BRISTOL:109585D-XL</t>
        </is>
      </c>
      <c r="F2542" s="0" t="inlineStr">
        <is>
          <t>'800109585046</t>
        </is>
      </c>
      <c r="G2542" s="0" t="inlineStr">
        <is>
          <t>WOMENS</t>
        </is>
      </c>
      <c r="H2542" s="0" t="inlineStr">
        <is>
          <t>XL</t>
        </is>
      </c>
      <c r="I2542" s="0">
        <v>34.99</v>
      </c>
      <c r="J2542" s="0">
        <v>8</v>
      </c>
    </row>
    <row r="2543" spans="1:10" customHeight="0">
      <c r="A2543" s="0">
        <f>HYPERLINK("https://dl.dropboxusercontent.com/scl/fi/ut4mhzpjvn4n0av1pdwaf/109585-af.jpg?rlkey=7wjjc9wsx0pj2ot4rmj9xrqgn&amp;dl=0","Click to download Image")</f>
      </c>
      <c r="B2543" s="0">
        <f>HYPERLINK("https://dl.dropboxusercontent.com/scl/fi/yb55tkamjzv1y2guu5of0/graphic-update2022-womens.jpg?rlkey=ldbz4bbxlln0rtuxzbnk1nlg6&amp;dl=0","Click to download SizeChart")</f>
      </c>
      <c r="C2543" s="0" t="inlineStr">
        <is>
          <t>Bristol Women's Long Sleeve Shirt</t>
        </is>
      </c>
      <c r="D2543" s="0" t="inlineStr">
        <is>
          <t>'109585</t>
        </is>
      </c>
      <c r="E2543" s="0" t="inlineStr">
        <is>
          <t>MU BRISTOL:109585E-2XL</t>
        </is>
      </c>
      <c r="F2543" s="0" t="inlineStr">
        <is>
          <t>'800109585053</t>
        </is>
      </c>
      <c r="G2543" s="0" t="inlineStr">
        <is>
          <t>WOMENS</t>
        </is>
      </c>
      <c r="H2543" s="0" t="inlineStr">
        <is>
          <t>2XL</t>
        </is>
      </c>
      <c r="I2543" s="0">
        <v>36.99</v>
      </c>
      <c r="J2543" s="0">
        <v>2</v>
      </c>
    </row>
    <row r="2544" spans="1:10" customHeight="0">
      <c r="A2544" s="0">
        <f>HYPERLINK("https://dl.dropboxusercontent.com/scl/fi/ut4mhzpjvn4n0av1pdwaf/109585-af.jpg?rlkey=7wjjc9wsx0pj2ot4rmj9xrqgn&amp;dl=0","Click to download Image")</f>
      </c>
      <c r="B2544" s="0">
        <f>HYPERLINK("https://dl.dropboxusercontent.com/scl/fi/yb55tkamjzv1y2guu5of0/graphic-update2022-womens.jpg?rlkey=ldbz4bbxlln0rtuxzbnk1nlg6&amp;dl=0","Click to download SizeChart")</f>
      </c>
      <c r="C2544" s="0" t="inlineStr">
        <is>
          <t>Bristol Women's Long Sleeve Shirt</t>
        </is>
      </c>
      <c r="D2544" s="0" t="inlineStr">
        <is>
          <t>'109585</t>
        </is>
      </c>
      <c r="E2544" s="0" t="inlineStr">
        <is>
          <t>MU BRISTOL:109585F-3XL</t>
        </is>
      </c>
      <c r="F2544" s="0" t="inlineStr">
        <is>
          <t>'800109585060</t>
        </is>
      </c>
      <c r="G2544" s="0" t="inlineStr">
        <is>
          <t>WOMENS</t>
        </is>
      </c>
      <c r="H2544" s="0" t="inlineStr">
        <is>
          <t>3XL</t>
        </is>
      </c>
      <c r="I2544" s="0">
        <v>36.99</v>
      </c>
      <c r="J2544" s="0">
        <v>2</v>
      </c>
    </row>
    <row r="2545" spans="1:10" customHeight="0">
      <c r="A2545" s="0">
        <f>HYPERLINK("https://dl.dropboxusercontent.com/scl/fi/o5022p1p04ki87962t41u/109586-af.jpg?rlkey=yrzwybfh3bxrdn6aspom23uto&amp;dl=0","Click to download Image")</f>
      </c>
      <c r="B2545" s="0">
        <f>HYPERLINK("https://dl.dropboxusercontent.com/scl/fi/yb55tkamjzv1y2guu5of0/graphic-update2022-womens.jpg?rlkey=ldbz4bbxlln0rtuxzbnk1nlg6&amp;dl=0","Click to download SizeChart")</f>
      </c>
      <c r="C2545" s="0" t="inlineStr">
        <is>
          <t>Bristol Women's Long Sleeve Shirt</t>
        </is>
      </c>
      <c r="D2545" s="0" t="inlineStr">
        <is>
          <t>'109586</t>
        </is>
      </c>
      <c r="E2545" s="0" t="inlineStr">
        <is>
          <t>MARQ BRISTOL:109586A-S</t>
        </is>
      </c>
      <c r="F2545" s="0" t="inlineStr">
        <is>
          <t>'800109586012</t>
        </is>
      </c>
      <c r="G2545" s="0" t="inlineStr">
        <is>
          <t>WOMENS</t>
        </is>
      </c>
      <c r="H2545" s="0" t="inlineStr">
        <is>
          <t>S</t>
        </is>
      </c>
      <c r="I2545" s="0">
        <v>34.99</v>
      </c>
      <c r="J2545" s="0">
        <v>7</v>
      </c>
    </row>
    <row r="2546" spans="1:10" customHeight="0">
      <c r="A2546" s="0">
        <f>HYPERLINK("https://dl.dropboxusercontent.com/scl/fi/o5022p1p04ki87962t41u/109586-af.jpg?rlkey=yrzwybfh3bxrdn6aspom23uto&amp;dl=0","Click to download Image")</f>
      </c>
      <c r="B2546" s="0">
        <f>HYPERLINK("https://dl.dropboxusercontent.com/scl/fi/yb55tkamjzv1y2guu5of0/graphic-update2022-womens.jpg?rlkey=ldbz4bbxlln0rtuxzbnk1nlg6&amp;dl=0","Click to download SizeChart")</f>
      </c>
      <c r="C2546" s="0" t="inlineStr">
        <is>
          <t>Bristol Women's Long Sleeve Shirt</t>
        </is>
      </c>
      <c r="D2546" s="0" t="inlineStr">
        <is>
          <t>'109586</t>
        </is>
      </c>
      <c r="E2546" s="0" t="inlineStr">
        <is>
          <t>MARQ BRISTOL:109586B-M</t>
        </is>
      </c>
      <c r="F2546" s="0" t="inlineStr">
        <is>
          <t>'800109586029</t>
        </is>
      </c>
      <c r="G2546" s="0" t="inlineStr">
        <is>
          <t>WOMENS</t>
        </is>
      </c>
      <c r="H2546" s="0" t="inlineStr">
        <is>
          <t>M</t>
        </is>
      </c>
      <c r="I2546" s="0">
        <v>34.99</v>
      </c>
      <c r="J2546" s="0">
        <v>14</v>
      </c>
    </row>
    <row r="2547" spans="1:10" customHeight="0">
      <c r="A2547" s="0">
        <f>HYPERLINK("https://dl.dropboxusercontent.com/scl/fi/o5022p1p04ki87962t41u/109586-af.jpg?rlkey=yrzwybfh3bxrdn6aspom23uto&amp;dl=0","Click to download Image")</f>
      </c>
      <c r="B2547" s="0">
        <f>HYPERLINK("https://dl.dropboxusercontent.com/scl/fi/yb55tkamjzv1y2guu5of0/graphic-update2022-womens.jpg?rlkey=ldbz4bbxlln0rtuxzbnk1nlg6&amp;dl=0","Click to download SizeChart")</f>
      </c>
      <c r="C2547" s="0" t="inlineStr">
        <is>
          <t>Bristol Women's Long Sleeve Shirt</t>
        </is>
      </c>
      <c r="D2547" s="0" t="inlineStr">
        <is>
          <t>'109586</t>
        </is>
      </c>
      <c r="E2547" s="0" t="inlineStr">
        <is>
          <t>MARQ BRISTOL:109586C-L</t>
        </is>
      </c>
      <c r="F2547" s="0" t="inlineStr">
        <is>
          <t>'800109586036</t>
        </is>
      </c>
      <c r="G2547" s="0" t="inlineStr">
        <is>
          <t>WOMENS</t>
        </is>
      </c>
      <c r="H2547" s="0" t="inlineStr">
        <is>
          <t>L</t>
        </is>
      </c>
      <c r="I2547" s="0">
        <v>34.99</v>
      </c>
      <c r="J2547" s="0">
        <v>16</v>
      </c>
    </row>
    <row r="2548" spans="1:10" customHeight="0">
      <c r="A2548" s="0">
        <f>HYPERLINK("https://dl.dropboxusercontent.com/scl/fi/o5022p1p04ki87962t41u/109586-af.jpg?rlkey=yrzwybfh3bxrdn6aspom23uto&amp;dl=0","Click to download Image")</f>
      </c>
      <c r="B2548" s="0">
        <f>HYPERLINK("https://dl.dropboxusercontent.com/scl/fi/yb55tkamjzv1y2guu5of0/graphic-update2022-womens.jpg?rlkey=ldbz4bbxlln0rtuxzbnk1nlg6&amp;dl=0","Click to download SizeChart")</f>
      </c>
      <c r="C2548" s="0" t="inlineStr">
        <is>
          <t>Bristol Women's Long Sleeve Shirt</t>
        </is>
      </c>
      <c r="D2548" s="0" t="inlineStr">
        <is>
          <t>'109586</t>
        </is>
      </c>
      <c r="E2548" s="0" t="inlineStr">
        <is>
          <t>MARQ BRISTOL:109586D-XL</t>
        </is>
      </c>
      <c r="F2548" s="0" t="inlineStr">
        <is>
          <t>'800109586043</t>
        </is>
      </c>
      <c r="G2548" s="0" t="inlineStr">
        <is>
          <t>WOMENS</t>
        </is>
      </c>
      <c r="H2548" s="0" t="inlineStr">
        <is>
          <t>XL</t>
        </is>
      </c>
      <c r="I2548" s="0">
        <v>34.99</v>
      </c>
      <c r="J2548" s="0">
        <v>8</v>
      </c>
    </row>
    <row r="2549" spans="1:10" customHeight="0">
      <c r="A2549" s="0">
        <f>HYPERLINK("https://dl.dropboxusercontent.com/scl/fi/o5022p1p04ki87962t41u/109586-af.jpg?rlkey=yrzwybfh3bxrdn6aspom23uto&amp;dl=0","Click to download Image")</f>
      </c>
      <c r="B2549" s="0">
        <f>HYPERLINK("https://dl.dropboxusercontent.com/scl/fi/yb55tkamjzv1y2guu5of0/graphic-update2022-womens.jpg?rlkey=ldbz4bbxlln0rtuxzbnk1nlg6&amp;dl=0","Click to download SizeChart")</f>
      </c>
      <c r="C2549" s="0" t="inlineStr">
        <is>
          <t>Bristol Women's Long Sleeve Shirt</t>
        </is>
      </c>
      <c r="D2549" s="0" t="inlineStr">
        <is>
          <t>'109586</t>
        </is>
      </c>
      <c r="E2549" s="0" t="inlineStr">
        <is>
          <t>MARQ BRISTOL:109586E-2XL</t>
        </is>
      </c>
      <c r="F2549" s="0" t="inlineStr">
        <is>
          <t>'800109586050</t>
        </is>
      </c>
      <c r="G2549" s="0" t="inlineStr">
        <is>
          <t>WOMENS</t>
        </is>
      </c>
      <c r="H2549" s="0" t="inlineStr">
        <is>
          <t>2XL</t>
        </is>
      </c>
      <c r="I2549" s="0">
        <v>36.99</v>
      </c>
      <c r="J2549" s="0">
        <v>2</v>
      </c>
    </row>
    <row r="2550" spans="1:10" customHeight="0">
      <c r="A2550" s="0">
        <f>HYPERLINK("https://dl.dropboxusercontent.com/scl/fi/o5022p1p04ki87962t41u/109586-af.jpg?rlkey=yrzwybfh3bxrdn6aspom23uto&amp;dl=0","Click to download Image")</f>
      </c>
      <c r="B2550" s="0">
        <f>HYPERLINK("https://dl.dropboxusercontent.com/scl/fi/yb55tkamjzv1y2guu5of0/graphic-update2022-womens.jpg?rlkey=ldbz4bbxlln0rtuxzbnk1nlg6&amp;dl=0","Click to download SizeChart")</f>
      </c>
      <c r="C2550" s="0" t="inlineStr">
        <is>
          <t>Bristol Women's Long Sleeve Shirt</t>
        </is>
      </c>
      <c r="D2550" s="0" t="inlineStr">
        <is>
          <t>'109586</t>
        </is>
      </c>
      <c r="E2550" s="0" t="inlineStr">
        <is>
          <t>MARQ BRISTOL:109586F-3XL</t>
        </is>
      </c>
      <c r="F2550" s="0" t="inlineStr">
        <is>
          <t>'800109586067</t>
        </is>
      </c>
      <c r="G2550" s="0" t="inlineStr">
        <is>
          <t>WOMENS</t>
        </is>
      </c>
      <c r="H2550" s="0" t="inlineStr">
        <is>
          <t>3XL</t>
        </is>
      </c>
      <c r="I2550" s="0">
        <v>36.99</v>
      </c>
      <c r="J2550" s="0">
        <v>2</v>
      </c>
    </row>
    <row r="2551" spans="1:10" customHeight="0">
      <c r="A2551" s="0">
        <f>HYPERLINK("https://dl.dropboxusercontent.com/scl/fi/zhidztqz4lnatw0aglinc/107211af42093.jpg?rlkey=it5v2ly736doly3dpdsz89pvl&amp;dl=0","Click to download Image")</f>
      </c>
      <c r="B2551" s="0">
        <f>HYPERLINK("https://dl.dropboxusercontent.com/scl/fi/yb55tkamjzv1y2guu5of0/graphic-update2022-womens.jpg?rlkey=ldbz4bbxlln0rtuxzbnk1nlg6&amp;dl=0","Click to download SizeChart")</f>
      </c>
      <c r="C2551" s="0" t="inlineStr">
        <is>
          <t>Bristol Women's Long Sleeve Shirt</t>
        </is>
      </c>
      <c r="D2551" s="0" t="inlineStr">
        <is>
          <t>'109587</t>
        </is>
      </c>
      <c r="E2551" s="0" t="inlineStr">
        <is>
          <t>PURDUE BRISTOL:109587A-S</t>
        </is>
      </c>
      <c r="F2551" s="0" t="inlineStr">
        <is>
          <t>'800109587019</t>
        </is>
      </c>
      <c r="G2551" s="0" t="inlineStr">
        <is>
          <t>WOMENS</t>
        </is>
      </c>
      <c r="H2551" s="0" t="inlineStr">
        <is>
          <t>S</t>
        </is>
      </c>
      <c r="I2551" s="0">
        <v>34.99</v>
      </c>
      <c r="J2551" s="0">
        <v>6</v>
      </c>
    </row>
    <row r="2552" spans="1:10" customHeight="0">
      <c r="A2552" s="0">
        <f>HYPERLINK("https://dl.dropboxusercontent.com/scl/fi/zhidztqz4lnatw0aglinc/107211af42093.jpg?rlkey=it5v2ly736doly3dpdsz89pvl&amp;dl=0","Click to download Image")</f>
      </c>
      <c r="B2552" s="0">
        <f>HYPERLINK("https://dl.dropboxusercontent.com/scl/fi/yb55tkamjzv1y2guu5of0/graphic-update2022-womens.jpg?rlkey=ldbz4bbxlln0rtuxzbnk1nlg6&amp;dl=0","Click to download SizeChart")</f>
      </c>
      <c r="C2552" s="0" t="inlineStr">
        <is>
          <t>Bristol Women's Long Sleeve Shirt</t>
        </is>
      </c>
      <c r="D2552" s="0" t="inlineStr">
        <is>
          <t>'109587</t>
        </is>
      </c>
      <c r="E2552" s="0" t="inlineStr">
        <is>
          <t>PURDUE BRISTOL:109587B-M</t>
        </is>
      </c>
      <c r="F2552" s="0" t="inlineStr">
        <is>
          <t>'800109587026</t>
        </is>
      </c>
      <c r="G2552" s="0" t="inlineStr">
        <is>
          <t>WOMENS</t>
        </is>
      </c>
      <c r="H2552" s="0" t="inlineStr">
        <is>
          <t>M</t>
        </is>
      </c>
      <c r="I2552" s="0">
        <v>34.99</v>
      </c>
      <c r="J2552" s="0">
        <v>15</v>
      </c>
    </row>
    <row r="2553" spans="1:10" customHeight="0">
      <c r="A2553" s="0">
        <f>HYPERLINK("https://dl.dropboxusercontent.com/scl/fi/zhidztqz4lnatw0aglinc/107211af42093.jpg?rlkey=it5v2ly736doly3dpdsz89pvl&amp;dl=0","Click to download Image")</f>
      </c>
      <c r="B2553" s="0">
        <f>HYPERLINK("https://dl.dropboxusercontent.com/scl/fi/yb55tkamjzv1y2guu5of0/graphic-update2022-womens.jpg?rlkey=ldbz4bbxlln0rtuxzbnk1nlg6&amp;dl=0","Click to download SizeChart")</f>
      </c>
      <c r="C2553" s="0" t="inlineStr">
        <is>
          <t>Bristol Women's Long Sleeve Shirt</t>
        </is>
      </c>
      <c r="D2553" s="0" t="inlineStr">
        <is>
          <t>'109587</t>
        </is>
      </c>
      <c r="E2553" s="0" t="inlineStr">
        <is>
          <t>PURDUE BRISTOL:109587C-L</t>
        </is>
      </c>
      <c r="F2553" s="0" t="inlineStr">
        <is>
          <t>'800109587033</t>
        </is>
      </c>
      <c r="G2553" s="0" t="inlineStr">
        <is>
          <t>WOMENS</t>
        </is>
      </c>
      <c r="H2553" s="0" t="inlineStr">
        <is>
          <t>L</t>
        </is>
      </c>
      <c r="I2553" s="0">
        <v>34.99</v>
      </c>
      <c r="J2553" s="0">
        <v>16</v>
      </c>
    </row>
    <row r="2554" spans="1:10" customHeight="0">
      <c r="A2554" s="0">
        <f>HYPERLINK("https://dl.dropboxusercontent.com/scl/fi/zhidztqz4lnatw0aglinc/107211af42093.jpg?rlkey=it5v2ly736doly3dpdsz89pvl&amp;dl=0","Click to download Image")</f>
      </c>
      <c r="B2554" s="0">
        <f>HYPERLINK("https://dl.dropboxusercontent.com/scl/fi/yb55tkamjzv1y2guu5of0/graphic-update2022-womens.jpg?rlkey=ldbz4bbxlln0rtuxzbnk1nlg6&amp;dl=0","Click to download SizeChart")</f>
      </c>
      <c r="C2554" s="0" t="inlineStr">
        <is>
          <t>Bristol Women's Long Sleeve Shirt</t>
        </is>
      </c>
      <c r="D2554" s="0" t="inlineStr">
        <is>
          <t>'109587</t>
        </is>
      </c>
      <c r="E2554" s="0" t="inlineStr">
        <is>
          <t>PURDUE BRISTOL:109587D-XL</t>
        </is>
      </c>
      <c r="F2554" s="0" t="inlineStr">
        <is>
          <t>'800109587040</t>
        </is>
      </c>
      <c r="G2554" s="0" t="inlineStr">
        <is>
          <t>WOMENS</t>
        </is>
      </c>
      <c r="H2554" s="0" t="inlineStr">
        <is>
          <t>XL</t>
        </is>
      </c>
      <c r="I2554" s="0">
        <v>34.99</v>
      </c>
      <c r="J2554" s="0">
        <v>8</v>
      </c>
    </row>
    <row r="2555" spans="1:10" customHeight="0">
      <c r="A2555" s="0">
        <f>HYPERLINK("https://dl.dropboxusercontent.com/scl/fi/zhidztqz4lnatw0aglinc/107211af42093.jpg?rlkey=it5v2ly736doly3dpdsz89pvl&amp;dl=0","Click to download Image")</f>
      </c>
      <c r="B2555" s="0">
        <f>HYPERLINK("https://dl.dropboxusercontent.com/scl/fi/yb55tkamjzv1y2guu5of0/graphic-update2022-womens.jpg?rlkey=ldbz4bbxlln0rtuxzbnk1nlg6&amp;dl=0","Click to download SizeChart")</f>
      </c>
      <c r="C2555" s="0" t="inlineStr">
        <is>
          <t>Bristol Women's Long Sleeve Shirt</t>
        </is>
      </c>
      <c r="D2555" s="0" t="inlineStr">
        <is>
          <t>'109587</t>
        </is>
      </c>
      <c r="E2555" s="0" t="inlineStr">
        <is>
          <t>PURDUE BRISTOL:109587E-2XL</t>
        </is>
      </c>
      <c r="F2555" s="0" t="inlineStr">
        <is>
          <t>'800109587057</t>
        </is>
      </c>
      <c r="G2555" s="0" t="inlineStr">
        <is>
          <t>WOMENS</t>
        </is>
      </c>
      <c r="H2555" s="0" t="inlineStr">
        <is>
          <t>2XL</t>
        </is>
      </c>
      <c r="I2555" s="0">
        <v>36.99</v>
      </c>
      <c r="J2555" s="0">
        <v>1</v>
      </c>
    </row>
    <row r="2556" spans="1:10" customHeight="0">
      <c r="A2556" s="0">
        <f>HYPERLINK("https://dl.dropboxusercontent.com/scl/fi/zhidztqz4lnatw0aglinc/107211af42093.jpg?rlkey=it5v2ly736doly3dpdsz89pvl&amp;dl=0","Click to download Image")</f>
      </c>
      <c r="B2556" s="0">
        <f>HYPERLINK("https://dl.dropboxusercontent.com/scl/fi/yb55tkamjzv1y2guu5of0/graphic-update2022-womens.jpg?rlkey=ldbz4bbxlln0rtuxzbnk1nlg6&amp;dl=0","Click to download SizeChart")</f>
      </c>
      <c r="C2556" s="0" t="inlineStr">
        <is>
          <t>Bristol Women's Long Sleeve Shirt</t>
        </is>
      </c>
      <c r="D2556" s="0" t="inlineStr">
        <is>
          <t>'109587</t>
        </is>
      </c>
      <c r="E2556" s="0" t="inlineStr">
        <is>
          <t>PURDUE BRISTOL:109587F-3XL</t>
        </is>
      </c>
      <c r="F2556" s="0" t="inlineStr">
        <is>
          <t>'800109587064</t>
        </is>
      </c>
      <c r="G2556" s="0" t="inlineStr">
        <is>
          <t>WOMENS</t>
        </is>
      </c>
      <c r="H2556" s="0" t="inlineStr">
        <is>
          <t>3XL</t>
        </is>
      </c>
      <c r="I2556" s="0">
        <v>36.99</v>
      </c>
      <c r="J2556" s="0">
        <v>0</v>
      </c>
    </row>
    <row r="2557" spans="1:10" customHeight="0">
      <c r="A2557" s="0">
        <f>HYPERLINK("https://dl.dropboxusercontent.com/scl/fi/7mvuibiuz7br4mbnond7t/107035af.jpg?rlkey=adblhubd7im34lt18g831qvd4&amp;dl=0","Click to download Image")</f>
      </c>
      <c r="B2557" s="0">
        <f>HYPERLINK("https://dl.dropboxusercontent.com/scl/fi/7fy1v8umtepzk421hpnwg/womens-size-chartsbrooklyn.jpg?rlkey=s8hv0m5pdd6bj961elvhx46nv&amp;dl=0","Click to download SizeChart")</f>
      </c>
      <c r="C2557" s="0" t="inlineStr">
        <is>
          <t>Brooklyn Women's Off Shoulder Sweatshirt</t>
        </is>
      </c>
      <c r="D2557" s="0" t="inlineStr">
        <is>
          <t>'107035</t>
        </is>
      </c>
      <c r="E2557" s="0" t="inlineStr">
        <is>
          <t>IA BROOKLYN:107035A-S</t>
        </is>
      </c>
      <c r="F2557" s="0" t="inlineStr">
        <is>
          <t>'800107035017</t>
        </is>
      </c>
      <c r="G2557" s="0" t="inlineStr">
        <is>
          <t>WOMENS</t>
        </is>
      </c>
      <c r="H2557" s="0" t="inlineStr">
        <is>
          <t>S</t>
        </is>
      </c>
      <c r="I2557" s="0">
        <v>42.99</v>
      </c>
      <c r="J2557" s="0">
        <v>0</v>
      </c>
    </row>
    <row r="2558" spans="1:10" customHeight="0">
      <c r="A2558" s="0">
        <f>HYPERLINK("https://dl.dropboxusercontent.com/scl/fi/7mvuibiuz7br4mbnond7t/107035af.jpg?rlkey=adblhubd7im34lt18g831qvd4&amp;dl=0","Click to download Image")</f>
      </c>
      <c r="B2558" s="0">
        <f>HYPERLINK("https://dl.dropboxusercontent.com/scl/fi/7fy1v8umtepzk421hpnwg/womens-size-chartsbrooklyn.jpg?rlkey=s8hv0m5pdd6bj961elvhx46nv&amp;dl=0","Click to download SizeChart")</f>
      </c>
      <c r="C2558" s="0" t="inlineStr">
        <is>
          <t>Brooklyn Women's Off Shoulder Sweatshirt</t>
        </is>
      </c>
      <c r="D2558" s="0" t="inlineStr">
        <is>
          <t>'107035</t>
        </is>
      </c>
      <c r="E2558" s="0" t="inlineStr">
        <is>
          <t>IA BROOKLYN:107035B-M</t>
        </is>
      </c>
      <c r="F2558" s="0" t="inlineStr">
        <is>
          <t>'800107035024</t>
        </is>
      </c>
      <c r="G2558" s="0" t="inlineStr">
        <is>
          <t>WOMENS</t>
        </is>
      </c>
      <c r="H2558" s="0" t="inlineStr">
        <is>
          <t>M</t>
        </is>
      </c>
      <c r="I2558" s="0">
        <v>42.99</v>
      </c>
      <c r="J2558" s="0">
        <v>39</v>
      </c>
    </row>
    <row r="2559" spans="1:10" customHeight="0">
      <c r="A2559" s="0">
        <f>HYPERLINK("https://dl.dropboxusercontent.com/scl/fi/7mvuibiuz7br4mbnond7t/107035af.jpg?rlkey=adblhubd7im34lt18g831qvd4&amp;dl=0","Click to download Image")</f>
      </c>
      <c r="B2559" s="0">
        <f>HYPERLINK("https://dl.dropboxusercontent.com/scl/fi/7fy1v8umtepzk421hpnwg/womens-size-chartsbrooklyn.jpg?rlkey=s8hv0m5pdd6bj961elvhx46nv&amp;dl=0","Click to download SizeChart")</f>
      </c>
      <c r="C2559" s="0" t="inlineStr">
        <is>
          <t>Brooklyn Women's Off Shoulder Sweatshirt</t>
        </is>
      </c>
      <c r="D2559" s="0" t="inlineStr">
        <is>
          <t>'107035</t>
        </is>
      </c>
      <c r="E2559" s="0" t="inlineStr">
        <is>
          <t>IA BROOKLYN:107035C-L</t>
        </is>
      </c>
      <c r="F2559" s="0" t="inlineStr">
        <is>
          <t>'800107035031</t>
        </is>
      </c>
      <c r="G2559" s="0" t="inlineStr">
        <is>
          <t>WOMENS</t>
        </is>
      </c>
      <c r="H2559" s="0" t="inlineStr">
        <is>
          <t>L</t>
        </is>
      </c>
      <c r="I2559" s="0">
        <v>42.99</v>
      </c>
      <c r="J2559" s="0">
        <v>31</v>
      </c>
    </row>
    <row r="2560" spans="1:10" customHeight="0">
      <c r="A2560" s="0">
        <f>HYPERLINK("https://dl.dropboxusercontent.com/scl/fi/7mvuibiuz7br4mbnond7t/107035af.jpg?rlkey=adblhubd7im34lt18g831qvd4&amp;dl=0","Click to download Image")</f>
      </c>
      <c r="B2560" s="0">
        <f>HYPERLINK("https://dl.dropboxusercontent.com/scl/fi/7fy1v8umtepzk421hpnwg/womens-size-chartsbrooklyn.jpg?rlkey=s8hv0m5pdd6bj961elvhx46nv&amp;dl=0","Click to download SizeChart")</f>
      </c>
      <c r="C2560" s="0" t="inlineStr">
        <is>
          <t>Brooklyn Women's Off Shoulder Sweatshirt</t>
        </is>
      </c>
      <c r="D2560" s="0" t="inlineStr">
        <is>
          <t>'107035</t>
        </is>
      </c>
      <c r="E2560" s="0" t="inlineStr">
        <is>
          <t>IA BROOKLYN:107035D-XL</t>
        </is>
      </c>
      <c r="F2560" s="0" t="inlineStr">
        <is>
          <t>'800107035048</t>
        </is>
      </c>
      <c r="G2560" s="0" t="inlineStr">
        <is>
          <t>WOMENS</t>
        </is>
      </c>
      <c r="H2560" s="0" t="inlineStr">
        <is>
          <t>XL</t>
        </is>
      </c>
      <c r="I2560" s="0">
        <v>42.99</v>
      </c>
      <c r="J2560" s="0">
        <v>0</v>
      </c>
    </row>
    <row r="2561" spans="1:10" customHeight="0">
      <c r="A2561" s="0">
        <f>HYPERLINK("https://dl.dropboxusercontent.com/scl/fi/7mvuibiuz7br4mbnond7t/107035af.jpg?rlkey=adblhubd7im34lt18g831qvd4&amp;dl=0","Click to download Image")</f>
      </c>
      <c r="B2561" s="0">
        <f>HYPERLINK("https://dl.dropboxusercontent.com/scl/fi/7fy1v8umtepzk421hpnwg/womens-size-chartsbrooklyn.jpg?rlkey=s8hv0m5pdd6bj961elvhx46nv&amp;dl=0","Click to download SizeChart")</f>
      </c>
      <c r="C2561" s="0" t="inlineStr">
        <is>
          <t>Brooklyn Women's Off Shoulder Sweatshirt</t>
        </is>
      </c>
      <c r="D2561" s="0" t="inlineStr">
        <is>
          <t>'107035</t>
        </is>
      </c>
      <c r="E2561" s="0" t="inlineStr">
        <is>
          <t>IA BROOKLYN:107035E-2XL</t>
        </is>
      </c>
      <c r="F2561" s="0" t="inlineStr">
        <is>
          <t>'800107035055</t>
        </is>
      </c>
      <c r="G2561" s="0" t="inlineStr">
        <is>
          <t>WOMENS</t>
        </is>
      </c>
      <c r="H2561" s="0" t="inlineStr">
        <is>
          <t>2XL</t>
        </is>
      </c>
      <c r="I2561" s="0">
        <v>44.99</v>
      </c>
      <c r="J2561" s="0">
        <v>0</v>
      </c>
    </row>
    <row r="2562" spans="1:10" customHeight="0">
      <c r="A2562" s="0">
        <f>HYPERLINK("https://dl.dropboxusercontent.com/scl/fi/7mvuibiuz7br4mbnond7t/107035af.jpg?rlkey=adblhubd7im34lt18g831qvd4&amp;dl=0","Click to download Image")</f>
      </c>
      <c r="B2562" s="0">
        <f>HYPERLINK("https://dl.dropboxusercontent.com/scl/fi/7fy1v8umtepzk421hpnwg/womens-size-chartsbrooklyn.jpg?rlkey=s8hv0m5pdd6bj961elvhx46nv&amp;dl=0","Click to download SizeChart")</f>
      </c>
      <c r="C2562" s="0" t="inlineStr">
        <is>
          <t>Brooklyn Women's Off Shoulder Sweatshirt</t>
        </is>
      </c>
      <c r="D2562" s="0" t="inlineStr">
        <is>
          <t>'107035</t>
        </is>
      </c>
      <c r="E2562" s="0" t="inlineStr">
        <is>
          <t>IA BROOKLYN:107035F-3XL</t>
        </is>
      </c>
      <c r="F2562" s="0" t="inlineStr">
        <is>
          <t>'800107035062</t>
        </is>
      </c>
      <c r="G2562" s="0" t="inlineStr">
        <is>
          <t>WOMENS</t>
        </is>
      </c>
      <c r="H2562" s="0" t="inlineStr">
        <is>
          <t>3XL</t>
        </is>
      </c>
      <c r="I2562" s="0">
        <v>44.99</v>
      </c>
      <c r="J2562" s="0">
        <v>0</v>
      </c>
    </row>
    <row r="2563" spans="1:10" customHeight="0">
      <c r="A2563" s="0">
        <f>HYPERLINK("https://dl.dropboxusercontent.com/scl/fi/towmwpp4grbjlsca449iw/brooklyn-tn.jpg?rlkey=jq98rwa49r501i2odpykwr5cs&amp;dl=0","Click to download Image")</f>
      </c>
      <c r="B2563" s="0">
        <f>HYPERLINK("https://dl.dropboxusercontent.com/scl/fi/7fy1v8umtepzk421hpnwg/womens-size-chartsbrooklyn.jpg?rlkey=s8hv0m5pdd6bj961elvhx46nv&amp;dl=0","Click to download SizeChart")</f>
      </c>
      <c r="C2563" s="0" t="inlineStr">
        <is>
          <t>Brooklyn Women's Off Shoulder Sweatshirt</t>
        </is>
      </c>
      <c r="D2563" s="0" t="inlineStr">
        <is>
          <t>'109363</t>
        </is>
      </c>
      <c r="E2563" s="0" t="inlineStr">
        <is>
          <t>KSU BROOKLYN:109363A-S</t>
        </is>
      </c>
      <c r="F2563" s="0" t="inlineStr">
        <is>
          <t>'800109363019</t>
        </is>
      </c>
      <c r="G2563" s="0" t="inlineStr">
        <is>
          <t>WOMENS</t>
        </is>
      </c>
      <c r="H2563" s="0" t="inlineStr">
        <is>
          <t>S</t>
        </is>
      </c>
      <c r="I2563" s="0">
        <v>42.99</v>
      </c>
      <c r="J2563" s="0">
        <v>12</v>
      </c>
    </row>
    <row r="2564" spans="1:10" customHeight="0">
      <c r="A2564" s="0">
        <f>HYPERLINK("https://dl.dropboxusercontent.com/scl/fi/towmwpp4grbjlsca449iw/brooklyn-tn.jpg?rlkey=jq98rwa49r501i2odpykwr5cs&amp;dl=0","Click to download Image")</f>
      </c>
      <c r="B2564" s="0">
        <f>HYPERLINK("https://dl.dropboxusercontent.com/scl/fi/7fy1v8umtepzk421hpnwg/womens-size-chartsbrooklyn.jpg?rlkey=s8hv0m5pdd6bj961elvhx46nv&amp;dl=0","Click to download SizeChart")</f>
      </c>
      <c r="C2564" s="0" t="inlineStr">
        <is>
          <t>Brooklyn Women's Off Shoulder Sweatshirt</t>
        </is>
      </c>
      <c r="D2564" s="0" t="inlineStr">
        <is>
          <t>'109363</t>
        </is>
      </c>
      <c r="E2564" s="0" t="inlineStr">
        <is>
          <t>KSU BROOKLYN:109363B-M</t>
        </is>
      </c>
      <c r="F2564" s="0" t="inlineStr">
        <is>
          <t>'800109363026</t>
        </is>
      </c>
      <c r="G2564" s="0" t="inlineStr">
        <is>
          <t>WOMENS</t>
        </is>
      </c>
      <c r="H2564" s="0" t="inlineStr">
        <is>
          <t>M</t>
        </is>
      </c>
      <c r="I2564" s="0">
        <v>42.99</v>
      </c>
      <c r="J2564" s="0">
        <v>23</v>
      </c>
    </row>
    <row r="2565" spans="1:10" customHeight="0">
      <c r="A2565" s="0">
        <f>HYPERLINK("https://dl.dropboxusercontent.com/scl/fi/towmwpp4grbjlsca449iw/brooklyn-tn.jpg?rlkey=jq98rwa49r501i2odpykwr5cs&amp;dl=0","Click to download Image")</f>
      </c>
      <c r="B2565" s="0">
        <f>HYPERLINK("https://dl.dropboxusercontent.com/scl/fi/7fy1v8umtepzk421hpnwg/womens-size-chartsbrooklyn.jpg?rlkey=s8hv0m5pdd6bj961elvhx46nv&amp;dl=0","Click to download SizeChart")</f>
      </c>
      <c r="C2565" s="0" t="inlineStr">
        <is>
          <t>Brooklyn Women's Off Shoulder Sweatshirt</t>
        </is>
      </c>
      <c r="D2565" s="0" t="inlineStr">
        <is>
          <t>'109363</t>
        </is>
      </c>
      <c r="E2565" s="0" t="inlineStr">
        <is>
          <t>KSU BROOKLYN:109363C-L</t>
        </is>
      </c>
      <c r="F2565" s="0" t="inlineStr">
        <is>
          <t>'800109363033</t>
        </is>
      </c>
      <c r="G2565" s="0" t="inlineStr">
        <is>
          <t>WOMENS</t>
        </is>
      </c>
      <c r="H2565" s="0" t="inlineStr">
        <is>
          <t>L</t>
        </is>
      </c>
      <c r="I2565" s="0">
        <v>42.99</v>
      </c>
      <c r="J2565" s="0">
        <v>24</v>
      </c>
    </row>
    <row r="2566" spans="1:10" customHeight="0">
      <c r="A2566" s="0">
        <f>HYPERLINK("https://dl.dropboxusercontent.com/scl/fi/towmwpp4grbjlsca449iw/brooklyn-tn.jpg?rlkey=jq98rwa49r501i2odpykwr5cs&amp;dl=0","Click to download Image")</f>
      </c>
      <c r="B2566" s="0">
        <f>HYPERLINK("https://dl.dropboxusercontent.com/scl/fi/7fy1v8umtepzk421hpnwg/womens-size-chartsbrooklyn.jpg?rlkey=s8hv0m5pdd6bj961elvhx46nv&amp;dl=0","Click to download SizeChart")</f>
      </c>
      <c r="C2566" s="0" t="inlineStr">
        <is>
          <t>Brooklyn Women's Off Shoulder Sweatshirt</t>
        </is>
      </c>
      <c r="D2566" s="0" t="inlineStr">
        <is>
          <t>'109363</t>
        </is>
      </c>
      <c r="E2566" s="0" t="inlineStr">
        <is>
          <t>KSU BROOKLYN:109363D-XL</t>
        </is>
      </c>
      <c r="F2566" s="0" t="inlineStr">
        <is>
          <t>'800109363040</t>
        </is>
      </c>
      <c r="G2566" s="0" t="inlineStr">
        <is>
          <t>WOMENS</t>
        </is>
      </c>
      <c r="H2566" s="0" t="inlineStr">
        <is>
          <t>XL</t>
        </is>
      </c>
      <c r="I2566" s="0">
        <v>42.99</v>
      </c>
      <c r="J2566" s="0">
        <v>11</v>
      </c>
    </row>
    <row r="2567" spans="1:10" customHeight="0">
      <c r="A2567" s="0">
        <f>HYPERLINK("https://dl.dropboxusercontent.com/scl/fi/towmwpp4grbjlsca449iw/brooklyn-tn.jpg?rlkey=jq98rwa49r501i2odpykwr5cs&amp;dl=0","Click to download Image")</f>
      </c>
      <c r="B2567" s="0">
        <f>HYPERLINK("https://dl.dropboxusercontent.com/scl/fi/7fy1v8umtepzk421hpnwg/womens-size-chartsbrooklyn.jpg?rlkey=s8hv0m5pdd6bj961elvhx46nv&amp;dl=0","Click to download SizeChart")</f>
      </c>
      <c r="C2567" s="0" t="inlineStr">
        <is>
          <t>Brooklyn Women's Off Shoulder Sweatshirt</t>
        </is>
      </c>
      <c r="D2567" s="0" t="inlineStr">
        <is>
          <t>'109363</t>
        </is>
      </c>
      <c r="E2567" s="0" t="inlineStr">
        <is>
          <t>KSU BROOKLYN:109363E-2XL</t>
        </is>
      </c>
      <c r="F2567" s="0" t="inlineStr">
        <is>
          <t>'800109363057</t>
        </is>
      </c>
      <c r="G2567" s="0" t="inlineStr">
        <is>
          <t>WOMENS</t>
        </is>
      </c>
      <c r="H2567" s="0" t="inlineStr">
        <is>
          <t>2XL</t>
        </is>
      </c>
      <c r="I2567" s="0">
        <v>44.99</v>
      </c>
      <c r="J2567" s="0">
        <v>4</v>
      </c>
    </row>
    <row r="2568" spans="1:10" customHeight="0">
      <c r="A2568" s="0">
        <f>HYPERLINK("https://dl.dropboxusercontent.com/scl/fi/towmwpp4grbjlsca449iw/brooklyn-tn.jpg?rlkey=jq98rwa49r501i2odpykwr5cs&amp;dl=0","Click to download Image")</f>
      </c>
      <c r="B2568" s="0">
        <f>HYPERLINK("https://dl.dropboxusercontent.com/scl/fi/7fy1v8umtepzk421hpnwg/womens-size-chartsbrooklyn.jpg?rlkey=s8hv0m5pdd6bj961elvhx46nv&amp;dl=0","Click to download SizeChart")</f>
      </c>
      <c r="C2568" s="0" t="inlineStr">
        <is>
          <t>Brooklyn Women's Off Shoulder Sweatshirt</t>
        </is>
      </c>
      <c r="D2568" s="0" t="inlineStr">
        <is>
          <t>'109363</t>
        </is>
      </c>
      <c r="E2568" s="0" t="inlineStr">
        <is>
          <t>KSU BROOKLYN:109363F-3XL</t>
        </is>
      </c>
      <c r="F2568" s="0" t="inlineStr">
        <is>
          <t>'800109363064</t>
        </is>
      </c>
      <c r="G2568" s="0" t="inlineStr">
        <is>
          <t>WOMENS</t>
        </is>
      </c>
      <c r="H2568" s="0" t="inlineStr">
        <is>
          <t>3XL</t>
        </is>
      </c>
      <c r="I2568" s="0">
        <v>44.99</v>
      </c>
      <c r="J2568" s="0">
        <v>4</v>
      </c>
    </row>
    <row r="2569" spans="1:10" customHeight="0">
      <c r="A2569" s="0">
        <f>HYPERLINK("https://dl.dropboxusercontent.com/scl/fi/yw7p6h6f90j7on4qsxtjv/109369-af.jpg?rlkey=xnvts1s9hb2v0hcmy6e19ga7q&amp;dl=0","Click to download Image")</f>
      </c>
      <c r="B2569" s="0">
        <f>HYPERLINK("https://dl.dropboxusercontent.com/scl/fi/7fy1v8umtepzk421hpnwg/womens-size-chartsbrooklyn.jpg?rlkey=s8hv0m5pdd6bj961elvhx46nv&amp;dl=0","Click to download SizeChart")</f>
      </c>
      <c r="C2569" s="0" t="inlineStr">
        <is>
          <t>Brooklyn Women's Off Shoulder Sweatshirt</t>
        </is>
      </c>
      <c r="D2569" s="0" t="inlineStr">
        <is>
          <t>'109369</t>
        </is>
      </c>
      <c r="E2569" s="0" t="inlineStr">
        <is>
          <t>MU BROOKLYN:109369A-S</t>
        </is>
      </c>
      <c r="F2569" s="0" t="inlineStr">
        <is>
          <t>'800109369011</t>
        </is>
      </c>
      <c r="G2569" s="0" t="inlineStr">
        <is>
          <t>WOMENS</t>
        </is>
      </c>
      <c r="H2569" s="0" t="inlineStr">
        <is>
          <t>S</t>
        </is>
      </c>
      <c r="I2569" s="0">
        <v>42.99</v>
      </c>
      <c r="J2569" s="0">
        <v>11</v>
      </c>
    </row>
    <row r="2570" spans="1:10" customHeight="0">
      <c r="A2570" s="0">
        <f>HYPERLINK("https://dl.dropboxusercontent.com/scl/fi/yw7p6h6f90j7on4qsxtjv/109369-af.jpg?rlkey=xnvts1s9hb2v0hcmy6e19ga7q&amp;dl=0","Click to download Image")</f>
      </c>
      <c r="B2570" s="0">
        <f>HYPERLINK("https://dl.dropboxusercontent.com/scl/fi/7fy1v8umtepzk421hpnwg/womens-size-chartsbrooklyn.jpg?rlkey=s8hv0m5pdd6bj961elvhx46nv&amp;dl=0","Click to download SizeChart")</f>
      </c>
      <c r="C2570" s="0" t="inlineStr">
        <is>
          <t>Brooklyn Women's Off Shoulder Sweatshirt</t>
        </is>
      </c>
      <c r="D2570" s="0" t="inlineStr">
        <is>
          <t>'109369</t>
        </is>
      </c>
      <c r="E2570" s="0" t="inlineStr">
        <is>
          <t>MU BROOKLYN:109369B-M</t>
        </is>
      </c>
      <c r="F2570" s="0" t="inlineStr">
        <is>
          <t>'800109369028</t>
        </is>
      </c>
      <c r="G2570" s="0" t="inlineStr">
        <is>
          <t>WOMENS</t>
        </is>
      </c>
      <c r="H2570" s="0" t="inlineStr">
        <is>
          <t>M</t>
        </is>
      </c>
      <c r="I2570" s="0">
        <v>42.99</v>
      </c>
      <c r="J2570" s="0">
        <v>24</v>
      </c>
    </row>
    <row r="2571" spans="1:10" customHeight="0">
      <c r="A2571" s="0">
        <f>HYPERLINK("https://dl.dropboxusercontent.com/scl/fi/yw7p6h6f90j7on4qsxtjv/109369-af.jpg?rlkey=xnvts1s9hb2v0hcmy6e19ga7q&amp;dl=0","Click to download Image")</f>
      </c>
      <c r="B2571" s="0">
        <f>HYPERLINK("https://dl.dropboxusercontent.com/scl/fi/7fy1v8umtepzk421hpnwg/womens-size-chartsbrooklyn.jpg?rlkey=s8hv0m5pdd6bj961elvhx46nv&amp;dl=0","Click to download SizeChart")</f>
      </c>
      <c r="C2571" s="0" t="inlineStr">
        <is>
          <t>Brooklyn Women's Off Shoulder Sweatshirt</t>
        </is>
      </c>
      <c r="D2571" s="0" t="inlineStr">
        <is>
          <t>'109369</t>
        </is>
      </c>
      <c r="E2571" s="0" t="inlineStr">
        <is>
          <t>MU BROOKLYN:109369C-L</t>
        </is>
      </c>
      <c r="F2571" s="0" t="inlineStr">
        <is>
          <t>'800109369035</t>
        </is>
      </c>
      <c r="G2571" s="0" t="inlineStr">
        <is>
          <t>WOMENS</t>
        </is>
      </c>
      <c r="H2571" s="0" t="inlineStr">
        <is>
          <t>L</t>
        </is>
      </c>
      <c r="I2571" s="0">
        <v>42.99</v>
      </c>
      <c r="J2571" s="0">
        <v>25</v>
      </c>
    </row>
    <row r="2572" spans="1:10" customHeight="0">
      <c r="A2572" s="0">
        <f>HYPERLINK("https://dl.dropboxusercontent.com/scl/fi/yw7p6h6f90j7on4qsxtjv/109369-af.jpg?rlkey=xnvts1s9hb2v0hcmy6e19ga7q&amp;dl=0","Click to download Image")</f>
      </c>
      <c r="B2572" s="0">
        <f>HYPERLINK("https://dl.dropboxusercontent.com/scl/fi/7fy1v8umtepzk421hpnwg/womens-size-chartsbrooklyn.jpg?rlkey=s8hv0m5pdd6bj961elvhx46nv&amp;dl=0","Click to download SizeChart")</f>
      </c>
      <c r="C2572" s="0" t="inlineStr">
        <is>
          <t>Brooklyn Women's Off Shoulder Sweatshirt</t>
        </is>
      </c>
      <c r="D2572" s="0" t="inlineStr">
        <is>
          <t>'109369</t>
        </is>
      </c>
      <c r="E2572" s="0" t="inlineStr">
        <is>
          <t>MU BROOKLYN:109369D-XL</t>
        </is>
      </c>
      <c r="F2572" s="0" t="inlineStr">
        <is>
          <t>'800109369042</t>
        </is>
      </c>
      <c r="G2572" s="0" t="inlineStr">
        <is>
          <t>WOMENS</t>
        </is>
      </c>
      <c r="H2572" s="0" t="inlineStr">
        <is>
          <t>XL</t>
        </is>
      </c>
      <c r="I2572" s="0">
        <v>42.99</v>
      </c>
      <c r="J2572" s="0">
        <v>11</v>
      </c>
    </row>
    <row r="2573" spans="1:10" customHeight="0">
      <c r="A2573" s="0">
        <f>HYPERLINK("https://dl.dropboxusercontent.com/scl/fi/yw7p6h6f90j7on4qsxtjv/109369-af.jpg?rlkey=xnvts1s9hb2v0hcmy6e19ga7q&amp;dl=0","Click to download Image")</f>
      </c>
      <c r="B2573" s="0">
        <f>HYPERLINK("https://dl.dropboxusercontent.com/scl/fi/7fy1v8umtepzk421hpnwg/womens-size-chartsbrooklyn.jpg?rlkey=s8hv0m5pdd6bj961elvhx46nv&amp;dl=0","Click to download SizeChart")</f>
      </c>
      <c r="C2573" s="0" t="inlineStr">
        <is>
          <t>Brooklyn Women's Off Shoulder Sweatshirt</t>
        </is>
      </c>
      <c r="D2573" s="0" t="inlineStr">
        <is>
          <t>'109369</t>
        </is>
      </c>
      <c r="E2573" s="0" t="inlineStr">
        <is>
          <t>MU BROOKLYN:109369E-2XL</t>
        </is>
      </c>
      <c r="F2573" s="0" t="inlineStr">
        <is>
          <t>'800109369059</t>
        </is>
      </c>
      <c r="G2573" s="0" t="inlineStr">
        <is>
          <t>WOMENS</t>
        </is>
      </c>
      <c r="H2573" s="0" t="inlineStr">
        <is>
          <t>2XL</t>
        </is>
      </c>
      <c r="I2573" s="0">
        <v>44.99</v>
      </c>
      <c r="J2573" s="0">
        <v>4</v>
      </c>
    </row>
    <row r="2574" spans="1:10" customHeight="0">
      <c r="A2574" s="0">
        <f>HYPERLINK("https://dl.dropboxusercontent.com/scl/fi/yw7p6h6f90j7on4qsxtjv/109369-af.jpg?rlkey=xnvts1s9hb2v0hcmy6e19ga7q&amp;dl=0","Click to download Image")</f>
      </c>
      <c r="B2574" s="0">
        <f>HYPERLINK("https://dl.dropboxusercontent.com/scl/fi/7fy1v8umtepzk421hpnwg/womens-size-chartsbrooklyn.jpg?rlkey=s8hv0m5pdd6bj961elvhx46nv&amp;dl=0","Click to download SizeChart")</f>
      </c>
      <c r="C2574" s="0" t="inlineStr">
        <is>
          <t>Brooklyn Women's Off Shoulder Sweatshirt</t>
        </is>
      </c>
      <c r="D2574" s="0" t="inlineStr">
        <is>
          <t>'109369</t>
        </is>
      </c>
      <c r="E2574" s="0" t="inlineStr">
        <is>
          <t>MU BROOKLYN:109369F-3XL</t>
        </is>
      </c>
      <c r="F2574" s="0" t="inlineStr">
        <is>
          <t>'800109369066</t>
        </is>
      </c>
      <c r="G2574" s="0" t="inlineStr">
        <is>
          <t>WOMENS</t>
        </is>
      </c>
      <c r="H2574" s="0" t="inlineStr">
        <is>
          <t>3XL</t>
        </is>
      </c>
      <c r="I2574" s="0">
        <v>44.99</v>
      </c>
      <c r="J2574" s="0">
        <v>4</v>
      </c>
    </row>
    <row r="2575" spans="1:10" customHeight="0">
      <c r="A2575" s="0">
        <f>HYPERLINK("https://dl.dropboxusercontent.com/scl/fi/k48zg1rulgyxmcs88zsf9/109370-af.jpg?rlkey=jgjlz11xkv5u5vim4vksqpwhy&amp;dl=0","Click to download Image")</f>
      </c>
      <c r="B2575" s="0">
        <f>HYPERLINK("https://dl.dropboxusercontent.com/scl/fi/7fy1v8umtepzk421hpnwg/womens-size-chartsbrooklyn.jpg?rlkey=s8hv0m5pdd6bj961elvhx46nv&amp;dl=0","Click to download SizeChart")</f>
      </c>
      <c r="C2575" s="0" t="inlineStr">
        <is>
          <t>Brooklyn Women's Off Shoulder Sweatshirt</t>
        </is>
      </c>
      <c r="D2575" s="0" t="inlineStr">
        <is>
          <t>'109370</t>
        </is>
      </c>
      <c r="E2575" s="0" t="inlineStr">
        <is>
          <t>UNO BROOKLYN:109370A-S</t>
        </is>
      </c>
      <c r="F2575" s="0" t="inlineStr">
        <is>
          <t>'800109370017</t>
        </is>
      </c>
      <c r="G2575" s="0" t="inlineStr">
        <is>
          <t>WOMENS</t>
        </is>
      </c>
      <c r="H2575" s="0" t="inlineStr">
        <is>
          <t>S</t>
        </is>
      </c>
      <c r="I2575" s="0">
        <v>42.99</v>
      </c>
      <c r="J2575" s="0">
        <v>6</v>
      </c>
    </row>
    <row r="2576" spans="1:10" customHeight="0">
      <c r="A2576" s="0">
        <f>HYPERLINK("https://dl.dropboxusercontent.com/scl/fi/k48zg1rulgyxmcs88zsf9/109370-af.jpg?rlkey=jgjlz11xkv5u5vim4vksqpwhy&amp;dl=0","Click to download Image")</f>
      </c>
      <c r="B2576" s="0">
        <f>HYPERLINK("https://dl.dropboxusercontent.com/scl/fi/7fy1v8umtepzk421hpnwg/womens-size-chartsbrooklyn.jpg?rlkey=s8hv0m5pdd6bj961elvhx46nv&amp;dl=0","Click to download SizeChart")</f>
      </c>
      <c r="C2576" s="0" t="inlineStr">
        <is>
          <t>Brooklyn Women's Off Shoulder Sweatshirt</t>
        </is>
      </c>
      <c r="D2576" s="0" t="inlineStr">
        <is>
          <t>'109370</t>
        </is>
      </c>
      <c r="E2576" s="0" t="inlineStr">
        <is>
          <t>UNO BROOKLYN:109370B-M</t>
        </is>
      </c>
      <c r="F2576" s="0" t="inlineStr">
        <is>
          <t>'800109370024</t>
        </is>
      </c>
      <c r="G2576" s="0" t="inlineStr">
        <is>
          <t>WOMENS</t>
        </is>
      </c>
      <c r="H2576" s="0" t="inlineStr">
        <is>
          <t>M</t>
        </is>
      </c>
      <c r="I2576" s="0">
        <v>42.99</v>
      </c>
      <c r="J2576" s="0">
        <v>12</v>
      </c>
    </row>
    <row r="2577" spans="1:10" customHeight="0">
      <c r="A2577" s="0">
        <f>HYPERLINK("https://dl.dropboxusercontent.com/scl/fi/k48zg1rulgyxmcs88zsf9/109370-af.jpg?rlkey=jgjlz11xkv5u5vim4vksqpwhy&amp;dl=0","Click to download Image")</f>
      </c>
      <c r="B2577" s="0">
        <f>HYPERLINK("https://dl.dropboxusercontent.com/scl/fi/7fy1v8umtepzk421hpnwg/womens-size-chartsbrooklyn.jpg?rlkey=s8hv0m5pdd6bj961elvhx46nv&amp;dl=0","Click to download SizeChart")</f>
      </c>
      <c r="C2577" s="0" t="inlineStr">
        <is>
          <t>Brooklyn Women's Off Shoulder Sweatshirt</t>
        </is>
      </c>
      <c r="D2577" s="0" t="inlineStr">
        <is>
          <t>'109370</t>
        </is>
      </c>
      <c r="E2577" s="0" t="inlineStr">
        <is>
          <t>UNO BROOKLYN:109370C-L</t>
        </is>
      </c>
      <c r="F2577" s="0" t="inlineStr">
        <is>
          <t>'800109370031</t>
        </is>
      </c>
      <c r="G2577" s="0" t="inlineStr">
        <is>
          <t>WOMENS</t>
        </is>
      </c>
      <c r="H2577" s="0" t="inlineStr">
        <is>
          <t>L</t>
        </is>
      </c>
      <c r="I2577" s="0">
        <v>42.99</v>
      </c>
      <c r="J2577" s="0">
        <v>12</v>
      </c>
    </row>
    <row r="2578" spans="1:10" customHeight="0">
      <c r="A2578" s="0">
        <f>HYPERLINK("https://dl.dropboxusercontent.com/scl/fi/k48zg1rulgyxmcs88zsf9/109370-af.jpg?rlkey=jgjlz11xkv5u5vim4vksqpwhy&amp;dl=0","Click to download Image")</f>
      </c>
      <c r="B2578" s="0">
        <f>HYPERLINK("https://dl.dropboxusercontent.com/scl/fi/7fy1v8umtepzk421hpnwg/womens-size-chartsbrooklyn.jpg?rlkey=s8hv0m5pdd6bj961elvhx46nv&amp;dl=0","Click to download SizeChart")</f>
      </c>
      <c r="C2578" s="0" t="inlineStr">
        <is>
          <t>Brooklyn Women's Off Shoulder Sweatshirt</t>
        </is>
      </c>
      <c r="D2578" s="0" t="inlineStr">
        <is>
          <t>'109370</t>
        </is>
      </c>
      <c r="E2578" s="0" t="inlineStr">
        <is>
          <t>UNO BROOKLYN:109370D-XL</t>
        </is>
      </c>
      <c r="F2578" s="0" t="inlineStr">
        <is>
          <t>'800109370048</t>
        </is>
      </c>
      <c r="G2578" s="0" t="inlineStr">
        <is>
          <t>WOMENS</t>
        </is>
      </c>
      <c r="H2578" s="0" t="inlineStr">
        <is>
          <t>XL</t>
        </is>
      </c>
      <c r="I2578" s="0">
        <v>42.99</v>
      </c>
      <c r="J2578" s="0">
        <v>6</v>
      </c>
    </row>
    <row r="2579" spans="1:10" customHeight="0">
      <c r="A2579" s="0">
        <f>HYPERLINK("https://dl.dropboxusercontent.com/scl/fi/k48zg1rulgyxmcs88zsf9/109370-af.jpg?rlkey=jgjlz11xkv5u5vim4vksqpwhy&amp;dl=0","Click to download Image")</f>
      </c>
      <c r="B2579" s="0">
        <f>HYPERLINK("https://dl.dropboxusercontent.com/scl/fi/7fy1v8umtepzk421hpnwg/womens-size-chartsbrooklyn.jpg?rlkey=s8hv0m5pdd6bj961elvhx46nv&amp;dl=0","Click to download SizeChart")</f>
      </c>
      <c r="C2579" s="0" t="inlineStr">
        <is>
          <t>Brooklyn Women's Off Shoulder Sweatshirt</t>
        </is>
      </c>
      <c r="D2579" s="0" t="inlineStr">
        <is>
          <t>'109370</t>
        </is>
      </c>
      <c r="E2579" s="0" t="inlineStr">
        <is>
          <t>UNO BROOKLYN:109370E-2XL</t>
        </is>
      </c>
      <c r="F2579" s="0" t="inlineStr">
        <is>
          <t>'800109370055</t>
        </is>
      </c>
      <c r="G2579" s="0" t="inlineStr">
        <is>
          <t>WOMENS</t>
        </is>
      </c>
      <c r="H2579" s="0" t="inlineStr">
        <is>
          <t>2XL</t>
        </is>
      </c>
      <c r="I2579" s="0">
        <v>44.99</v>
      </c>
      <c r="J2579" s="0">
        <v>1</v>
      </c>
    </row>
    <row r="2580" spans="1:10" customHeight="0">
      <c r="A2580" s="0">
        <f>HYPERLINK("https://dl.dropboxusercontent.com/scl/fi/k48zg1rulgyxmcs88zsf9/109370-af.jpg?rlkey=jgjlz11xkv5u5vim4vksqpwhy&amp;dl=0","Click to download Image")</f>
      </c>
      <c r="B2580" s="0">
        <f>HYPERLINK("https://dl.dropboxusercontent.com/scl/fi/7fy1v8umtepzk421hpnwg/womens-size-chartsbrooklyn.jpg?rlkey=s8hv0m5pdd6bj961elvhx46nv&amp;dl=0","Click to download SizeChart")</f>
      </c>
      <c r="C2580" s="0" t="inlineStr">
        <is>
          <t>Brooklyn Women's Off Shoulder Sweatshirt</t>
        </is>
      </c>
      <c r="D2580" s="0" t="inlineStr">
        <is>
          <t>'109370</t>
        </is>
      </c>
      <c r="E2580" s="0" t="inlineStr">
        <is>
          <t>UNO BROOKLYN:109370F-3XL</t>
        </is>
      </c>
      <c r="F2580" s="0" t="inlineStr">
        <is>
          <t>'800109370062</t>
        </is>
      </c>
      <c r="G2580" s="0" t="inlineStr">
        <is>
          <t>WOMENS</t>
        </is>
      </c>
      <c r="H2580" s="0" t="inlineStr">
        <is>
          <t>3XL</t>
        </is>
      </c>
      <c r="I2580" s="0">
        <v>44.99</v>
      </c>
      <c r="J2580" s="0">
        <v>1</v>
      </c>
    </row>
    <row r="2581" spans="1:10" customHeight="0">
      <c r="A2581" s="0">
        <f>HYPERLINK("https://dl.dropboxusercontent.com/scl/fi/29oitcyp58rw8wdbxvx5a/109371-af.jpg?rlkey=e4bu8uzxsmu39n8ortkggqu6j&amp;dl=0","Click to download Image")</f>
      </c>
      <c r="B2581" s="0">
        <f>HYPERLINK("https://dl.dropboxusercontent.com/scl/fi/7fy1v8umtepzk421hpnwg/womens-size-chartsbrooklyn.jpg?rlkey=s8hv0m5pdd6bj961elvhx46nv&amp;dl=0","Click to download SizeChart")</f>
      </c>
      <c r="C2581" s="0" t="inlineStr">
        <is>
          <t>Brooklyn Women's Off Shoulder Sweatshirt</t>
        </is>
      </c>
      <c r="D2581" s="0" t="inlineStr">
        <is>
          <t>'109371</t>
        </is>
      </c>
      <c r="E2581" s="0" t="inlineStr">
        <is>
          <t>WICHITA BROOKLYN:109371A-S</t>
        </is>
      </c>
      <c r="F2581" s="0" t="inlineStr">
        <is>
          <t>'800109371014</t>
        </is>
      </c>
      <c r="G2581" s="0" t="inlineStr">
        <is>
          <t>WOMENS</t>
        </is>
      </c>
      <c r="H2581" s="0" t="inlineStr">
        <is>
          <t>S</t>
        </is>
      </c>
      <c r="I2581" s="0">
        <v>42.99</v>
      </c>
      <c r="J2581" s="0">
        <v>6</v>
      </c>
    </row>
    <row r="2582" spans="1:10" customHeight="0">
      <c r="A2582" s="0">
        <f>HYPERLINK("https://dl.dropboxusercontent.com/scl/fi/29oitcyp58rw8wdbxvx5a/109371-af.jpg?rlkey=e4bu8uzxsmu39n8ortkggqu6j&amp;dl=0","Click to download Image")</f>
      </c>
      <c r="B2582" s="0">
        <f>HYPERLINK("https://dl.dropboxusercontent.com/scl/fi/7fy1v8umtepzk421hpnwg/womens-size-chartsbrooklyn.jpg?rlkey=s8hv0m5pdd6bj961elvhx46nv&amp;dl=0","Click to download SizeChart")</f>
      </c>
      <c r="C2582" s="0" t="inlineStr">
        <is>
          <t>Brooklyn Women's Off Shoulder Sweatshirt</t>
        </is>
      </c>
      <c r="D2582" s="0" t="inlineStr">
        <is>
          <t>'109371</t>
        </is>
      </c>
      <c r="E2582" s="0" t="inlineStr">
        <is>
          <t>WICHITA BROOKLYN:109371B-M</t>
        </is>
      </c>
      <c r="F2582" s="0" t="inlineStr">
        <is>
          <t>'800109371021</t>
        </is>
      </c>
      <c r="G2582" s="0" t="inlineStr">
        <is>
          <t>WOMENS</t>
        </is>
      </c>
      <c r="H2582" s="0" t="inlineStr">
        <is>
          <t>M</t>
        </is>
      </c>
      <c r="I2582" s="0">
        <v>42.99</v>
      </c>
      <c r="J2582" s="0">
        <v>12</v>
      </c>
    </row>
    <row r="2583" spans="1:10" customHeight="0">
      <c r="A2583" s="0">
        <f>HYPERLINK("https://dl.dropboxusercontent.com/scl/fi/29oitcyp58rw8wdbxvx5a/109371-af.jpg?rlkey=e4bu8uzxsmu39n8ortkggqu6j&amp;dl=0","Click to download Image")</f>
      </c>
      <c r="B2583" s="0">
        <f>HYPERLINK("https://dl.dropboxusercontent.com/scl/fi/7fy1v8umtepzk421hpnwg/womens-size-chartsbrooklyn.jpg?rlkey=s8hv0m5pdd6bj961elvhx46nv&amp;dl=0","Click to download SizeChart")</f>
      </c>
      <c r="C2583" s="0" t="inlineStr">
        <is>
          <t>Brooklyn Women's Off Shoulder Sweatshirt</t>
        </is>
      </c>
      <c r="D2583" s="0" t="inlineStr">
        <is>
          <t>'109371</t>
        </is>
      </c>
      <c r="E2583" s="0" t="inlineStr">
        <is>
          <t>WICHITA BROOKLYN:109371C-L</t>
        </is>
      </c>
      <c r="F2583" s="0" t="inlineStr">
        <is>
          <t>'800109371038</t>
        </is>
      </c>
      <c r="G2583" s="0" t="inlineStr">
        <is>
          <t>WOMENS</t>
        </is>
      </c>
      <c r="H2583" s="0" t="inlineStr">
        <is>
          <t>L</t>
        </is>
      </c>
      <c r="I2583" s="0">
        <v>42.99</v>
      </c>
      <c r="J2583" s="0">
        <v>12</v>
      </c>
    </row>
    <row r="2584" spans="1:10" customHeight="0">
      <c r="A2584" s="0">
        <f>HYPERLINK("https://dl.dropboxusercontent.com/scl/fi/29oitcyp58rw8wdbxvx5a/109371-af.jpg?rlkey=e4bu8uzxsmu39n8ortkggqu6j&amp;dl=0","Click to download Image")</f>
      </c>
      <c r="B2584" s="0">
        <f>HYPERLINK("https://dl.dropboxusercontent.com/scl/fi/7fy1v8umtepzk421hpnwg/womens-size-chartsbrooklyn.jpg?rlkey=s8hv0m5pdd6bj961elvhx46nv&amp;dl=0","Click to download SizeChart")</f>
      </c>
      <c r="C2584" s="0" t="inlineStr">
        <is>
          <t>Brooklyn Women's Off Shoulder Sweatshirt</t>
        </is>
      </c>
      <c r="D2584" s="0" t="inlineStr">
        <is>
          <t>'109371</t>
        </is>
      </c>
      <c r="E2584" s="0" t="inlineStr">
        <is>
          <t>WICHITA BROOKLYN:109371D-XL</t>
        </is>
      </c>
      <c r="F2584" s="0" t="inlineStr">
        <is>
          <t>'800109371045</t>
        </is>
      </c>
      <c r="G2584" s="0" t="inlineStr">
        <is>
          <t>WOMENS</t>
        </is>
      </c>
      <c r="H2584" s="0" t="inlineStr">
        <is>
          <t>XL</t>
        </is>
      </c>
      <c r="I2584" s="0">
        <v>42.99</v>
      </c>
      <c r="J2584" s="0">
        <v>6</v>
      </c>
    </row>
    <row r="2585" spans="1:10" customHeight="0">
      <c r="A2585" s="0">
        <f>HYPERLINK("https://dl.dropboxusercontent.com/scl/fi/29oitcyp58rw8wdbxvx5a/109371-af.jpg?rlkey=e4bu8uzxsmu39n8ortkggqu6j&amp;dl=0","Click to download Image")</f>
      </c>
      <c r="B2585" s="0">
        <f>HYPERLINK("https://dl.dropboxusercontent.com/scl/fi/7fy1v8umtepzk421hpnwg/womens-size-chartsbrooklyn.jpg?rlkey=s8hv0m5pdd6bj961elvhx46nv&amp;dl=0","Click to download SizeChart")</f>
      </c>
      <c r="C2585" s="0" t="inlineStr">
        <is>
          <t>Brooklyn Women's Off Shoulder Sweatshirt</t>
        </is>
      </c>
      <c r="D2585" s="0" t="inlineStr">
        <is>
          <t>'109371</t>
        </is>
      </c>
      <c r="E2585" s="0" t="inlineStr">
        <is>
          <t>WICHITA BROOKLYN:109371E-2XL</t>
        </is>
      </c>
      <c r="F2585" s="0" t="inlineStr">
        <is>
          <t>'800109371055</t>
        </is>
      </c>
      <c r="G2585" s="0" t="inlineStr">
        <is>
          <t>WOMENS</t>
        </is>
      </c>
      <c r="H2585" s="0" t="inlineStr">
        <is>
          <t>2XL</t>
        </is>
      </c>
      <c r="I2585" s="0">
        <v>44.99</v>
      </c>
      <c r="J2585" s="0">
        <v>0</v>
      </c>
    </row>
    <row r="2586" spans="1:10" customHeight="0">
      <c r="A2586" s="0">
        <f>HYPERLINK("https://dl.dropboxusercontent.com/scl/fi/29oitcyp58rw8wdbxvx5a/109371-af.jpg?rlkey=e4bu8uzxsmu39n8ortkggqu6j&amp;dl=0","Click to download Image")</f>
      </c>
      <c r="B2586" s="0">
        <f>HYPERLINK("https://dl.dropboxusercontent.com/scl/fi/7fy1v8umtepzk421hpnwg/womens-size-chartsbrooklyn.jpg?rlkey=s8hv0m5pdd6bj961elvhx46nv&amp;dl=0","Click to download SizeChart")</f>
      </c>
      <c r="C2586" s="0" t="inlineStr">
        <is>
          <t>Brooklyn Women's Off Shoulder Sweatshirt</t>
        </is>
      </c>
      <c r="D2586" s="0" t="inlineStr">
        <is>
          <t>'109371</t>
        </is>
      </c>
      <c r="E2586" s="0" t="inlineStr">
        <is>
          <t>WICHITA BROOKLYN:109371F-3XL</t>
        </is>
      </c>
      <c r="F2586" s="0" t="inlineStr">
        <is>
          <t>'800109371069</t>
        </is>
      </c>
      <c r="G2586" s="0" t="inlineStr">
        <is>
          <t>WOMENS</t>
        </is>
      </c>
      <c r="H2586" s="0" t="inlineStr">
        <is>
          <t>3XL</t>
        </is>
      </c>
      <c r="I2586" s="0">
        <v>44.99</v>
      </c>
      <c r="J2586" s="0">
        <v>1</v>
      </c>
    </row>
    <row r="2587" spans="1:10" customHeight="0">
      <c r="A2587" s="0">
        <f>HYPERLINK("https://dl.dropboxusercontent.com/scl/fi/yltkzazv2jo61lvoxovog/109366-af.jpg?rlkey=9xbl1cx5y5hjhf040556nnnqd&amp;dl=0","Click to download Image")</f>
      </c>
      <c r="B2587" s="0">
        <f>HYPERLINK("https://dl.dropboxusercontent.com/scl/fi/7fy1v8umtepzk421hpnwg/womens-size-chartsbrooklyn.jpg?rlkey=s8hv0m5pdd6bj961elvhx46nv&amp;dl=0","Click to download SizeChart")</f>
      </c>
      <c r="C2587" s="0" t="inlineStr">
        <is>
          <t>Brooklyn Women's Off Shoulder Sweatshirt</t>
        </is>
      </c>
      <c r="D2587" s="0" t="inlineStr">
        <is>
          <t>'109366</t>
        </is>
      </c>
      <c r="E2587" s="0" t="inlineStr">
        <is>
          <t>MARQ MARQ BROOKLYN:109366A-S</t>
        </is>
      </c>
      <c r="F2587" s="0" t="inlineStr">
        <is>
          <t>'800109366010</t>
        </is>
      </c>
      <c r="G2587" s="0" t="inlineStr">
        <is>
          <t>WOMENS</t>
        </is>
      </c>
      <c r="H2587" s="0" t="inlineStr">
        <is>
          <t>S</t>
        </is>
      </c>
      <c r="I2587" s="0">
        <v>42.99</v>
      </c>
      <c r="J2587" s="0">
        <v>12</v>
      </c>
    </row>
    <row r="2588" spans="1:10" customHeight="0">
      <c r="A2588" s="0">
        <f>HYPERLINK("https://dl.dropboxusercontent.com/scl/fi/yltkzazv2jo61lvoxovog/109366-af.jpg?rlkey=9xbl1cx5y5hjhf040556nnnqd&amp;dl=0","Click to download Image")</f>
      </c>
      <c r="B2588" s="0">
        <f>HYPERLINK("https://dl.dropboxusercontent.com/scl/fi/7fy1v8umtepzk421hpnwg/womens-size-chartsbrooklyn.jpg?rlkey=s8hv0m5pdd6bj961elvhx46nv&amp;dl=0","Click to download SizeChart")</f>
      </c>
      <c r="C2588" s="0" t="inlineStr">
        <is>
          <t>Brooklyn Women's Off Shoulder Sweatshirt</t>
        </is>
      </c>
      <c r="D2588" s="0" t="inlineStr">
        <is>
          <t>'109366</t>
        </is>
      </c>
      <c r="E2588" s="0" t="inlineStr">
        <is>
          <t>MARQ BROOKLYN:109366B-M</t>
        </is>
      </c>
      <c r="F2588" s="0" t="inlineStr">
        <is>
          <t>'800109366027</t>
        </is>
      </c>
      <c r="G2588" s="0" t="inlineStr">
        <is>
          <t>WOMENS</t>
        </is>
      </c>
      <c r="H2588" s="0" t="inlineStr">
        <is>
          <t>M</t>
        </is>
      </c>
      <c r="I2588" s="0">
        <v>42.99</v>
      </c>
      <c r="J2588" s="0">
        <v>24</v>
      </c>
    </row>
    <row r="2589" spans="1:10" customHeight="0">
      <c r="A2589" s="0">
        <f>HYPERLINK("https://dl.dropboxusercontent.com/scl/fi/yltkzazv2jo61lvoxovog/109366-af.jpg?rlkey=9xbl1cx5y5hjhf040556nnnqd&amp;dl=0","Click to download Image")</f>
      </c>
      <c r="B2589" s="0">
        <f>HYPERLINK("https://dl.dropboxusercontent.com/scl/fi/7fy1v8umtepzk421hpnwg/womens-size-chartsbrooklyn.jpg?rlkey=s8hv0m5pdd6bj961elvhx46nv&amp;dl=0","Click to download SizeChart")</f>
      </c>
      <c r="C2589" s="0" t="inlineStr">
        <is>
          <t>Brooklyn Women's Off Shoulder Sweatshirt</t>
        </is>
      </c>
      <c r="D2589" s="0" t="inlineStr">
        <is>
          <t>'109366</t>
        </is>
      </c>
      <c r="E2589" s="0" t="inlineStr">
        <is>
          <t>MARQ BROOKLYN:109366C-L</t>
        </is>
      </c>
      <c r="F2589" s="0" t="inlineStr">
        <is>
          <t>'800109366034</t>
        </is>
      </c>
      <c r="G2589" s="0" t="inlineStr">
        <is>
          <t>WOMENS</t>
        </is>
      </c>
      <c r="H2589" s="0" t="inlineStr">
        <is>
          <t>L</t>
        </is>
      </c>
      <c r="I2589" s="0">
        <v>42.99</v>
      </c>
      <c r="J2589" s="0">
        <v>24</v>
      </c>
    </row>
    <row r="2590" spans="1:10" customHeight="0">
      <c r="A2590" s="0">
        <f>HYPERLINK("https://dl.dropboxusercontent.com/scl/fi/yltkzazv2jo61lvoxovog/109366-af.jpg?rlkey=9xbl1cx5y5hjhf040556nnnqd&amp;dl=0","Click to download Image")</f>
      </c>
      <c r="B2590" s="0">
        <f>HYPERLINK("https://dl.dropboxusercontent.com/scl/fi/7fy1v8umtepzk421hpnwg/womens-size-chartsbrooklyn.jpg?rlkey=s8hv0m5pdd6bj961elvhx46nv&amp;dl=0","Click to download SizeChart")</f>
      </c>
      <c r="C2590" s="0" t="inlineStr">
        <is>
          <t>Brooklyn Women's Off Shoulder Sweatshirt</t>
        </is>
      </c>
      <c r="D2590" s="0" t="inlineStr">
        <is>
          <t>'109366</t>
        </is>
      </c>
      <c r="E2590" s="0" t="inlineStr">
        <is>
          <t>MARQ BROOKLYN:109366D-XL</t>
        </is>
      </c>
      <c r="F2590" s="0" t="inlineStr">
        <is>
          <t>'800109366041</t>
        </is>
      </c>
      <c r="G2590" s="0" t="inlineStr">
        <is>
          <t>WOMENS</t>
        </is>
      </c>
      <c r="H2590" s="0" t="inlineStr">
        <is>
          <t>XL</t>
        </is>
      </c>
      <c r="I2590" s="0">
        <v>42.99</v>
      </c>
      <c r="J2590" s="0">
        <v>12</v>
      </c>
    </row>
    <row r="2591" spans="1:10" customHeight="0">
      <c r="A2591" s="0">
        <f>HYPERLINK("https://dl.dropboxusercontent.com/scl/fi/yltkzazv2jo61lvoxovog/109366-af.jpg?rlkey=9xbl1cx5y5hjhf040556nnnqd&amp;dl=0","Click to download Image")</f>
      </c>
      <c r="B2591" s="0">
        <f>HYPERLINK("https://dl.dropboxusercontent.com/scl/fi/7fy1v8umtepzk421hpnwg/womens-size-chartsbrooklyn.jpg?rlkey=s8hv0m5pdd6bj961elvhx46nv&amp;dl=0","Click to download SizeChart")</f>
      </c>
      <c r="C2591" s="0" t="inlineStr">
        <is>
          <t>Brooklyn Women's Off Shoulder Sweatshirt</t>
        </is>
      </c>
      <c r="D2591" s="0" t="inlineStr">
        <is>
          <t>'109366</t>
        </is>
      </c>
      <c r="E2591" s="0" t="inlineStr">
        <is>
          <t>MARQ BROOKLYN:109366E-2XL</t>
        </is>
      </c>
      <c r="F2591" s="0" t="inlineStr">
        <is>
          <t>'800109366058</t>
        </is>
      </c>
      <c r="G2591" s="0" t="inlineStr">
        <is>
          <t>WOMENS</t>
        </is>
      </c>
      <c r="H2591" s="0" t="inlineStr">
        <is>
          <t>2XL</t>
        </is>
      </c>
      <c r="I2591" s="0">
        <v>44.99</v>
      </c>
      <c r="J2591" s="0">
        <v>4</v>
      </c>
    </row>
    <row r="2592" spans="1:10" customHeight="0">
      <c r="A2592" s="0">
        <f>HYPERLINK("https://dl.dropboxusercontent.com/scl/fi/yltkzazv2jo61lvoxovog/109366-af.jpg?rlkey=9xbl1cx5y5hjhf040556nnnqd&amp;dl=0","Click to download Image")</f>
      </c>
      <c r="B2592" s="0">
        <f>HYPERLINK("https://dl.dropboxusercontent.com/scl/fi/7fy1v8umtepzk421hpnwg/womens-size-chartsbrooklyn.jpg?rlkey=s8hv0m5pdd6bj961elvhx46nv&amp;dl=0","Click to download SizeChart")</f>
      </c>
      <c r="C2592" s="0" t="inlineStr">
        <is>
          <t>Brooklyn Women's Off Shoulder Sweatshirt</t>
        </is>
      </c>
      <c r="D2592" s="0" t="inlineStr">
        <is>
          <t>'109366</t>
        </is>
      </c>
      <c r="E2592" s="0" t="inlineStr">
        <is>
          <t>MARQ BROOKLYN:109366F-3XL</t>
        </is>
      </c>
      <c r="F2592" s="0" t="inlineStr">
        <is>
          <t>'800109366065</t>
        </is>
      </c>
      <c r="G2592" s="0" t="inlineStr">
        <is>
          <t>WOMENS</t>
        </is>
      </c>
      <c r="H2592" s="0" t="inlineStr">
        <is>
          <t>3XL</t>
        </is>
      </c>
      <c r="I2592" s="0">
        <v>44.99</v>
      </c>
      <c r="J2592" s="0">
        <v>4</v>
      </c>
    </row>
    <row r="2593" spans="1:10" customHeight="0">
      <c r="A2593" s="0">
        <f>HYPERLINK("https://dl.dropboxusercontent.com/scl/fi/2jt884ejrsp4hh5sgv2l0/113901-af.jpg?rlkey=iwb8kkexit2i7hfu69b147l6y&amp;dl=0","Click to download Image")</f>
      </c>
      <c r="B2593" s="0">
        <f>HYPERLINK("https://dl.dropboxusercontent.com/scl/fi/nta5qtrwoqkwg6igxbd7j/mens-polo-size-chartsbruce.jpg?rlkey=g178as5xqnvjik19t0t9o10b7&amp;dl=0","Click to download SizeChart")</f>
      </c>
      <c r="C2593" s="0" t="inlineStr">
        <is>
          <t>Bruce Men's Golf Polo</t>
        </is>
      </c>
      <c r="D2593" s="0" t="inlineStr">
        <is>
          <t>'113901</t>
        </is>
      </c>
      <c r="E2593" s="0" t="inlineStr">
        <is>
          <t>IOWA BRUCE MENS WHITE:113901A-S</t>
        </is>
      </c>
      <c r="F2593" s="0" t="inlineStr">
        <is>
          <t>'800113901047</t>
        </is>
      </c>
      <c r="G2593" s="0" t="inlineStr">
        <is>
          <t>MENS</t>
        </is>
      </c>
      <c r="H2593" s="0" t="inlineStr">
        <is>
          <t>S</t>
        </is>
      </c>
      <c r="I2593" s="0">
        <v>40.99</v>
      </c>
      <c r="J2593" s="0">
        <v>5</v>
      </c>
    </row>
    <row r="2594" spans="1:10" customHeight="0">
      <c r="A2594" s="0">
        <f>HYPERLINK("https://dl.dropboxusercontent.com/scl/fi/2jt884ejrsp4hh5sgv2l0/113901-af.jpg?rlkey=iwb8kkexit2i7hfu69b147l6y&amp;dl=0","Click to download Image")</f>
      </c>
      <c r="B2594" s="0">
        <f>HYPERLINK("https://dl.dropboxusercontent.com/scl/fi/nta5qtrwoqkwg6igxbd7j/mens-polo-size-chartsbruce.jpg?rlkey=g178as5xqnvjik19t0t9o10b7&amp;dl=0","Click to download SizeChart")</f>
      </c>
      <c r="C2594" s="0" t="inlineStr">
        <is>
          <t>Bruce Men's Golf Polo</t>
        </is>
      </c>
      <c r="D2594" s="0" t="inlineStr">
        <is>
          <t>'113901</t>
        </is>
      </c>
      <c r="E2594" s="0" t="inlineStr">
        <is>
          <t>IOWA BRUCE MENS WHITE:113901B-M</t>
        </is>
      </c>
      <c r="F2594" s="0" t="inlineStr">
        <is>
          <t>'800113901054</t>
        </is>
      </c>
      <c r="G2594" s="0" t="inlineStr">
        <is>
          <t>MENS</t>
        </is>
      </c>
      <c r="H2594" s="0" t="inlineStr">
        <is>
          <t>M</t>
        </is>
      </c>
      <c r="I2594" s="0">
        <v>40.99</v>
      </c>
      <c r="J2594" s="0">
        <v>12</v>
      </c>
    </row>
    <row r="2595" spans="1:10" customHeight="0">
      <c r="A2595" s="0">
        <f>HYPERLINK("https://dl.dropboxusercontent.com/scl/fi/2jt884ejrsp4hh5sgv2l0/113901-af.jpg?rlkey=iwb8kkexit2i7hfu69b147l6y&amp;dl=0","Click to download Image")</f>
      </c>
      <c r="B2595" s="0">
        <f>HYPERLINK("https://dl.dropboxusercontent.com/scl/fi/nta5qtrwoqkwg6igxbd7j/mens-polo-size-chartsbruce.jpg?rlkey=g178as5xqnvjik19t0t9o10b7&amp;dl=0","Click to download SizeChart")</f>
      </c>
      <c r="C2595" s="0" t="inlineStr">
        <is>
          <t>Bruce Men's Golf Polo</t>
        </is>
      </c>
      <c r="D2595" s="0" t="inlineStr">
        <is>
          <t>'113901</t>
        </is>
      </c>
      <c r="E2595" s="0" t="inlineStr">
        <is>
          <t>IOWA BRUCE MENS WHITE:113901C-L</t>
        </is>
      </c>
      <c r="F2595" s="0" t="inlineStr">
        <is>
          <t>'800113901061</t>
        </is>
      </c>
      <c r="G2595" s="0" t="inlineStr">
        <is>
          <t>MENS</t>
        </is>
      </c>
      <c r="H2595" s="0" t="inlineStr">
        <is>
          <t>L</t>
        </is>
      </c>
      <c r="I2595" s="0">
        <v>40.99</v>
      </c>
      <c r="J2595" s="0">
        <v>25</v>
      </c>
    </row>
    <row r="2596" spans="1:10" customHeight="0">
      <c r="A2596" s="0">
        <f>HYPERLINK("https://dl.dropboxusercontent.com/scl/fi/2jt884ejrsp4hh5sgv2l0/113901-af.jpg?rlkey=iwb8kkexit2i7hfu69b147l6y&amp;dl=0","Click to download Image")</f>
      </c>
      <c r="B2596" s="0">
        <f>HYPERLINK("https://dl.dropboxusercontent.com/scl/fi/nta5qtrwoqkwg6igxbd7j/mens-polo-size-chartsbruce.jpg?rlkey=g178as5xqnvjik19t0t9o10b7&amp;dl=0","Click to download SizeChart")</f>
      </c>
      <c r="C2596" s="0" t="inlineStr">
        <is>
          <t>Bruce Men's Golf Polo</t>
        </is>
      </c>
      <c r="D2596" s="0" t="inlineStr">
        <is>
          <t>'113901</t>
        </is>
      </c>
      <c r="E2596" s="0" t="inlineStr">
        <is>
          <t>IOWA BRUCE MENS WHITE:113901D-XL</t>
        </is>
      </c>
      <c r="F2596" s="0" t="inlineStr">
        <is>
          <t>'800113901078</t>
        </is>
      </c>
      <c r="G2596" s="0" t="inlineStr">
        <is>
          <t>MENS</t>
        </is>
      </c>
      <c r="H2596" s="0" t="inlineStr">
        <is>
          <t>XL</t>
        </is>
      </c>
      <c r="I2596" s="0">
        <v>40.99</v>
      </c>
      <c r="J2596" s="0">
        <v>15</v>
      </c>
    </row>
    <row r="2597" spans="1:10" customHeight="0">
      <c r="A2597" s="0">
        <f>HYPERLINK("https://dl.dropboxusercontent.com/scl/fi/2jt884ejrsp4hh5sgv2l0/113901-af.jpg?rlkey=iwb8kkexit2i7hfu69b147l6y&amp;dl=0","Click to download Image")</f>
      </c>
      <c r="B2597" s="0">
        <f>HYPERLINK("https://dl.dropboxusercontent.com/scl/fi/nta5qtrwoqkwg6igxbd7j/mens-polo-size-chartsbruce.jpg?rlkey=g178as5xqnvjik19t0t9o10b7&amp;dl=0","Click to download SizeChart")</f>
      </c>
      <c r="C2597" s="0" t="inlineStr">
        <is>
          <t>Bruce Men's Golf Polo</t>
        </is>
      </c>
      <c r="D2597" s="0" t="inlineStr">
        <is>
          <t>'113901</t>
        </is>
      </c>
      <c r="E2597" s="0" t="inlineStr">
        <is>
          <t>IOWA BRUCE MENS WHITE:113901E-2XL</t>
        </is>
      </c>
      <c r="F2597" s="0" t="inlineStr">
        <is>
          <t>'800113901085</t>
        </is>
      </c>
      <c r="G2597" s="0" t="inlineStr">
        <is>
          <t>MENS</t>
        </is>
      </c>
      <c r="H2597" s="0" t="inlineStr">
        <is>
          <t>2XL</t>
        </is>
      </c>
      <c r="I2597" s="0">
        <v>42.99</v>
      </c>
      <c r="J2597" s="0">
        <v>16</v>
      </c>
    </row>
    <row r="2598" spans="1:10" customHeight="0">
      <c r="A2598" s="0">
        <f>HYPERLINK("https://dl.dropboxusercontent.com/scl/fi/2jt884ejrsp4hh5sgv2l0/113901-af.jpg?rlkey=iwb8kkexit2i7hfu69b147l6y&amp;dl=0","Click to download Image")</f>
      </c>
      <c r="B2598" s="0">
        <f>HYPERLINK("https://dl.dropboxusercontent.com/scl/fi/nta5qtrwoqkwg6igxbd7j/mens-polo-size-chartsbruce.jpg?rlkey=g178as5xqnvjik19t0t9o10b7&amp;dl=0","Click to download SizeChart")</f>
      </c>
      <c r="C2598" s="0" t="inlineStr">
        <is>
          <t>Bruce Men's Golf Polo</t>
        </is>
      </c>
      <c r="D2598" s="0" t="inlineStr">
        <is>
          <t>'113901</t>
        </is>
      </c>
      <c r="E2598" s="0" t="inlineStr">
        <is>
          <t>IOWA BRUCE MENS WHITE:113901F-3XL</t>
        </is>
      </c>
      <c r="F2598" s="0" t="inlineStr">
        <is>
          <t>'800113901092</t>
        </is>
      </c>
      <c r="G2598" s="0" t="inlineStr">
        <is>
          <t>MENS</t>
        </is>
      </c>
      <c r="H2598" s="0" t="inlineStr">
        <is>
          <t>3XL</t>
        </is>
      </c>
      <c r="I2598" s="0">
        <v>42.99</v>
      </c>
      <c r="J2598" s="0">
        <v>7</v>
      </c>
    </row>
    <row r="2599" spans="1:10" customHeight="0">
      <c r="A2599" s="0">
        <f>HYPERLINK("https://dl.dropboxusercontent.com/scl/fi/2jt884ejrsp4hh5sgv2l0/113901-af.jpg?rlkey=iwb8kkexit2i7hfu69b147l6y&amp;dl=0","Click to download Image")</f>
      </c>
      <c r="B2599" s="0">
        <f>HYPERLINK("https://dl.dropboxusercontent.com/scl/fi/nta5qtrwoqkwg6igxbd7j/mens-polo-size-chartsbruce.jpg?rlkey=g178as5xqnvjik19t0t9o10b7&amp;dl=0","Click to download SizeChart")</f>
      </c>
      <c r="C2599" s="0" t="inlineStr">
        <is>
          <t>Bruce Men's Golf Polo</t>
        </is>
      </c>
      <c r="D2599" s="0" t="inlineStr">
        <is>
          <t>'113901</t>
        </is>
      </c>
      <c r="E2599" s="0" t="inlineStr">
        <is>
          <t>IOWA BRUCE MENS WHITE 12 PACK:113901Z-12PK</t>
        </is>
      </c>
      <c r="F2599" s="0" t="inlineStr">
        <is>
          <t>'800113901993</t>
        </is>
      </c>
      <c r="G2599" s="0" t="inlineStr">
        <is>
          <t>MENS</t>
        </is>
      </c>
      <c r="H2599" s="0" t="inlineStr">
        <is>
          <t>12 PACK</t>
        </is>
      </c>
      <c r="I2599" s="0">
        <v>420</v>
      </c>
      <c r="J2599" s="0">
        <v>0</v>
      </c>
    </row>
    <row r="2600" spans="1:10" customHeight="0">
      <c r="A2600" s="0">
        <f>HYPERLINK("https://dl.dropboxusercontent.com/scl/fi/3wlmy3dqik5fhzmc9yip1/113951-af.jpg?rlkey=j00wajkz7bh447wx8ne2x4g5h&amp;dl=0","Click to download Image")</f>
      </c>
      <c r="B2600" s="0">
        <f>HYPERLINK("https://dl.dropboxusercontent.com/scl/fi/nta5qtrwoqkwg6igxbd7j/mens-polo-size-chartsbruce.jpg?rlkey=g178as5xqnvjik19t0t9o10b7&amp;dl=0","Click to download SizeChart")</f>
      </c>
      <c r="C2600" s="0" t="inlineStr">
        <is>
          <t>Bruce Men's Golf Polo</t>
        </is>
      </c>
      <c r="D2600" s="0" t="inlineStr">
        <is>
          <t>'113951</t>
        </is>
      </c>
      <c r="E2600" s="0" t="inlineStr">
        <is>
          <t>ISU BRUCE M WHITE:113951A-S</t>
        </is>
      </c>
      <c r="F2600" s="0" t="inlineStr">
        <is>
          <t>'801113951049</t>
        </is>
      </c>
      <c r="G2600" s="0" t="inlineStr">
        <is>
          <t>MENS</t>
        </is>
      </c>
      <c r="H2600" s="0" t="inlineStr">
        <is>
          <t>S</t>
        </is>
      </c>
      <c r="I2600" s="0">
        <v>40.99</v>
      </c>
      <c r="J2600" s="0">
        <v>2</v>
      </c>
    </row>
    <row r="2601" spans="1:10" customHeight="0">
      <c r="A2601" s="0">
        <f>HYPERLINK("https://dl.dropboxusercontent.com/scl/fi/3wlmy3dqik5fhzmc9yip1/113951-af.jpg?rlkey=j00wajkz7bh447wx8ne2x4g5h&amp;dl=0","Click to download Image")</f>
      </c>
      <c r="B2601" s="0">
        <f>HYPERLINK("https://dl.dropboxusercontent.com/scl/fi/nta5qtrwoqkwg6igxbd7j/mens-polo-size-chartsbruce.jpg?rlkey=g178as5xqnvjik19t0t9o10b7&amp;dl=0","Click to download SizeChart")</f>
      </c>
      <c r="C2601" s="0" t="inlineStr">
        <is>
          <t>Bruce Men's Golf Polo</t>
        </is>
      </c>
      <c r="D2601" s="0" t="inlineStr">
        <is>
          <t>'113951</t>
        </is>
      </c>
      <c r="E2601" s="0" t="inlineStr">
        <is>
          <t>ISU BRUCE M WHITE:113951B-M</t>
        </is>
      </c>
      <c r="F2601" s="0" t="inlineStr">
        <is>
          <t>'801113951056</t>
        </is>
      </c>
      <c r="G2601" s="0" t="inlineStr">
        <is>
          <t>MENS</t>
        </is>
      </c>
      <c r="H2601" s="0" t="inlineStr">
        <is>
          <t>M</t>
        </is>
      </c>
      <c r="I2601" s="0">
        <v>40.99</v>
      </c>
      <c r="J2601" s="0">
        <v>9</v>
      </c>
    </row>
    <row r="2602" spans="1:10" customHeight="0">
      <c r="A2602" s="0">
        <f>HYPERLINK("https://dl.dropboxusercontent.com/scl/fi/3wlmy3dqik5fhzmc9yip1/113951-af.jpg?rlkey=j00wajkz7bh447wx8ne2x4g5h&amp;dl=0","Click to download Image")</f>
      </c>
      <c r="B2602" s="0">
        <f>HYPERLINK("https://dl.dropboxusercontent.com/scl/fi/nta5qtrwoqkwg6igxbd7j/mens-polo-size-chartsbruce.jpg?rlkey=g178as5xqnvjik19t0t9o10b7&amp;dl=0","Click to download SizeChart")</f>
      </c>
      <c r="C2602" s="0" t="inlineStr">
        <is>
          <t>Bruce Men's Golf Polo</t>
        </is>
      </c>
      <c r="D2602" s="0" t="inlineStr">
        <is>
          <t>'113951</t>
        </is>
      </c>
      <c r="E2602" s="0" t="inlineStr">
        <is>
          <t>ISU BRUCE M WHITE:113951C-L</t>
        </is>
      </c>
      <c r="F2602" s="0" t="inlineStr">
        <is>
          <t>'801113951063</t>
        </is>
      </c>
      <c r="G2602" s="0" t="inlineStr">
        <is>
          <t>MENS</t>
        </is>
      </c>
      <c r="H2602" s="0" t="inlineStr">
        <is>
          <t>L</t>
        </is>
      </c>
      <c r="I2602" s="0">
        <v>40.99</v>
      </c>
      <c r="J2602" s="0">
        <v>3</v>
      </c>
    </row>
    <row r="2603" spans="1:10" customHeight="0">
      <c r="A2603" s="0">
        <f>HYPERLINK("https://dl.dropboxusercontent.com/scl/fi/3wlmy3dqik5fhzmc9yip1/113951-af.jpg?rlkey=j00wajkz7bh447wx8ne2x4g5h&amp;dl=0","Click to download Image")</f>
      </c>
      <c r="B2603" s="0">
        <f>HYPERLINK("https://dl.dropboxusercontent.com/scl/fi/nta5qtrwoqkwg6igxbd7j/mens-polo-size-chartsbruce.jpg?rlkey=g178as5xqnvjik19t0t9o10b7&amp;dl=0","Click to download SizeChart")</f>
      </c>
      <c r="C2603" s="0" t="inlineStr">
        <is>
          <t>Bruce Men's Golf Polo</t>
        </is>
      </c>
      <c r="D2603" s="0" t="inlineStr">
        <is>
          <t>'113951</t>
        </is>
      </c>
      <c r="E2603" s="0" t="inlineStr">
        <is>
          <t>ISU BRUCE M WHITE:113951D-XL</t>
        </is>
      </c>
      <c r="F2603" s="0" t="inlineStr">
        <is>
          <t>'801113951070</t>
        </is>
      </c>
      <c r="G2603" s="0" t="inlineStr">
        <is>
          <t>MENS</t>
        </is>
      </c>
      <c r="H2603" s="0" t="inlineStr">
        <is>
          <t>XL</t>
        </is>
      </c>
      <c r="I2603" s="0">
        <v>40.99</v>
      </c>
      <c r="J2603" s="0">
        <v>0</v>
      </c>
    </row>
    <row r="2604" spans="1:10" customHeight="0">
      <c r="A2604" s="0">
        <f>HYPERLINK("https://dl.dropboxusercontent.com/scl/fi/3wlmy3dqik5fhzmc9yip1/113951-af.jpg?rlkey=j00wajkz7bh447wx8ne2x4g5h&amp;dl=0","Click to download Image")</f>
      </c>
      <c r="B2604" s="0">
        <f>HYPERLINK("https://dl.dropboxusercontent.com/scl/fi/nta5qtrwoqkwg6igxbd7j/mens-polo-size-chartsbruce.jpg?rlkey=g178as5xqnvjik19t0t9o10b7&amp;dl=0","Click to download SizeChart")</f>
      </c>
      <c r="C2604" s="0" t="inlineStr">
        <is>
          <t>Bruce Men's Golf Polo</t>
        </is>
      </c>
      <c r="D2604" s="0" t="inlineStr">
        <is>
          <t>'113951</t>
        </is>
      </c>
      <c r="E2604" s="0" t="inlineStr">
        <is>
          <t>ISU BRUCE M WHITE:113951E-2XL</t>
        </is>
      </c>
      <c r="F2604" s="0" t="inlineStr">
        <is>
          <t>'801113951087</t>
        </is>
      </c>
      <c r="G2604" s="0" t="inlineStr">
        <is>
          <t>MENS</t>
        </is>
      </c>
      <c r="H2604" s="0" t="inlineStr">
        <is>
          <t>2XL</t>
        </is>
      </c>
      <c r="I2604" s="0">
        <v>42.99</v>
      </c>
      <c r="J2604" s="0">
        <v>6</v>
      </c>
    </row>
    <row r="2605" spans="1:10" customHeight="0">
      <c r="A2605" s="0">
        <f>HYPERLINK("https://dl.dropboxusercontent.com/scl/fi/3wlmy3dqik5fhzmc9yip1/113951-af.jpg?rlkey=j00wajkz7bh447wx8ne2x4g5h&amp;dl=0","Click to download Image")</f>
      </c>
      <c r="B2605" s="0">
        <f>HYPERLINK("https://dl.dropboxusercontent.com/scl/fi/nta5qtrwoqkwg6igxbd7j/mens-polo-size-chartsbruce.jpg?rlkey=g178as5xqnvjik19t0t9o10b7&amp;dl=0","Click to download SizeChart")</f>
      </c>
      <c r="C2605" s="0" t="inlineStr">
        <is>
          <t>Bruce Men's Golf Polo</t>
        </is>
      </c>
      <c r="D2605" s="0" t="inlineStr">
        <is>
          <t>'113951</t>
        </is>
      </c>
      <c r="E2605" s="0" t="inlineStr">
        <is>
          <t>ISU BRUCE M WHITE:113951F-3XL</t>
        </is>
      </c>
      <c r="F2605" s="0" t="inlineStr">
        <is>
          <t>'801113951094</t>
        </is>
      </c>
      <c r="G2605" s="0" t="inlineStr">
        <is>
          <t>MENS</t>
        </is>
      </c>
      <c r="H2605" s="0" t="inlineStr">
        <is>
          <t>3XL</t>
        </is>
      </c>
      <c r="I2605" s="0">
        <v>42.99</v>
      </c>
      <c r="J2605" s="0">
        <v>5</v>
      </c>
    </row>
    <row r="2606" spans="1:10" customHeight="0">
      <c r="A2606" s="0">
        <f>HYPERLINK("https://dl.dropboxusercontent.com/scl/fi/3wlmy3dqik5fhzmc9yip1/113951-af.jpg?rlkey=j00wajkz7bh447wx8ne2x4g5h&amp;dl=0","Click to download Image")</f>
      </c>
      <c r="B2606" s="0">
        <f>HYPERLINK("https://dl.dropboxusercontent.com/scl/fi/nta5qtrwoqkwg6igxbd7j/mens-polo-size-chartsbruce.jpg?rlkey=g178as5xqnvjik19t0t9o10b7&amp;dl=0","Click to download SizeChart")</f>
      </c>
      <c r="C2606" s="0" t="inlineStr">
        <is>
          <t>Bruce Men's Golf Polo</t>
        </is>
      </c>
      <c r="D2606" s="0" t="inlineStr">
        <is>
          <t>'113951</t>
        </is>
      </c>
      <c r="E2606" s="0" t="inlineStr">
        <is>
          <t>ISU BRUCE M WHITE 12 PACK:113951Z-12PK</t>
        </is>
      </c>
      <c r="F2606" s="0" t="inlineStr">
        <is>
          <t>'801113951995</t>
        </is>
      </c>
      <c r="G2606" s="0" t="inlineStr">
        <is>
          <t>MENS</t>
        </is>
      </c>
      <c r="H2606" s="0" t="inlineStr">
        <is>
          <t>12 PACK</t>
        </is>
      </c>
      <c r="I2606" s="0">
        <v>420</v>
      </c>
      <c r="J2606" s="0">
        <v>0</v>
      </c>
    </row>
    <row r="2607" spans="1:10" customHeight="0">
      <c r="A2607" s="0">
        <f>HYPERLINK("https://dl.dropboxusercontent.com/scl/fi/5vg00ces9vp0jd5ufzj5d/113950-af.jpg?rlkey=55efdwy3gvxngxsj1rotqkomk&amp;dl=0","Click to download Image")</f>
      </c>
      <c r="B2607" s="0">
        <f>HYPERLINK("https://dl.dropboxusercontent.com/scl/fi/nta5qtrwoqkwg6igxbd7j/mens-polo-size-chartsbruce.jpg?rlkey=g178as5xqnvjik19t0t9o10b7&amp;dl=0","Click to download SizeChart")</f>
      </c>
      <c r="C2607" s="0" t="inlineStr">
        <is>
          <t>Bruce Men's Golf Polo</t>
        </is>
      </c>
      <c r="D2607" s="0" t="inlineStr">
        <is>
          <t>'113950</t>
        </is>
      </c>
      <c r="E2607" s="0" t="inlineStr">
        <is>
          <t>INDIANA BRUCE M WHITE:113950A-S</t>
        </is>
      </c>
      <c r="F2607" s="0" t="inlineStr">
        <is>
          <t>'806113950047</t>
        </is>
      </c>
      <c r="G2607" s="0" t="inlineStr">
        <is>
          <t>MENS</t>
        </is>
      </c>
      <c r="H2607" s="0" t="inlineStr">
        <is>
          <t>S</t>
        </is>
      </c>
      <c r="I2607" s="0">
        <v>40.99</v>
      </c>
      <c r="J2607" s="0">
        <v>4</v>
      </c>
    </row>
    <row r="2608" spans="1:10" customHeight="0">
      <c r="A2608" s="0">
        <f>HYPERLINK("https://dl.dropboxusercontent.com/scl/fi/5vg00ces9vp0jd5ufzj5d/113950-af.jpg?rlkey=55efdwy3gvxngxsj1rotqkomk&amp;dl=0","Click to download Image")</f>
      </c>
      <c r="B2608" s="0">
        <f>HYPERLINK("https://dl.dropboxusercontent.com/scl/fi/nta5qtrwoqkwg6igxbd7j/mens-polo-size-chartsbruce.jpg?rlkey=g178as5xqnvjik19t0t9o10b7&amp;dl=0","Click to download SizeChart")</f>
      </c>
      <c r="C2608" s="0" t="inlineStr">
        <is>
          <t>Bruce Men's Golf Polo</t>
        </is>
      </c>
      <c r="D2608" s="0" t="inlineStr">
        <is>
          <t>'113950</t>
        </is>
      </c>
      <c r="E2608" s="0" t="inlineStr">
        <is>
          <t>INDIANA BRUCE M WHITE:113950B-M</t>
        </is>
      </c>
      <c r="F2608" s="0" t="inlineStr">
        <is>
          <t>'806113950054</t>
        </is>
      </c>
      <c r="G2608" s="0" t="inlineStr">
        <is>
          <t>MENS</t>
        </is>
      </c>
      <c r="H2608" s="0" t="inlineStr">
        <is>
          <t>M</t>
        </is>
      </c>
      <c r="I2608" s="0">
        <v>40.99</v>
      </c>
      <c r="J2608" s="0">
        <v>8</v>
      </c>
    </row>
    <row r="2609" spans="1:10" customHeight="0">
      <c r="A2609" s="0">
        <f>HYPERLINK("https://dl.dropboxusercontent.com/scl/fi/5vg00ces9vp0jd5ufzj5d/113950-af.jpg?rlkey=55efdwy3gvxngxsj1rotqkomk&amp;dl=0","Click to download Image")</f>
      </c>
      <c r="B2609" s="0">
        <f>HYPERLINK("https://dl.dropboxusercontent.com/scl/fi/nta5qtrwoqkwg6igxbd7j/mens-polo-size-chartsbruce.jpg?rlkey=g178as5xqnvjik19t0t9o10b7&amp;dl=0","Click to download SizeChart")</f>
      </c>
      <c r="C2609" s="0" t="inlineStr">
        <is>
          <t>Bruce Men's Golf Polo</t>
        </is>
      </c>
      <c r="D2609" s="0" t="inlineStr">
        <is>
          <t>'113950</t>
        </is>
      </c>
      <c r="E2609" s="0" t="inlineStr">
        <is>
          <t>INDIANA BRUCE M WHITE:113950C-L</t>
        </is>
      </c>
      <c r="F2609" s="0" t="inlineStr">
        <is>
          <t>'806113950061</t>
        </is>
      </c>
      <c r="G2609" s="0" t="inlineStr">
        <is>
          <t>MENS</t>
        </is>
      </c>
      <c r="H2609" s="0" t="inlineStr">
        <is>
          <t>L</t>
        </is>
      </c>
      <c r="I2609" s="0">
        <v>40.99</v>
      </c>
      <c r="J2609" s="0">
        <v>12</v>
      </c>
    </row>
    <row r="2610" spans="1:10" customHeight="0">
      <c r="A2610" s="0">
        <f>HYPERLINK("https://dl.dropboxusercontent.com/scl/fi/5vg00ces9vp0jd5ufzj5d/113950-af.jpg?rlkey=55efdwy3gvxngxsj1rotqkomk&amp;dl=0","Click to download Image")</f>
      </c>
      <c r="B2610" s="0">
        <f>HYPERLINK("https://dl.dropboxusercontent.com/scl/fi/nta5qtrwoqkwg6igxbd7j/mens-polo-size-chartsbruce.jpg?rlkey=g178as5xqnvjik19t0t9o10b7&amp;dl=0","Click to download SizeChart")</f>
      </c>
      <c r="C2610" s="0" t="inlineStr">
        <is>
          <t>Bruce Men's Golf Polo</t>
        </is>
      </c>
      <c r="D2610" s="0" t="inlineStr">
        <is>
          <t>'113950</t>
        </is>
      </c>
      <c r="E2610" s="0" t="inlineStr">
        <is>
          <t>INDIANA BRUCE M WHITE:113950D-XL</t>
        </is>
      </c>
      <c r="F2610" s="0" t="inlineStr">
        <is>
          <t>'806113950078</t>
        </is>
      </c>
      <c r="G2610" s="0" t="inlineStr">
        <is>
          <t>MENS</t>
        </is>
      </c>
      <c r="H2610" s="0" t="inlineStr">
        <is>
          <t>XL</t>
        </is>
      </c>
      <c r="I2610" s="0">
        <v>40.99</v>
      </c>
      <c r="J2610" s="0">
        <v>10</v>
      </c>
    </row>
    <row r="2611" spans="1:10" customHeight="0">
      <c r="A2611" s="0">
        <f>HYPERLINK("https://dl.dropboxusercontent.com/scl/fi/5vg00ces9vp0jd5ufzj5d/113950-af.jpg?rlkey=55efdwy3gvxngxsj1rotqkomk&amp;dl=0","Click to download Image")</f>
      </c>
      <c r="B2611" s="0">
        <f>HYPERLINK("https://dl.dropboxusercontent.com/scl/fi/nta5qtrwoqkwg6igxbd7j/mens-polo-size-chartsbruce.jpg?rlkey=g178as5xqnvjik19t0t9o10b7&amp;dl=0","Click to download SizeChart")</f>
      </c>
      <c r="C2611" s="0" t="inlineStr">
        <is>
          <t>Bruce Men's Golf Polo</t>
        </is>
      </c>
      <c r="D2611" s="0" t="inlineStr">
        <is>
          <t>'113950</t>
        </is>
      </c>
      <c r="E2611" s="0" t="inlineStr">
        <is>
          <t>INDIANA BRUCE M WHITE:113950E-2XL</t>
        </is>
      </c>
      <c r="F2611" s="0" t="inlineStr">
        <is>
          <t>'806113950085</t>
        </is>
      </c>
      <c r="G2611" s="0" t="inlineStr">
        <is>
          <t>MENS</t>
        </is>
      </c>
      <c r="H2611" s="0" t="inlineStr">
        <is>
          <t>2XL</t>
        </is>
      </c>
      <c r="I2611" s="0">
        <v>42.99</v>
      </c>
      <c r="J2611" s="0">
        <v>9</v>
      </c>
    </row>
    <row r="2612" spans="1:10" customHeight="0">
      <c r="A2612" s="0">
        <f>HYPERLINK("https://dl.dropboxusercontent.com/scl/fi/5vg00ces9vp0jd5ufzj5d/113950-af.jpg?rlkey=55efdwy3gvxngxsj1rotqkomk&amp;dl=0","Click to download Image")</f>
      </c>
      <c r="B2612" s="0">
        <f>HYPERLINK("https://dl.dropboxusercontent.com/scl/fi/nta5qtrwoqkwg6igxbd7j/mens-polo-size-chartsbruce.jpg?rlkey=g178as5xqnvjik19t0t9o10b7&amp;dl=0","Click to download SizeChart")</f>
      </c>
      <c r="C2612" s="0" t="inlineStr">
        <is>
          <t>Bruce Men's Golf Polo</t>
        </is>
      </c>
      <c r="D2612" s="0" t="inlineStr">
        <is>
          <t>'113950</t>
        </is>
      </c>
      <c r="E2612" s="0" t="inlineStr">
        <is>
          <t>INDIANA BRUCE M WHITE:113950F-3XL</t>
        </is>
      </c>
      <c r="F2612" s="0" t="inlineStr">
        <is>
          <t>'806113950092</t>
        </is>
      </c>
      <c r="G2612" s="0" t="inlineStr">
        <is>
          <t>MENS</t>
        </is>
      </c>
      <c r="H2612" s="0" t="inlineStr">
        <is>
          <t>3XL</t>
        </is>
      </c>
      <c r="I2612" s="0">
        <v>42.99</v>
      </c>
      <c r="J2612" s="0">
        <v>3</v>
      </c>
    </row>
    <row r="2613" spans="1:10" customHeight="0">
      <c r="A2613" s="0">
        <f>HYPERLINK("https://dl.dropboxusercontent.com/scl/fi/5vg00ces9vp0jd5ufzj5d/113950-af.jpg?rlkey=55efdwy3gvxngxsj1rotqkomk&amp;dl=0","Click to download Image")</f>
      </c>
      <c r="B2613" s="0">
        <f>HYPERLINK("https://dl.dropboxusercontent.com/scl/fi/nta5qtrwoqkwg6igxbd7j/mens-polo-size-chartsbruce.jpg?rlkey=g178as5xqnvjik19t0t9o10b7&amp;dl=0","Click to download SizeChart")</f>
      </c>
      <c r="C2613" s="0" t="inlineStr">
        <is>
          <t>Bruce Men's Golf Polo</t>
        </is>
      </c>
      <c r="D2613" s="0" t="inlineStr">
        <is>
          <t>'113950</t>
        </is>
      </c>
      <c r="E2613" s="0" t="inlineStr">
        <is>
          <t>INDIANA BRUCE M WHITE 12 PACK:113950Z-12PK</t>
        </is>
      </c>
      <c r="F2613" s="0" t="inlineStr">
        <is>
          <t>'806113950993</t>
        </is>
      </c>
      <c r="G2613" s="0" t="inlineStr">
        <is>
          <t>MENS</t>
        </is>
      </c>
      <c r="H2613" s="0" t="inlineStr">
        <is>
          <t>12 PACK</t>
        </is>
      </c>
      <c r="I2613" s="0">
        <v>420</v>
      </c>
      <c r="J2613" s="0">
        <v>0</v>
      </c>
    </row>
    <row r="2614" spans="1:10" customHeight="0">
      <c r="A2614" s="0">
        <f>HYPERLINK("https://dl.dropboxusercontent.com/scl/fi/q03s62njw7595mh882x1l/113949-af.jpg?rlkey=91uhjsor0my9m928nhlfrk1vr&amp;dl=0","Click to download Image")</f>
      </c>
      <c r="B2614" s="0">
        <f>HYPERLINK("https://dl.dropboxusercontent.com/scl/fi/nta5qtrwoqkwg6igxbd7j/mens-polo-size-chartsbruce.jpg?rlkey=g178as5xqnvjik19t0t9o10b7&amp;dl=0","Click to download SizeChart")</f>
      </c>
      <c r="C2614" s="0" t="inlineStr">
        <is>
          <t>Bruce Men's Golf Polo</t>
        </is>
      </c>
      <c r="D2614" s="0" t="inlineStr">
        <is>
          <t>'113949</t>
        </is>
      </c>
      <c r="E2614" s="0" t="inlineStr">
        <is>
          <t>PURDUE BRUCE M WHITE:113949A-S</t>
        </is>
      </c>
      <c r="F2614" s="0" t="inlineStr">
        <is>
          <t>'804113949047</t>
        </is>
      </c>
      <c r="G2614" s="0" t="inlineStr">
        <is>
          <t>MENS</t>
        </is>
      </c>
      <c r="H2614" s="0" t="inlineStr">
        <is>
          <t>S</t>
        </is>
      </c>
      <c r="I2614" s="0">
        <v>40.99</v>
      </c>
      <c r="J2614" s="0">
        <v>4</v>
      </c>
    </row>
    <row r="2615" spans="1:10" customHeight="0">
      <c r="A2615" s="0">
        <f>HYPERLINK("https://dl.dropboxusercontent.com/scl/fi/q03s62njw7595mh882x1l/113949-af.jpg?rlkey=91uhjsor0my9m928nhlfrk1vr&amp;dl=0","Click to download Image")</f>
      </c>
      <c r="B2615" s="0">
        <f>HYPERLINK("https://dl.dropboxusercontent.com/scl/fi/nta5qtrwoqkwg6igxbd7j/mens-polo-size-chartsbruce.jpg?rlkey=g178as5xqnvjik19t0t9o10b7&amp;dl=0","Click to download SizeChart")</f>
      </c>
      <c r="C2615" s="0" t="inlineStr">
        <is>
          <t>Bruce Men's Golf Polo</t>
        </is>
      </c>
      <c r="D2615" s="0" t="inlineStr">
        <is>
          <t>'113949</t>
        </is>
      </c>
      <c r="E2615" s="0" t="inlineStr">
        <is>
          <t>PURDUE BRUCE M WHITE:113949B-M</t>
        </is>
      </c>
      <c r="F2615" s="0" t="inlineStr">
        <is>
          <t>'804113949054</t>
        </is>
      </c>
      <c r="G2615" s="0" t="inlineStr">
        <is>
          <t>MENS</t>
        </is>
      </c>
      <c r="H2615" s="0" t="inlineStr">
        <is>
          <t>M</t>
        </is>
      </c>
      <c r="I2615" s="0">
        <v>40.99</v>
      </c>
      <c r="J2615" s="0">
        <v>6</v>
      </c>
    </row>
    <row r="2616" spans="1:10" customHeight="0">
      <c r="A2616" s="0">
        <f>HYPERLINK("https://dl.dropboxusercontent.com/scl/fi/q03s62njw7595mh882x1l/113949-af.jpg?rlkey=91uhjsor0my9m928nhlfrk1vr&amp;dl=0","Click to download Image")</f>
      </c>
      <c r="B2616" s="0">
        <f>HYPERLINK("https://dl.dropboxusercontent.com/scl/fi/nta5qtrwoqkwg6igxbd7j/mens-polo-size-chartsbruce.jpg?rlkey=g178as5xqnvjik19t0t9o10b7&amp;dl=0","Click to download SizeChart")</f>
      </c>
      <c r="C2616" s="0" t="inlineStr">
        <is>
          <t>Bruce Men's Golf Polo</t>
        </is>
      </c>
      <c r="D2616" s="0" t="inlineStr">
        <is>
          <t>'113949</t>
        </is>
      </c>
      <c r="E2616" s="0" t="inlineStr">
        <is>
          <t>PURDUE BRUCE M WHITE:113949C-L</t>
        </is>
      </c>
      <c r="F2616" s="0" t="inlineStr">
        <is>
          <t>'804113949061</t>
        </is>
      </c>
      <c r="G2616" s="0" t="inlineStr">
        <is>
          <t>MENS</t>
        </is>
      </c>
      <c r="H2616" s="0" t="inlineStr">
        <is>
          <t>L</t>
        </is>
      </c>
      <c r="I2616" s="0">
        <v>40.99</v>
      </c>
      <c r="J2616" s="0">
        <v>10</v>
      </c>
    </row>
    <row r="2617" spans="1:10" customHeight="0">
      <c r="A2617" s="0">
        <f>HYPERLINK("https://dl.dropboxusercontent.com/scl/fi/q03s62njw7595mh882x1l/113949-af.jpg?rlkey=91uhjsor0my9m928nhlfrk1vr&amp;dl=0","Click to download Image")</f>
      </c>
      <c r="B2617" s="0">
        <f>HYPERLINK("https://dl.dropboxusercontent.com/scl/fi/nta5qtrwoqkwg6igxbd7j/mens-polo-size-chartsbruce.jpg?rlkey=g178as5xqnvjik19t0t9o10b7&amp;dl=0","Click to download SizeChart")</f>
      </c>
      <c r="C2617" s="0" t="inlineStr">
        <is>
          <t>Bruce Men's Golf Polo</t>
        </is>
      </c>
      <c r="D2617" s="0" t="inlineStr">
        <is>
          <t>'113949</t>
        </is>
      </c>
      <c r="E2617" s="0" t="inlineStr">
        <is>
          <t>PURDUE BRUCE M WHITE:113949D-XL</t>
        </is>
      </c>
      <c r="F2617" s="0" t="inlineStr">
        <is>
          <t>'804113949078</t>
        </is>
      </c>
      <c r="G2617" s="0" t="inlineStr">
        <is>
          <t>MENS</t>
        </is>
      </c>
      <c r="H2617" s="0" t="inlineStr">
        <is>
          <t>XL</t>
        </is>
      </c>
      <c r="I2617" s="0">
        <v>40.99</v>
      </c>
      <c r="J2617" s="0">
        <v>12</v>
      </c>
    </row>
    <row r="2618" spans="1:10" customHeight="0">
      <c r="A2618" s="0">
        <f>HYPERLINK("https://dl.dropboxusercontent.com/scl/fi/q03s62njw7595mh882x1l/113949-af.jpg?rlkey=91uhjsor0my9m928nhlfrk1vr&amp;dl=0","Click to download Image")</f>
      </c>
      <c r="B2618" s="0">
        <f>HYPERLINK("https://dl.dropboxusercontent.com/scl/fi/nta5qtrwoqkwg6igxbd7j/mens-polo-size-chartsbruce.jpg?rlkey=g178as5xqnvjik19t0t9o10b7&amp;dl=0","Click to download SizeChart")</f>
      </c>
      <c r="C2618" s="0" t="inlineStr">
        <is>
          <t>Bruce Men's Golf Polo</t>
        </is>
      </c>
      <c r="D2618" s="0" t="inlineStr">
        <is>
          <t>'113949</t>
        </is>
      </c>
      <c r="E2618" s="0" t="inlineStr">
        <is>
          <t>PURDUE BRUCE M WHITE:113949E-2XL</t>
        </is>
      </c>
      <c r="F2618" s="0" t="inlineStr">
        <is>
          <t>'804113949085</t>
        </is>
      </c>
      <c r="G2618" s="0" t="inlineStr">
        <is>
          <t>MENS</t>
        </is>
      </c>
      <c r="H2618" s="0" t="inlineStr">
        <is>
          <t>2XL</t>
        </is>
      </c>
      <c r="I2618" s="0">
        <v>42.99</v>
      </c>
      <c r="J2618" s="0">
        <v>8</v>
      </c>
    </row>
    <row r="2619" spans="1:10" customHeight="0">
      <c r="A2619" s="0">
        <f>HYPERLINK("https://dl.dropboxusercontent.com/scl/fi/q03s62njw7595mh882x1l/113949-af.jpg?rlkey=91uhjsor0my9m928nhlfrk1vr&amp;dl=0","Click to download Image")</f>
      </c>
      <c r="B2619" s="0">
        <f>HYPERLINK("https://dl.dropboxusercontent.com/scl/fi/nta5qtrwoqkwg6igxbd7j/mens-polo-size-chartsbruce.jpg?rlkey=g178as5xqnvjik19t0t9o10b7&amp;dl=0","Click to download SizeChart")</f>
      </c>
      <c r="C2619" s="0" t="inlineStr">
        <is>
          <t>Bruce Men's Golf Polo</t>
        </is>
      </c>
      <c r="D2619" s="0" t="inlineStr">
        <is>
          <t>'113949</t>
        </is>
      </c>
      <c r="E2619" s="0" t="inlineStr">
        <is>
          <t>PURDUE BRUCE M WHITE:113949F-3XL</t>
        </is>
      </c>
      <c r="F2619" s="0" t="inlineStr">
        <is>
          <t>'804113949092</t>
        </is>
      </c>
      <c r="G2619" s="0" t="inlineStr">
        <is>
          <t>MENS</t>
        </is>
      </c>
      <c r="H2619" s="0" t="inlineStr">
        <is>
          <t>3XL</t>
        </is>
      </c>
      <c r="I2619" s="0">
        <v>42.99</v>
      </c>
      <c r="J2619" s="0">
        <v>1</v>
      </c>
    </row>
    <row r="2620" spans="1:10" customHeight="0">
      <c r="A2620" s="0">
        <f>HYPERLINK("https://dl.dropboxusercontent.com/scl/fi/q03s62njw7595mh882x1l/113949-af.jpg?rlkey=91uhjsor0my9m928nhlfrk1vr&amp;dl=0","Click to download Image")</f>
      </c>
      <c r="B2620" s="0">
        <f>HYPERLINK("https://dl.dropboxusercontent.com/scl/fi/nta5qtrwoqkwg6igxbd7j/mens-polo-size-chartsbruce.jpg?rlkey=g178as5xqnvjik19t0t9o10b7&amp;dl=0","Click to download SizeChart")</f>
      </c>
      <c r="C2620" s="0" t="inlineStr">
        <is>
          <t>Bruce Men's Golf Polo</t>
        </is>
      </c>
      <c r="D2620" s="0" t="inlineStr">
        <is>
          <t>'113949</t>
        </is>
      </c>
      <c r="E2620" s="0" t="inlineStr">
        <is>
          <t>PURDUE BRUCE M WHITE 12 PACK:113949Z-12PK</t>
        </is>
      </c>
      <c r="F2620" s="0" t="inlineStr">
        <is>
          <t>'804113949993</t>
        </is>
      </c>
      <c r="G2620" s="0" t="inlineStr">
        <is>
          <t>MENS</t>
        </is>
      </c>
      <c r="H2620" s="0" t="inlineStr">
        <is>
          <t>12 PACK</t>
        </is>
      </c>
      <c r="I2620" s="0">
        <v>420</v>
      </c>
      <c r="J2620" s="0">
        <v>0</v>
      </c>
    </row>
    <row r="2621" spans="1:10" customHeight="0">
      <c r="A2621" s="0">
        <f>HYPERLINK("https://dl.dropboxusercontent.com/scl/fi/rx0njj8k7lkrfcq5vl0it/113948-af.jpg?rlkey=xbjtoh6f0nzn7q7sweddf07rg&amp;dl=0","Click to download Image")</f>
      </c>
      <c r="B2621" s="0">
        <f>HYPERLINK("https://dl.dropboxusercontent.com/scl/fi/nta5qtrwoqkwg6igxbd7j/mens-polo-size-chartsbruce.jpg?rlkey=g178as5xqnvjik19t0t9o10b7&amp;dl=0","Click to download SizeChart")</f>
      </c>
      <c r="C2621" s="0" t="inlineStr">
        <is>
          <t>Bruce Men's Golf Polo</t>
        </is>
      </c>
      <c r="D2621" s="0" t="inlineStr">
        <is>
          <t>'113948</t>
        </is>
      </c>
      <c r="E2621" s="0" t="inlineStr">
        <is>
          <t>KSU BRUCE M WHITE:113948A-S</t>
        </is>
      </c>
      <c r="F2621" s="0" t="inlineStr">
        <is>
          <t>'805113948047</t>
        </is>
      </c>
      <c r="G2621" s="0" t="inlineStr">
        <is>
          <t>MENS</t>
        </is>
      </c>
      <c r="H2621" s="0" t="inlineStr">
        <is>
          <t>S</t>
        </is>
      </c>
      <c r="I2621" s="0">
        <v>40.99</v>
      </c>
      <c r="J2621" s="0">
        <v>6</v>
      </c>
    </row>
    <row r="2622" spans="1:10" customHeight="0">
      <c r="A2622" s="0">
        <f>HYPERLINK("https://dl.dropboxusercontent.com/scl/fi/rx0njj8k7lkrfcq5vl0it/113948-af.jpg?rlkey=xbjtoh6f0nzn7q7sweddf07rg&amp;dl=0","Click to download Image")</f>
      </c>
      <c r="B2622" s="0">
        <f>HYPERLINK("https://dl.dropboxusercontent.com/scl/fi/nta5qtrwoqkwg6igxbd7j/mens-polo-size-chartsbruce.jpg?rlkey=g178as5xqnvjik19t0t9o10b7&amp;dl=0","Click to download SizeChart")</f>
      </c>
      <c r="C2622" s="0" t="inlineStr">
        <is>
          <t>Bruce Men's Golf Polo</t>
        </is>
      </c>
      <c r="D2622" s="0" t="inlineStr">
        <is>
          <t>'113948</t>
        </is>
      </c>
      <c r="E2622" s="0" t="inlineStr">
        <is>
          <t>KSU BRUCE M WHITE:113948B-M</t>
        </is>
      </c>
      <c r="F2622" s="0" t="inlineStr">
        <is>
          <t>'805113948054</t>
        </is>
      </c>
      <c r="G2622" s="0" t="inlineStr">
        <is>
          <t>MENS</t>
        </is>
      </c>
      <c r="H2622" s="0" t="inlineStr">
        <is>
          <t>M</t>
        </is>
      </c>
      <c r="I2622" s="0">
        <v>40.99</v>
      </c>
      <c r="J2622" s="0">
        <v>11</v>
      </c>
    </row>
    <row r="2623" spans="1:10" customHeight="0">
      <c r="A2623" s="0">
        <f>HYPERLINK("https://dl.dropboxusercontent.com/scl/fi/rx0njj8k7lkrfcq5vl0it/113948-af.jpg?rlkey=xbjtoh6f0nzn7q7sweddf07rg&amp;dl=0","Click to download Image")</f>
      </c>
      <c r="B2623" s="0">
        <f>HYPERLINK("https://dl.dropboxusercontent.com/scl/fi/nta5qtrwoqkwg6igxbd7j/mens-polo-size-chartsbruce.jpg?rlkey=g178as5xqnvjik19t0t9o10b7&amp;dl=0","Click to download SizeChart")</f>
      </c>
      <c r="C2623" s="0" t="inlineStr">
        <is>
          <t>Bruce Men's Golf Polo</t>
        </is>
      </c>
      <c r="D2623" s="0" t="inlineStr">
        <is>
          <t>'113948</t>
        </is>
      </c>
      <c r="E2623" s="0" t="inlineStr">
        <is>
          <t>KSU BRUCE M WHITE:113948C-L</t>
        </is>
      </c>
      <c r="F2623" s="0" t="inlineStr">
        <is>
          <t>'805113948061</t>
        </is>
      </c>
      <c r="G2623" s="0" t="inlineStr">
        <is>
          <t>MENS</t>
        </is>
      </c>
      <c r="H2623" s="0" t="inlineStr">
        <is>
          <t>L</t>
        </is>
      </c>
      <c r="I2623" s="0">
        <v>40.99</v>
      </c>
      <c r="J2623" s="0">
        <v>10</v>
      </c>
    </row>
    <row r="2624" spans="1:10" customHeight="0">
      <c r="A2624" s="0">
        <f>HYPERLINK("https://dl.dropboxusercontent.com/scl/fi/rx0njj8k7lkrfcq5vl0it/113948-af.jpg?rlkey=xbjtoh6f0nzn7q7sweddf07rg&amp;dl=0","Click to download Image")</f>
      </c>
      <c r="B2624" s="0">
        <f>HYPERLINK("https://dl.dropboxusercontent.com/scl/fi/nta5qtrwoqkwg6igxbd7j/mens-polo-size-chartsbruce.jpg?rlkey=g178as5xqnvjik19t0t9o10b7&amp;dl=0","Click to download SizeChart")</f>
      </c>
      <c r="C2624" s="0" t="inlineStr">
        <is>
          <t>Bruce Men's Golf Polo</t>
        </is>
      </c>
      <c r="D2624" s="0" t="inlineStr">
        <is>
          <t>'113948</t>
        </is>
      </c>
      <c r="E2624" s="0" t="inlineStr">
        <is>
          <t>KSU BRUCE M WHITE:113948D-XL</t>
        </is>
      </c>
      <c r="F2624" s="0" t="inlineStr">
        <is>
          <t>'805113948078</t>
        </is>
      </c>
      <c r="G2624" s="0" t="inlineStr">
        <is>
          <t>MENS</t>
        </is>
      </c>
      <c r="H2624" s="0" t="inlineStr">
        <is>
          <t>XL</t>
        </is>
      </c>
      <c r="I2624" s="0">
        <v>40.99</v>
      </c>
      <c r="J2624" s="0">
        <v>14</v>
      </c>
    </row>
    <row r="2625" spans="1:10" customHeight="0">
      <c r="A2625" s="0">
        <f>HYPERLINK("https://dl.dropboxusercontent.com/scl/fi/rx0njj8k7lkrfcq5vl0it/113948-af.jpg?rlkey=xbjtoh6f0nzn7q7sweddf07rg&amp;dl=0","Click to download Image")</f>
      </c>
      <c r="B2625" s="0">
        <f>HYPERLINK("https://dl.dropboxusercontent.com/scl/fi/nta5qtrwoqkwg6igxbd7j/mens-polo-size-chartsbruce.jpg?rlkey=g178as5xqnvjik19t0t9o10b7&amp;dl=0","Click to download SizeChart")</f>
      </c>
      <c r="C2625" s="0" t="inlineStr">
        <is>
          <t>Bruce Men's Golf Polo</t>
        </is>
      </c>
      <c r="D2625" s="0" t="inlineStr">
        <is>
          <t>'113948</t>
        </is>
      </c>
      <c r="E2625" s="0" t="inlineStr">
        <is>
          <t>KSU BRUCE M WHITE:113948E-2XL</t>
        </is>
      </c>
      <c r="F2625" s="0" t="inlineStr">
        <is>
          <t>'805113948085</t>
        </is>
      </c>
      <c r="G2625" s="0" t="inlineStr">
        <is>
          <t>MENS</t>
        </is>
      </c>
      <c r="H2625" s="0" t="inlineStr">
        <is>
          <t>2XL</t>
        </is>
      </c>
      <c r="I2625" s="0">
        <v>42.99</v>
      </c>
      <c r="J2625" s="0">
        <v>10</v>
      </c>
    </row>
    <row r="2626" spans="1:10" customHeight="0">
      <c r="A2626" s="0">
        <f>HYPERLINK("https://dl.dropboxusercontent.com/scl/fi/rx0njj8k7lkrfcq5vl0it/113948-af.jpg?rlkey=xbjtoh6f0nzn7q7sweddf07rg&amp;dl=0","Click to download Image")</f>
      </c>
      <c r="B2626" s="0">
        <f>HYPERLINK("https://dl.dropboxusercontent.com/scl/fi/nta5qtrwoqkwg6igxbd7j/mens-polo-size-chartsbruce.jpg?rlkey=g178as5xqnvjik19t0t9o10b7&amp;dl=0","Click to download SizeChart")</f>
      </c>
      <c r="C2626" s="0" t="inlineStr">
        <is>
          <t>Bruce Men's Golf Polo</t>
        </is>
      </c>
      <c r="D2626" s="0" t="inlineStr">
        <is>
          <t>'113948</t>
        </is>
      </c>
      <c r="E2626" s="0" t="inlineStr">
        <is>
          <t>KSU BRUCE M WHITE:113948F-3XL</t>
        </is>
      </c>
      <c r="F2626" s="0" t="inlineStr">
        <is>
          <t>'805113948092</t>
        </is>
      </c>
      <c r="G2626" s="0" t="inlineStr">
        <is>
          <t>MENS</t>
        </is>
      </c>
      <c r="H2626" s="0" t="inlineStr">
        <is>
          <t>3XL</t>
        </is>
      </c>
      <c r="I2626" s="0">
        <v>42.99</v>
      </c>
      <c r="J2626" s="0">
        <v>6</v>
      </c>
    </row>
    <row r="2627" spans="1:10" customHeight="0">
      <c r="A2627" s="0">
        <f>HYPERLINK("https://dl.dropboxusercontent.com/scl/fi/rx0njj8k7lkrfcq5vl0it/113948-af.jpg?rlkey=xbjtoh6f0nzn7q7sweddf07rg&amp;dl=0","Click to download Image")</f>
      </c>
      <c r="B2627" s="0">
        <f>HYPERLINK("https://dl.dropboxusercontent.com/scl/fi/nta5qtrwoqkwg6igxbd7j/mens-polo-size-chartsbruce.jpg?rlkey=g178as5xqnvjik19t0t9o10b7&amp;dl=0","Click to download SizeChart")</f>
      </c>
      <c r="C2627" s="0" t="inlineStr">
        <is>
          <t>Bruce Men's Golf Polo</t>
        </is>
      </c>
      <c r="D2627" s="0" t="inlineStr">
        <is>
          <t>'113948</t>
        </is>
      </c>
      <c r="E2627" s="0" t="inlineStr">
        <is>
          <t>KSU BRUCE M WHITE 12 PACK:113948Z-12PK</t>
        </is>
      </c>
      <c r="F2627" s="0" t="inlineStr">
        <is>
          <t>'805113948993</t>
        </is>
      </c>
      <c r="G2627" s="0" t="inlineStr">
        <is>
          <t>MENS</t>
        </is>
      </c>
      <c r="H2627" s="0" t="inlineStr">
        <is>
          <t>12 PACK</t>
        </is>
      </c>
      <c r="I2627" s="0">
        <v>420</v>
      </c>
      <c r="J2627" s="0">
        <v>0</v>
      </c>
    </row>
    <row r="2628" spans="1:10" customHeight="0">
      <c r="A2628" s="0">
        <f>HYPERLINK("https://dl.dropboxusercontent.com/scl/fi/8nq4buyp81g7vglgn7q3i/113947-af.jpg?rlkey=1lp7o7yqvfdthzstd0wdirgtd&amp;dl=0","Click to download Image")</f>
      </c>
      <c r="B2628" s="0">
        <f>HYPERLINK("https://dl.dropboxusercontent.com/scl/fi/nta5qtrwoqkwg6igxbd7j/mens-polo-size-chartsbruce.jpg?rlkey=g178as5xqnvjik19t0t9o10b7&amp;dl=0","Click to download SizeChart")</f>
      </c>
      <c r="C2628" s="0" t="inlineStr">
        <is>
          <t>Bruce Men's Golf Polo</t>
        </is>
      </c>
      <c r="D2628" s="0" t="inlineStr">
        <is>
          <t>'113947</t>
        </is>
      </c>
      <c r="E2628" s="0" t="inlineStr">
        <is>
          <t>MU BRUCE M WHITE:113947A-S</t>
        </is>
      </c>
      <c r="F2628" s="0" t="inlineStr">
        <is>
          <t>'803113947046</t>
        </is>
      </c>
      <c r="G2628" s="0" t="inlineStr">
        <is>
          <t>MENS</t>
        </is>
      </c>
      <c r="H2628" s="0" t="inlineStr">
        <is>
          <t>S</t>
        </is>
      </c>
      <c r="I2628" s="0">
        <v>40.99</v>
      </c>
      <c r="J2628" s="0">
        <v>4</v>
      </c>
    </row>
    <row r="2629" spans="1:10" customHeight="0">
      <c r="A2629" s="0">
        <f>HYPERLINK("https://dl.dropboxusercontent.com/scl/fi/8nq4buyp81g7vglgn7q3i/113947-af.jpg?rlkey=1lp7o7yqvfdthzstd0wdirgtd&amp;dl=0","Click to download Image")</f>
      </c>
      <c r="B2629" s="0">
        <f>HYPERLINK("https://dl.dropboxusercontent.com/scl/fi/nta5qtrwoqkwg6igxbd7j/mens-polo-size-chartsbruce.jpg?rlkey=g178as5xqnvjik19t0t9o10b7&amp;dl=0","Click to download SizeChart")</f>
      </c>
      <c r="C2629" s="0" t="inlineStr">
        <is>
          <t>Bruce Men's Golf Polo</t>
        </is>
      </c>
      <c r="D2629" s="0" t="inlineStr">
        <is>
          <t>'113947</t>
        </is>
      </c>
      <c r="E2629" s="0" t="inlineStr">
        <is>
          <t>MU BRUCE M WHITE:113947B-M</t>
        </is>
      </c>
      <c r="F2629" s="0" t="inlineStr">
        <is>
          <t>'803113947053</t>
        </is>
      </c>
      <c r="G2629" s="0" t="inlineStr">
        <is>
          <t>MENS</t>
        </is>
      </c>
      <c r="H2629" s="0" t="inlineStr">
        <is>
          <t>M</t>
        </is>
      </c>
      <c r="I2629" s="0">
        <v>40.99</v>
      </c>
      <c r="J2629" s="0">
        <v>7</v>
      </c>
    </row>
    <row r="2630" spans="1:10" customHeight="0">
      <c r="A2630" s="0">
        <f>HYPERLINK("https://dl.dropboxusercontent.com/scl/fi/8nq4buyp81g7vglgn7q3i/113947-af.jpg?rlkey=1lp7o7yqvfdthzstd0wdirgtd&amp;dl=0","Click to download Image")</f>
      </c>
      <c r="B2630" s="0">
        <f>HYPERLINK("https://dl.dropboxusercontent.com/scl/fi/nta5qtrwoqkwg6igxbd7j/mens-polo-size-chartsbruce.jpg?rlkey=g178as5xqnvjik19t0t9o10b7&amp;dl=0","Click to download SizeChart")</f>
      </c>
      <c r="C2630" s="0" t="inlineStr">
        <is>
          <t>Bruce Men's Golf Polo</t>
        </is>
      </c>
      <c r="D2630" s="0" t="inlineStr">
        <is>
          <t>'113947</t>
        </is>
      </c>
      <c r="E2630" s="0" t="inlineStr">
        <is>
          <t>MU BRUCE M WHITE:113947C-L</t>
        </is>
      </c>
      <c r="F2630" s="0" t="inlineStr">
        <is>
          <t>'803113947060</t>
        </is>
      </c>
      <c r="G2630" s="0" t="inlineStr">
        <is>
          <t>MENS</t>
        </is>
      </c>
      <c r="H2630" s="0" t="inlineStr">
        <is>
          <t>L</t>
        </is>
      </c>
      <c r="I2630" s="0">
        <v>40.99</v>
      </c>
      <c r="J2630" s="0">
        <v>10</v>
      </c>
    </row>
    <row r="2631" spans="1:10" customHeight="0">
      <c r="A2631" s="0">
        <f>HYPERLINK("https://dl.dropboxusercontent.com/scl/fi/8nq4buyp81g7vglgn7q3i/113947-af.jpg?rlkey=1lp7o7yqvfdthzstd0wdirgtd&amp;dl=0","Click to download Image")</f>
      </c>
      <c r="B2631" s="0">
        <f>HYPERLINK("https://dl.dropboxusercontent.com/scl/fi/nta5qtrwoqkwg6igxbd7j/mens-polo-size-chartsbruce.jpg?rlkey=g178as5xqnvjik19t0t9o10b7&amp;dl=0","Click to download SizeChart")</f>
      </c>
      <c r="C2631" s="0" t="inlineStr">
        <is>
          <t>Bruce Men's Golf Polo</t>
        </is>
      </c>
      <c r="D2631" s="0" t="inlineStr">
        <is>
          <t>'113947</t>
        </is>
      </c>
      <c r="E2631" s="0" t="inlineStr">
        <is>
          <t>MU BRUCE M WHITE:113947D-XL</t>
        </is>
      </c>
      <c r="F2631" s="0" t="inlineStr">
        <is>
          <t>'803113947077</t>
        </is>
      </c>
      <c r="G2631" s="0" t="inlineStr">
        <is>
          <t>MENS</t>
        </is>
      </c>
      <c r="H2631" s="0" t="inlineStr">
        <is>
          <t>XL</t>
        </is>
      </c>
      <c r="I2631" s="0">
        <v>40.99</v>
      </c>
      <c r="J2631" s="0">
        <v>12</v>
      </c>
    </row>
    <row r="2632" spans="1:10" customHeight="0">
      <c r="A2632" s="0">
        <f>HYPERLINK("https://dl.dropboxusercontent.com/scl/fi/8nq4buyp81g7vglgn7q3i/113947-af.jpg?rlkey=1lp7o7yqvfdthzstd0wdirgtd&amp;dl=0","Click to download Image")</f>
      </c>
      <c r="B2632" s="0">
        <f>HYPERLINK("https://dl.dropboxusercontent.com/scl/fi/nta5qtrwoqkwg6igxbd7j/mens-polo-size-chartsbruce.jpg?rlkey=g178as5xqnvjik19t0t9o10b7&amp;dl=0","Click to download SizeChart")</f>
      </c>
      <c r="C2632" s="0" t="inlineStr">
        <is>
          <t>Bruce Men's Golf Polo</t>
        </is>
      </c>
      <c r="D2632" s="0" t="inlineStr">
        <is>
          <t>'113947</t>
        </is>
      </c>
      <c r="E2632" s="0" t="inlineStr">
        <is>
          <t>MU BRUCE M WHITE:113947E-2XL</t>
        </is>
      </c>
      <c r="F2632" s="0" t="inlineStr">
        <is>
          <t>'803113947084</t>
        </is>
      </c>
      <c r="G2632" s="0" t="inlineStr">
        <is>
          <t>MENS</t>
        </is>
      </c>
      <c r="H2632" s="0" t="inlineStr">
        <is>
          <t>2XL</t>
        </is>
      </c>
      <c r="I2632" s="0">
        <v>42.99</v>
      </c>
      <c r="J2632" s="0">
        <v>1</v>
      </c>
    </row>
    <row r="2633" spans="1:10" customHeight="0">
      <c r="A2633" s="0">
        <f>HYPERLINK("https://dl.dropboxusercontent.com/scl/fi/8nq4buyp81g7vglgn7q3i/113947-af.jpg?rlkey=1lp7o7yqvfdthzstd0wdirgtd&amp;dl=0","Click to download Image")</f>
      </c>
      <c r="B2633" s="0">
        <f>HYPERLINK("https://dl.dropboxusercontent.com/scl/fi/nta5qtrwoqkwg6igxbd7j/mens-polo-size-chartsbruce.jpg?rlkey=g178as5xqnvjik19t0t9o10b7&amp;dl=0","Click to download SizeChart")</f>
      </c>
      <c r="C2633" s="0" t="inlineStr">
        <is>
          <t>Bruce Men's Golf Polo</t>
        </is>
      </c>
      <c r="D2633" s="0" t="inlineStr">
        <is>
          <t>'113947</t>
        </is>
      </c>
      <c r="E2633" s="0" t="inlineStr">
        <is>
          <t>MU BRUCE M WHITE:113947F-3XL</t>
        </is>
      </c>
      <c r="F2633" s="0" t="inlineStr">
        <is>
          <t>'803113947091</t>
        </is>
      </c>
      <c r="G2633" s="0" t="inlineStr">
        <is>
          <t>MENS</t>
        </is>
      </c>
      <c r="H2633" s="0" t="inlineStr">
        <is>
          <t>3XL</t>
        </is>
      </c>
      <c r="I2633" s="0">
        <v>42.99</v>
      </c>
      <c r="J2633" s="0">
        <v>1</v>
      </c>
    </row>
    <row r="2634" spans="1:10" customHeight="0">
      <c r="A2634" s="0">
        <f>HYPERLINK("https://dl.dropboxusercontent.com/scl/fi/8nq4buyp81g7vglgn7q3i/113947-af.jpg?rlkey=1lp7o7yqvfdthzstd0wdirgtd&amp;dl=0","Click to download Image")</f>
      </c>
      <c r="B2634" s="0">
        <f>HYPERLINK("https://dl.dropboxusercontent.com/scl/fi/nta5qtrwoqkwg6igxbd7j/mens-polo-size-chartsbruce.jpg?rlkey=g178as5xqnvjik19t0t9o10b7&amp;dl=0","Click to download SizeChart")</f>
      </c>
      <c r="C2634" s="0" t="inlineStr">
        <is>
          <t>Bruce Men's Golf Polo</t>
        </is>
      </c>
      <c r="D2634" s="0" t="inlineStr">
        <is>
          <t>'113947</t>
        </is>
      </c>
      <c r="E2634" s="0" t="inlineStr">
        <is>
          <t>MU BRUCE M WHITE 12 PACK:113947Z-12PK</t>
        </is>
      </c>
      <c r="F2634" s="0" t="inlineStr">
        <is>
          <t>'803113947992</t>
        </is>
      </c>
      <c r="G2634" s="0" t="inlineStr">
        <is>
          <t>MENS</t>
        </is>
      </c>
      <c r="H2634" s="0" t="inlineStr">
        <is>
          <t>12 PACK</t>
        </is>
      </c>
      <c r="I2634" s="0">
        <v>420</v>
      </c>
      <c r="J2634" s="0">
        <v>0</v>
      </c>
    </row>
    <row r="2635" spans="1:10" customHeight="0">
      <c r="A2635" s="0">
        <f>HYPERLINK("https://dl.dropboxusercontent.com/scl/fi/uzrlqbkdoq42osfkhfwyr/113946-af.jpg?rlkey=xzta11w8s1z0dmo6eg1ll3rar&amp;dl=0","Click to download Image")</f>
      </c>
      <c r="B2635" s="0">
        <f>HYPERLINK("https://dl.dropboxusercontent.com/scl/fi/nta5qtrwoqkwg6igxbd7j/mens-polo-size-chartsbruce.jpg?rlkey=g178as5xqnvjik19t0t9o10b7&amp;dl=0","Click to download SizeChart")</f>
      </c>
      <c r="C2635" s="0" t="inlineStr">
        <is>
          <t>Bruce Men's Golf Polo</t>
        </is>
      </c>
      <c r="D2635" s="0" t="inlineStr">
        <is>
          <t>'113946</t>
        </is>
      </c>
      <c r="E2635" s="0" t="inlineStr">
        <is>
          <t>UNI BRUCE M WHITE:113946A-S</t>
        </is>
      </c>
      <c r="F2635" s="0" t="inlineStr">
        <is>
          <t>'802113946042</t>
        </is>
      </c>
      <c r="G2635" s="0" t="inlineStr">
        <is>
          <t>MENS</t>
        </is>
      </c>
      <c r="H2635" s="0" t="inlineStr">
        <is>
          <t>S</t>
        </is>
      </c>
      <c r="I2635" s="0">
        <v>40.99</v>
      </c>
      <c r="J2635" s="0">
        <v>5</v>
      </c>
    </row>
    <row r="2636" spans="1:10" customHeight="0">
      <c r="A2636" s="0">
        <f>HYPERLINK("https://dl.dropboxusercontent.com/scl/fi/uzrlqbkdoq42osfkhfwyr/113946-af.jpg?rlkey=xzta11w8s1z0dmo6eg1ll3rar&amp;dl=0","Click to download Image")</f>
      </c>
      <c r="B2636" s="0">
        <f>HYPERLINK("https://dl.dropboxusercontent.com/scl/fi/nta5qtrwoqkwg6igxbd7j/mens-polo-size-chartsbruce.jpg?rlkey=g178as5xqnvjik19t0t9o10b7&amp;dl=0","Click to download SizeChart")</f>
      </c>
      <c r="C2636" s="0" t="inlineStr">
        <is>
          <t>Bruce Men's Golf Polo</t>
        </is>
      </c>
      <c r="D2636" s="0" t="inlineStr">
        <is>
          <t>'113946</t>
        </is>
      </c>
      <c r="E2636" s="0" t="inlineStr">
        <is>
          <t>UNI BRUCE M WHITE:113946B-M</t>
        </is>
      </c>
      <c r="F2636" s="0" t="inlineStr">
        <is>
          <t>'802113946059</t>
        </is>
      </c>
      <c r="G2636" s="0" t="inlineStr">
        <is>
          <t>MENS</t>
        </is>
      </c>
      <c r="H2636" s="0" t="inlineStr">
        <is>
          <t>M</t>
        </is>
      </c>
      <c r="I2636" s="0">
        <v>40.99</v>
      </c>
      <c r="J2636" s="0">
        <v>10</v>
      </c>
    </row>
    <row r="2637" spans="1:10" customHeight="0">
      <c r="A2637" s="0">
        <f>HYPERLINK("https://dl.dropboxusercontent.com/scl/fi/uzrlqbkdoq42osfkhfwyr/113946-af.jpg?rlkey=xzta11w8s1z0dmo6eg1ll3rar&amp;dl=0","Click to download Image")</f>
      </c>
      <c r="B2637" s="0">
        <f>HYPERLINK("https://dl.dropboxusercontent.com/scl/fi/nta5qtrwoqkwg6igxbd7j/mens-polo-size-chartsbruce.jpg?rlkey=g178as5xqnvjik19t0t9o10b7&amp;dl=0","Click to download SizeChart")</f>
      </c>
      <c r="C2637" s="0" t="inlineStr">
        <is>
          <t>Bruce Men's Golf Polo</t>
        </is>
      </c>
      <c r="D2637" s="0" t="inlineStr">
        <is>
          <t>'113946</t>
        </is>
      </c>
      <c r="E2637" s="0" t="inlineStr">
        <is>
          <t>UNI BRUCE M WHITE:113946C-L</t>
        </is>
      </c>
      <c r="F2637" s="0" t="inlineStr">
        <is>
          <t>'802113946066</t>
        </is>
      </c>
      <c r="G2637" s="0" t="inlineStr">
        <is>
          <t>MENS</t>
        </is>
      </c>
      <c r="H2637" s="0" t="inlineStr">
        <is>
          <t>L</t>
        </is>
      </c>
      <c r="I2637" s="0">
        <v>40.99</v>
      </c>
      <c r="J2637" s="0">
        <v>14</v>
      </c>
    </row>
    <row r="2638" spans="1:10" customHeight="0">
      <c r="A2638" s="0">
        <f>HYPERLINK("https://dl.dropboxusercontent.com/scl/fi/uzrlqbkdoq42osfkhfwyr/113946-af.jpg?rlkey=xzta11w8s1z0dmo6eg1ll3rar&amp;dl=0","Click to download Image")</f>
      </c>
      <c r="B2638" s="0">
        <f>HYPERLINK("https://dl.dropboxusercontent.com/scl/fi/nta5qtrwoqkwg6igxbd7j/mens-polo-size-chartsbruce.jpg?rlkey=g178as5xqnvjik19t0t9o10b7&amp;dl=0","Click to download SizeChart")</f>
      </c>
      <c r="C2638" s="0" t="inlineStr">
        <is>
          <t>Bruce Men's Golf Polo</t>
        </is>
      </c>
      <c r="D2638" s="0" t="inlineStr">
        <is>
          <t>'113946</t>
        </is>
      </c>
      <c r="E2638" s="0" t="inlineStr">
        <is>
          <t>UNI BRUCE M WHITE:113946D-XL</t>
        </is>
      </c>
      <c r="F2638" s="0" t="inlineStr">
        <is>
          <t>'802113946073</t>
        </is>
      </c>
      <c r="G2638" s="0" t="inlineStr">
        <is>
          <t>MENS</t>
        </is>
      </c>
      <c r="H2638" s="0" t="inlineStr">
        <is>
          <t>XL</t>
        </is>
      </c>
      <c r="I2638" s="0">
        <v>40.99</v>
      </c>
      <c r="J2638" s="0">
        <v>14</v>
      </c>
    </row>
    <row r="2639" spans="1:10" customHeight="0">
      <c r="A2639" s="0">
        <f>HYPERLINK("https://dl.dropboxusercontent.com/scl/fi/uzrlqbkdoq42osfkhfwyr/113946-af.jpg?rlkey=xzta11w8s1z0dmo6eg1ll3rar&amp;dl=0","Click to download Image")</f>
      </c>
      <c r="B2639" s="0">
        <f>HYPERLINK("https://dl.dropboxusercontent.com/scl/fi/nta5qtrwoqkwg6igxbd7j/mens-polo-size-chartsbruce.jpg?rlkey=g178as5xqnvjik19t0t9o10b7&amp;dl=0","Click to download SizeChart")</f>
      </c>
      <c r="C2639" s="0" t="inlineStr">
        <is>
          <t>Bruce Men's Golf Polo</t>
        </is>
      </c>
      <c r="D2639" s="0" t="inlineStr">
        <is>
          <t>'113946</t>
        </is>
      </c>
      <c r="E2639" s="0" t="inlineStr">
        <is>
          <t>UNI BRUCE M WHITE:113946E-2XL</t>
        </is>
      </c>
      <c r="F2639" s="0" t="inlineStr">
        <is>
          <t>'802113946080</t>
        </is>
      </c>
      <c r="G2639" s="0" t="inlineStr">
        <is>
          <t>MENS</t>
        </is>
      </c>
      <c r="H2639" s="0" t="inlineStr">
        <is>
          <t>2XL</t>
        </is>
      </c>
      <c r="I2639" s="0">
        <v>42.99</v>
      </c>
      <c r="J2639" s="0">
        <v>9</v>
      </c>
    </row>
    <row r="2640" spans="1:10" customHeight="0">
      <c r="A2640" s="0">
        <f>HYPERLINK("https://dl.dropboxusercontent.com/scl/fi/uzrlqbkdoq42osfkhfwyr/113946-af.jpg?rlkey=xzta11w8s1z0dmo6eg1ll3rar&amp;dl=0","Click to download Image")</f>
      </c>
      <c r="B2640" s="0">
        <f>HYPERLINK("https://dl.dropboxusercontent.com/scl/fi/nta5qtrwoqkwg6igxbd7j/mens-polo-size-chartsbruce.jpg?rlkey=g178as5xqnvjik19t0t9o10b7&amp;dl=0","Click to download SizeChart")</f>
      </c>
      <c r="C2640" s="0" t="inlineStr">
        <is>
          <t>Bruce Men's Golf Polo</t>
        </is>
      </c>
      <c r="D2640" s="0" t="inlineStr">
        <is>
          <t>'113946</t>
        </is>
      </c>
      <c r="E2640" s="0" t="inlineStr">
        <is>
          <t>UNI BRUCE M WHITE:113946F-3XL</t>
        </is>
      </c>
      <c r="F2640" s="0" t="inlineStr">
        <is>
          <t>'802113946097</t>
        </is>
      </c>
      <c r="G2640" s="0" t="inlineStr">
        <is>
          <t>MENS</t>
        </is>
      </c>
      <c r="H2640" s="0" t="inlineStr">
        <is>
          <t>3XL</t>
        </is>
      </c>
      <c r="I2640" s="0">
        <v>42.99</v>
      </c>
      <c r="J2640" s="0">
        <v>3</v>
      </c>
    </row>
    <row r="2641" spans="1:10" customHeight="0">
      <c r="A2641" s="0">
        <f>HYPERLINK("https://dl.dropboxusercontent.com/scl/fi/uzrlqbkdoq42osfkhfwyr/113946-af.jpg?rlkey=xzta11w8s1z0dmo6eg1ll3rar&amp;dl=0","Click to download Image")</f>
      </c>
      <c r="B2641" s="0">
        <f>HYPERLINK("https://dl.dropboxusercontent.com/scl/fi/nta5qtrwoqkwg6igxbd7j/mens-polo-size-chartsbruce.jpg?rlkey=g178as5xqnvjik19t0t9o10b7&amp;dl=0","Click to download SizeChart")</f>
      </c>
      <c r="C2641" s="0" t="inlineStr">
        <is>
          <t>Bruce Men's Golf Polo</t>
        </is>
      </c>
      <c r="D2641" s="0" t="inlineStr">
        <is>
          <t>'113946</t>
        </is>
      </c>
      <c r="E2641" s="0" t="inlineStr">
        <is>
          <t>UNI BRUCE M WHITE 12 PACK:113946Z-12PK</t>
        </is>
      </c>
      <c r="F2641" s="0" t="inlineStr">
        <is>
          <t>'802113946998</t>
        </is>
      </c>
      <c r="G2641" s="0" t="inlineStr">
        <is>
          <t>MENS</t>
        </is>
      </c>
      <c r="H2641" s="0" t="inlineStr">
        <is>
          <t>12 PACK</t>
        </is>
      </c>
      <c r="I2641" s="0">
        <v>420</v>
      </c>
      <c r="J2641" s="0">
        <v>0</v>
      </c>
    </row>
    <row r="2642" spans="1:10" customHeight="0">
      <c r="A2642" s="0">
        <f>HYPERLINK("https://dl.dropboxusercontent.com/scl/fi/b5w4xy4a31f4k1y40rhfx/108139-af-1.jpg?rlkey=wg9lcaa4wfipyu0tk75d87g1e&amp;dl=0","Click to download Image")</f>
      </c>
      <c r="B2642" s="0">
        <f>HYPERLINK("https://dl.dropboxusercontent.com/scl/fi/skkubid83t9f7i3pbiz8s/graphic-update22022-toddler.jpg?rlkey=0io3ueylh9p8aahkxd4hd3t64&amp;dl=0","Click to download SizeChart")</f>
      </c>
      <c r="C2642" s="0" t="inlineStr">
        <is>
          <t>Brooke Toddler Shirt</t>
        </is>
      </c>
      <c r="D2642" s="0" t="inlineStr">
        <is>
          <t>'112566</t>
        </is>
      </c>
      <c r="E2642" s="0" t="inlineStr">
        <is>
          <t>UNI BROOKE TODDLER WHITE:112566A-2T</t>
        </is>
      </c>
      <c r="F2642" s="0" t="inlineStr">
        <is>
          <t>'802112566081</t>
        </is>
      </c>
      <c r="G2642" s="0" t="inlineStr">
        <is>
          <t>TODDLER</t>
        </is>
      </c>
      <c r="H2642" s="0" t="inlineStr">
        <is>
          <t>2T</t>
        </is>
      </c>
      <c r="I2642" s="0">
        <v>26.99</v>
      </c>
      <c r="J2642" s="0">
        <v>13</v>
      </c>
    </row>
    <row r="2643" spans="1:10" customHeight="0">
      <c r="A2643" s="0">
        <f>HYPERLINK("https://dl.dropboxusercontent.com/scl/fi/b5w4xy4a31f4k1y40rhfx/108139-af-1.jpg?rlkey=wg9lcaa4wfipyu0tk75d87g1e&amp;dl=0","Click to download Image")</f>
      </c>
      <c r="B2643" s="0">
        <f>HYPERLINK("https://dl.dropboxusercontent.com/scl/fi/skkubid83t9f7i3pbiz8s/graphic-update22022-toddler.jpg?rlkey=0io3ueylh9p8aahkxd4hd3t64&amp;dl=0","Click to download SizeChart")</f>
      </c>
      <c r="C2643" s="0" t="inlineStr">
        <is>
          <t>Brooke Toddler Shirt</t>
        </is>
      </c>
      <c r="D2643" s="0" t="inlineStr">
        <is>
          <t>'112566</t>
        </is>
      </c>
      <c r="E2643" s="0" t="inlineStr">
        <is>
          <t>UNI BROOKE TODDLER WHITE:112566B-3T</t>
        </is>
      </c>
      <c r="F2643" s="0" t="inlineStr">
        <is>
          <t>'802112566098</t>
        </is>
      </c>
      <c r="G2643" s="0" t="inlineStr">
        <is>
          <t>TODDLER</t>
        </is>
      </c>
      <c r="H2643" s="0" t="inlineStr">
        <is>
          <t>3T</t>
        </is>
      </c>
      <c r="I2643" s="0">
        <v>26.99</v>
      </c>
      <c r="J2643" s="0">
        <v>12</v>
      </c>
    </row>
    <row r="2644" spans="1:10" customHeight="0">
      <c r="A2644" s="0">
        <f>HYPERLINK("https://dl.dropboxusercontent.com/scl/fi/b5w4xy4a31f4k1y40rhfx/108139-af-1.jpg?rlkey=wg9lcaa4wfipyu0tk75d87g1e&amp;dl=0","Click to download Image")</f>
      </c>
      <c r="B2644" s="0">
        <f>HYPERLINK("https://dl.dropboxusercontent.com/scl/fi/skkubid83t9f7i3pbiz8s/graphic-update22022-toddler.jpg?rlkey=0io3ueylh9p8aahkxd4hd3t64&amp;dl=0","Click to download SizeChart")</f>
      </c>
      <c r="C2644" s="0" t="inlineStr">
        <is>
          <t>Brooke Toddler Shirt</t>
        </is>
      </c>
      <c r="D2644" s="0" t="inlineStr">
        <is>
          <t>'112566</t>
        </is>
      </c>
      <c r="E2644" s="0" t="inlineStr">
        <is>
          <t>UNI BROOKE TODDLER WHITE:112566C-4T</t>
        </is>
      </c>
      <c r="F2644" s="0" t="inlineStr">
        <is>
          <t>'802112566104</t>
        </is>
      </c>
      <c r="G2644" s="0" t="inlineStr">
        <is>
          <t>TODDLER</t>
        </is>
      </c>
      <c r="H2644" s="0" t="inlineStr">
        <is>
          <t>4T</t>
        </is>
      </c>
      <c r="I2644" s="0">
        <v>26.99</v>
      </c>
      <c r="J2644" s="0">
        <v>14</v>
      </c>
    </row>
    <row r="2645" spans="1:10" customHeight="0">
      <c r="A2645" s="0">
        <f>HYPERLINK("https://dl.dropboxusercontent.com/scl/fi/b5w4xy4a31f4k1y40rhfx/108139-af-1.jpg?rlkey=wg9lcaa4wfipyu0tk75d87g1e&amp;dl=0","Click to download Image")</f>
      </c>
      <c r="B2645" s="0">
        <f>HYPERLINK("https://dl.dropboxusercontent.com/scl/fi/skkubid83t9f7i3pbiz8s/graphic-update22022-toddler.jpg?rlkey=0io3ueylh9p8aahkxd4hd3t64&amp;dl=0","Click to download SizeChart")</f>
      </c>
      <c r="C2645" s="0" t="inlineStr">
        <is>
          <t>Brooke Toddler Shirt</t>
        </is>
      </c>
      <c r="D2645" s="0" t="inlineStr">
        <is>
          <t>'112566</t>
        </is>
      </c>
      <c r="E2645" s="0" t="inlineStr">
        <is>
          <t>UNI BROOKE TODDLER WHITE:112566D-5T</t>
        </is>
      </c>
      <c r="F2645" s="0" t="inlineStr">
        <is>
          <t>'802112566111</t>
        </is>
      </c>
      <c r="G2645" s="0" t="inlineStr">
        <is>
          <t>TODDLER</t>
        </is>
      </c>
      <c r="H2645" s="0" t="inlineStr">
        <is>
          <t>5T</t>
        </is>
      </c>
      <c r="I2645" s="0">
        <v>26.99</v>
      </c>
      <c r="J2645" s="0">
        <v>13</v>
      </c>
    </row>
    <row r="2646" spans="1:10" customHeight="0">
      <c r="A2646" s="0">
        <f>HYPERLINK("https://dl.dropboxusercontent.com/scl/fi/b5w4xy4a31f4k1y40rhfx/108139-af-1.jpg?rlkey=wg9lcaa4wfipyu0tk75d87g1e&amp;dl=0","Click to download Image")</f>
      </c>
      <c r="B2646" s="0">
        <f>HYPERLINK("https://dl.dropboxusercontent.com/scl/fi/skkubid83t9f7i3pbiz8s/graphic-update22022-toddler.jpg?rlkey=0io3ueylh9p8aahkxd4hd3t64&amp;dl=0","Click to download SizeChart")</f>
      </c>
      <c r="C2646" s="0" t="inlineStr">
        <is>
          <t>Brooke Toddler Shirt</t>
        </is>
      </c>
      <c r="D2646" s="0" t="inlineStr">
        <is>
          <t>'112566</t>
        </is>
      </c>
      <c r="E2646" s="0" t="inlineStr">
        <is>
          <t>UNI BROOKE TODDLER WHITE 12 PACK:112566Z-12PK</t>
        </is>
      </c>
      <c r="F2646" s="0" t="inlineStr">
        <is>
          <t>'802112566999</t>
        </is>
      </c>
      <c r="G2646" s="0" t="inlineStr">
        <is>
          <t>TODDLER</t>
        </is>
      </c>
      <c r="H2646" s="0" t="inlineStr">
        <is>
          <t>12 PACK</t>
        </is>
      </c>
      <c r="I2646" s="0">
        <v>260</v>
      </c>
      <c r="J2646" s="0">
        <v>0</v>
      </c>
    </row>
    <row r="2647" spans="1:10" customHeight="0">
      <c r="A2647" s="0">
        <f>HYPERLINK("https://dl.dropboxusercontent.com/scl/fi/gjok4els4f0kuc0k7hkvd/dsc0283edit.jpg?rlkey=496zvmneckbnxkiyac3ztkcix&amp;dl=0","Click to download Image")</f>
      </c>
      <c r="B2647" s="0">
        <f>HYPERLINK("https://dl.dropboxusercontent.com/scl/fi/skkubid83t9f7i3pbiz8s/graphic-update22022-toddler.jpg?rlkey=0io3ueylh9p8aahkxd4hd3t64&amp;dl=0","Click to download SizeChart")</f>
      </c>
      <c r="C2647" s="0" t="inlineStr">
        <is>
          <t>Brooke Toddler Shirt</t>
        </is>
      </c>
      <c r="D2647" s="0" t="inlineStr">
        <is>
          <t>'112565</t>
        </is>
      </c>
      <c r="E2647" s="0" t="inlineStr">
        <is>
          <t>ISU BROOKE TODDLER WHITE:112565A-2T</t>
        </is>
      </c>
      <c r="F2647" s="0" t="inlineStr">
        <is>
          <t>'801112565087</t>
        </is>
      </c>
      <c r="G2647" s="0" t="inlineStr">
        <is>
          <t>TODDLER</t>
        </is>
      </c>
      <c r="H2647" s="0" t="inlineStr">
        <is>
          <t>2T</t>
        </is>
      </c>
      <c r="I2647" s="0">
        <v>26.99</v>
      </c>
      <c r="J2647" s="0">
        <v>9</v>
      </c>
    </row>
    <row r="2648" spans="1:10" customHeight="0">
      <c r="A2648" s="0">
        <f>HYPERLINK("https://dl.dropboxusercontent.com/scl/fi/gjok4els4f0kuc0k7hkvd/dsc0283edit.jpg?rlkey=496zvmneckbnxkiyac3ztkcix&amp;dl=0","Click to download Image")</f>
      </c>
      <c r="B2648" s="0">
        <f>HYPERLINK("https://dl.dropboxusercontent.com/scl/fi/skkubid83t9f7i3pbiz8s/graphic-update22022-toddler.jpg?rlkey=0io3ueylh9p8aahkxd4hd3t64&amp;dl=0","Click to download SizeChart")</f>
      </c>
      <c r="C2648" s="0" t="inlineStr">
        <is>
          <t>Brooke Toddler Shirt</t>
        </is>
      </c>
      <c r="D2648" s="0" t="inlineStr">
        <is>
          <t>'112565</t>
        </is>
      </c>
      <c r="E2648" s="0" t="inlineStr">
        <is>
          <t>ISU BROOKE TODDLER WHITE:112565B-3T</t>
        </is>
      </c>
      <c r="F2648" s="0" t="inlineStr">
        <is>
          <t>'801112565094</t>
        </is>
      </c>
      <c r="G2648" s="0" t="inlineStr">
        <is>
          <t>TODDLER</t>
        </is>
      </c>
      <c r="H2648" s="0" t="inlineStr">
        <is>
          <t>3T</t>
        </is>
      </c>
      <c r="I2648" s="0">
        <v>26.99</v>
      </c>
      <c r="J2648" s="0">
        <v>7</v>
      </c>
    </row>
    <row r="2649" spans="1:10" customHeight="0">
      <c r="A2649" s="0">
        <f>HYPERLINK("https://dl.dropboxusercontent.com/scl/fi/gjok4els4f0kuc0k7hkvd/dsc0283edit.jpg?rlkey=496zvmneckbnxkiyac3ztkcix&amp;dl=0","Click to download Image")</f>
      </c>
      <c r="B2649" s="0">
        <f>HYPERLINK("https://dl.dropboxusercontent.com/scl/fi/skkubid83t9f7i3pbiz8s/graphic-update22022-toddler.jpg?rlkey=0io3ueylh9p8aahkxd4hd3t64&amp;dl=0","Click to download SizeChart")</f>
      </c>
      <c r="C2649" s="0" t="inlineStr">
        <is>
          <t>Brooke Toddler Shirt</t>
        </is>
      </c>
      <c r="D2649" s="0" t="inlineStr">
        <is>
          <t>'112565</t>
        </is>
      </c>
      <c r="E2649" s="0" t="inlineStr">
        <is>
          <t>ISU BROOKE TODDLER WHITE:112565C-4T</t>
        </is>
      </c>
      <c r="F2649" s="0" t="inlineStr">
        <is>
          <t>'801112565100</t>
        </is>
      </c>
      <c r="G2649" s="0" t="inlineStr">
        <is>
          <t>TODDLER</t>
        </is>
      </c>
      <c r="H2649" s="0" t="inlineStr">
        <is>
          <t>4T</t>
        </is>
      </c>
      <c r="I2649" s="0">
        <v>26.99</v>
      </c>
      <c r="J2649" s="0">
        <v>7</v>
      </c>
    </row>
    <row r="2650" spans="1:10" customHeight="0">
      <c r="A2650" s="0">
        <f>HYPERLINK("https://dl.dropboxusercontent.com/scl/fi/gjok4els4f0kuc0k7hkvd/dsc0283edit.jpg?rlkey=496zvmneckbnxkiyac3ztkcix&amp;dl=0","Click to download Image")</f>
      </c>
      <c r="B2650" s="0">
        <f>HYPERLINK("https://dl.dropboxusercontent.com/scl/fi/skkubid83t9f7i3pbiz8s/graphic-update22022-toddler.jpg?rlkey=0io3ueylh9p8aahkxd4hd3t64&amp;dl=0","Click to download SizeChart")</f>
      </c>
      <c r="C2650" s="0" t="inlineStr">
        <is>
          <t>Brooke Toddler Shirt</t>
        </is>
      </c>
      <c r="D2650" s="0" t="inlineStr">
        <is>
          <t>'112565</t>
        </is>
      </c>
      <c r="E2650" s="0" t="inlineStr">
        <is>
          <t>ISU BROOKE TODDLER WHITE:112565D-5T</t>
        </is>
      </c>
      <c r="F2650" s="0" t="inlineStr">
        <is>
          <t>'801112565117</t>
        </is>
      </c>
      <c r="G2650" s="0" t="inlineStr">
        <is>
          <t>TODDLER</t>
        </is>
      </c>
      <c r="H2650" s="0" t="inlineStr">
        <is>
          <t>5T</t>
        </is>
      </c>
      <c r="I2650" s="0">
        <v>26.99</v>
      </c>
      <c r="J2650" s="0">
        <v>8</v>
      </c>
    </row>
    <row r="2651" spans="1:10" customHeight="0">
      <c r="A2651" s="0">
        <f>HYPERLINK("https://dl.dropboxusercontent.com/scl/fi/gjok4els4f0kuc0k7hkvd/dsc0283edit.jpg?rlkey=496zvmneckbnxkiyac3ztkcix&amp;dl=0","Click to download Image")</f>
      </c>
      <c r="B2651" s="0">
        <f>HYPERLINK("https://dl.dropboxusercontent.com/scl/fi/skkubid83t9f7i3pbiz8s/graphic-update22022-toddler.jpg?rlkey=0io3ueylh9p8aahkxd4hd3t64&amp;dl=0","Click to download SizeChart")</f>
      </c>
      <c r="C2651" s="0" t="inlineStr">
        <is>
          <t>Brooke Toddler Shirt</t>
        </is>
      </c>
      <c r="D2651" s="0" t="inlineStr">
        <is>
          <t>'112565</t>
        </is>
      </c>
      <c r="E2651" s="0" t="inlineStr">
        <is>
          <t>ISU BROOKE TODDLER WHITE 12 PACK:112565Z-12PK</t>
        </is>
      </c>
      <c r="F2651" s="0" t="inlineStr">
        <is>
          <t>'801112565995</t>
        </is>
      </c>
      <c r="G2651" s="0" t="inlineStr">
        <is>
          <t>TODDLER</t>
        </is>
      </c>
      <c r="H2651" s="0" t="inlineStr">
        <is>
          <t>12 PACK</t>
        </is>
      </c>
      <c r="I2651" s="0">
        <v>260</v>
      </c>
      <c r="J2651" s="0">
        <v>0</v>
      </c>
    </row>
    <row r="2652" spans="1:10" customHeight="0">
      <c r="A2652" s="0">
        <f>HYPERLINK("https://dl.dropboxusercontent.com/scl/fi/2vamrsxfa09xkinbgfrzb/108141-af.jpg?rlkey=r4bjwcpiidsuhfco897wz5fk9&amp;dl=0","Click to download Image")</f>
      </c>
      <c r="B2652" s="0">
        <f>HYPERLINK("https://dl.dropboxusercontent.com/scl/fi/skkubid83t9f7i3pbiz8s/graphic-update22022-toddler.jpg?rlkey=0io3ueylh9p8aahkxd4hd3t64&amp;dl=0","Click to download SizeChart")</f>
      </c>
      <c r="C2652" s="0" t="inlineStr">
        <is>
          <t>Brooke Toddler Shirt</t>
        </is>
      </c>
      <c r="D2652" s="0" t="inlineStr">
        <is>
          <t>'112564</t>
        </is>
      </c>
      <c r="E2652" s="0" t="inlineStr">
        <is>
          <t>IOWA BROOKE TODDLER WHITE:112564A-2T</t>
        </is>
      </c>
      <c r="F2652" s="0" t="inlineStr">
        <is>
          <t>'800112564083</t>
        </is>
      </c>
      <c r="G2652" s="0" t="inlineStr">
        <is>
          <t>TODDLER</t>
        </is>
      </c>
      <c r="H2652" s="0" t="inlineStr">
        <is>
          <t>2T</t>
        </is>
      </c>
      <c r="I2652" s="0">
        <v>26.99</v>
      </c>
      <c r="J2652" s="0">
        <v>18</v>
      </c>
    </row>
    <row r="2653" spans="1:10" customHeight="0">
      <c r="A2653" s="0">
        <f>HYPERLINK("https://dl.dropboxusercontent.com/scl/fi/2vamrsxfa09xkinbgfrzb/108141-af.jpg?rlkey=r4bjwcpiidsuhfco897wz5fk9&amp;dl=0","Click to download Image")</f>
      </c>
      <c r="B2653" s="0">
        <f>HYPERLINK("https://dl.dropboxusercontent.com/scl/fi/skkubid83t9f7i3pbiz8s/graphic-update22022-toddler.jpg?rlkey=0io3ueylh9p8aahkxd4hd3t64&amp;dl=0","Click to download SizeChart")</f>
      </c>
      <c r="C2653" s="0" t="inlineStr">
        <is>
          <t>Brooke Toddler Shirt</t>
        </is>
      </c>
      <c r="D2653" s="0" t="inlineStr">
        <is>
          <t>'112564</t>
        </is>
      </c>
      <c r="E2653" s="0" t="inlineStr">
        <is>
          <t>IOWA BROOKE TODDLER WHITE:112564B-3T</t>
        </is>
      </c>
      <c r="F2653" s="0" t="inlineStr">
        <is>
          <t>'800112564090</t>
        </is>
      </c>
      <c r="G2653" s="0" t="inlineStr">
        <is>
          <t>TODDLER</t>
        </is>
      </c>
      <c r="H2653" s="0" t="inlineStr">
        <is>
          <t>3T</t>
        </is>
      </c>
      <c r="I2653" s="0">
        <v>26.99</v>
      </c>
      <c r="J2653" s="0">
        <v>17</v>
      </c>
    </row>
    <row r="2654" spans="1:10" customHeight="0">
      <c r="A2654" s="0">
        <f>HYPERLINK("https://dl.dropboxusercontent.com/scl/fi/2vamrsxfa09xkinbgfrzb/108141-af.jpg?rlkey=r4bjwcpiidsuhfco897wz5fk9&amp;dl=0","Click to download Image")</f>
      </c>
      <c r="B2654" s="0">
        <f>HYPERLINK("https://dl.dropboxusercontent.com/scl/fi/skkubid83t9f7i3pbiz8s/graphic-update22022-toddler.jpg?rlkey=0io3ueylh9p8aahkxd4hd3t64&amp;dl=0","Click to download SizeChart")</f>
      </c>
      <c r="C2654" s="0" t="inlineStr">
        <is>
          <t>Brooke Toddler Shirt</t>
        </is>
      </c>
      <c r="D2654" s="0" t="inlineStr">
        <is>
          <t>'112564</t>
        </is>
      </c>
      <c r="E2654" s="0" t="inlineStr">
        <is>
          <t>IOWA BROOKE TODDLER WHITE:112564C-4T</t>
        </is>
      </c>
      <c r="F2654" s="0" t="inlineStr">
        <is>
          <t>'800112564106</t>
        </is>
      </c>
      <c r="G2654" s="0" t="inlineStr">
        <is>
          <t>TODDLER</t>
        </is>
      </c>
      <c r="H2654" s="0" t="inlineStr">
        <is>
          <t>4T</t>
        </is>
      </c>
      <c r="I2654" s="0">
        <v>26.99</v>
      </c>
      <c r="J2654" s="0">
        <v>18</v>
      </c>
    </row>
    <row r="2655" spans="1:10" customHeight="0">
      <c r="A2655" s="0">
        <f>HYPERLINK("https://dl.dropboxusercontent.com/scl/fi/2vamrsxfa09xkinbgfrzb/108141-af.jpg?rlkey=r4bjwcpiidsuhfco897wz5fk9&amp;dl=0","Click to download Image")</f>
      </c>
      <c r="B2655" s="0">
        <f>HYPERLINK("https://dl.dropboxusercontent.com/scl/fi/skkubid83t9f7i3pbiz8s/graphic-update22022-toddler.jpg?rlkey=0io3ueylh9p8aahkxd4hd3t64&amp;dl=0","Click to download SizeChart")</f>
      </c>
      <c r="C2655" s="0" t="inlineStr">
        <is>
          <t>Brooke Toddler Shirt</t>
        </is>
      </c>
      <c r="D2655" s="0" t="inlineStr">
        <is>
          <t>'112564</t>
        </is>
      </c>
      <c r="E2655" s="0" t="inlineStr">
        <is>
          <t>IOWA BROOKE TODDLER WHITE:112564D-5T</t>
        </is>
      </c>
      <c r="F2655" s="0" t="inlineStr">
        <is>
          <t>'800112564113</t>
        </is>
      </c>
      <c r="G2655" s="0" t="inlineStr">
        <is>
          <t>TODDLER</t>
        </is>
      </c>
      <c r="H2655" s="0" t="inlineStr">
        <is>
          <t>5T</t>
        </is>
      </c>
      <c r="I2655" s="0">
        <v>26.99</v>
      </c>
      <c r="J2655" s="0">
        <v>20</v>
      </c>
    </row>
    <row r="2656" spans="1:10" customHeight="0">
      <c r="A2656" s="0">
        <f>HYPERLINK("https://dl.dropboxusercontent.com/scl/fi/2vamrsxfa09xkinbgfrzb/108141-af.jpg?rlkey=r4bjwcpiidsuhfco897wz5fk9&amp;dl=0","Click to download Image")</f>
      </c>
      <c r="B2656" s="0">
        <f>HYPERLINK("https://dl.dropboxusercontent.com/scl/fi/skkubid83t9f7i3pbiz8s/graphic-update22022-toddler.jpg?rlkey=0io3ueylh9p8aahkxd4hd3t64&amp;dl=0","Click to download SizeChart")</f>
      </c>
      <c r="C2656" s="0" t="inlineStr">
        <is>
          <t>Brooke Toddler Shirt</t>
        </is>
      </c>
      <c r="D2656" s="0" t="inlineStr">
        <is>
          <t>'112564</t>
        </is>
      </c>
      <c r="E2656" s="0" t="inlineStr">
        <is>
          <t>IOWA BROOKE TODDLER WHITE 12 PACK:112564Z-12PK</t>
        </is>
      </c>
      <c r="F2656" s="0" t="inlineStr">
        <is>
          <t>'800112564991</t>
        </is>
      </c>
      <c r="G2656" s="0" t="inlineStr">
        <is>
          <t>TODDLER</t>
        </is>
      </c>
      <c r="H2656" s="0" t="inlineStr">
        <is>
          <t>12 PACK</t>
        </is>
      </c>
      <c r="I2656" s="0">
        <v>260</v>
      </c>
      <c r="J2656" s="0">
        <v>0</v>
      </c>
    </row>
    <row r="2657" spans="1:10" customHeight="0">
      <c r="A2657" s="0">
        <f>HYPERLINK("https://dl.dropboxusercontent.com/scl/fi/gze8fdla8qsqhciykld8a/99591.jpg?rlkey=9bgjldsry7376j3xedm9lemnh&amp;dl=0","Click to download Image")</f>
      </c>
      <c r="B2657" s="0">
        <f>HYPERLINK("https://dl.dropboxusercontent.com/scl/fi/1u52oen8bzyarxk10ypfa/graphic-update22022-infant.jpg?rlkey=w8q7lx9f4qf61ttbgp2jocxvv&amp;dl=0","Click to download SizeChart")</f>
      </c>
      <c r="C2657" s="0" t="inlineStr">
        <is>
          <t>Camden Infant Set</t>
        </is>
      </c>
      <c r="D2657" s="0" t="inlineStr">
        <is>
          <t>'99591</t>
        </is>
      </c>
      <c r="E2657" s="0" t="inlineStr">
        <is>
          <t>CAMDEN:99591A-0-3M</t>
        </is>
      </c>
      <c r="F2657" s="0" t="inlineStr">
        <is>
          <t>'000000000000</t>
        </is>
      </c>
      <c r="G2657" s="0" t="inlineStr">
        <is>
          <t>INFANT</t>
        </is>
      </c>
      <c r="H2657" s="0" t="inlineStr">
        <is>
          <t>0-3M</t>
        </is>
      </c>
      <c r="I2657" s="0">
        <v>29.99</v>
      </c>
      <c r="J2657" s="0">
        <v>159</v>
      </c>
    </row>
    <row r="2658" spans="1:10" customHeight="0">
      <c r="A2658" s="0">
        <f>HYPERLINK("https://dl.dropboxusercontent.com/scl/fi/gze8fdla8qsqhciykld8a/99591.jpg?rlkey=9bgjldsry7376j3xedm9lemnh&amp;dl=0","Click to download Image")</f>
      </c>
      <c r="B2658" s="0">
        <f>HYPERLINK("https://dl.dropboxusercontent.com/scl/fi/1u52oen8bzyarxk10ypfa/graphic-update22022-infant.jpg?rlkey=w8q7lx9f4qf61ttbgp2jocxvv&amp;dl=0","Click to download SizeChart")</f>
      </c>
      <c r="C2658" s="0" t="inlineStr">
        <is>
          <t>Camden Infant Set</t>
        </is>
      </c>
      <c r="D2658" s="0" t="inlineStr">
        <is>
          <t>'99591</t>
        </is>
      </c>
      <c r="E2658" s="0" t="inlineStr">
        <is>
          <t>CAMDEN:99591B-3-6M</t>
        </is>
      </c>
      <c r="F2658" s="0" t="inlineStr">
        <is>
          <t>'000000000000</t>
        </is>
      </c>
      <c r="G2658" s="0" t="inlineStr">
        <is>
          <t>INFANT</t>
        </is>
      </c>
      <c r="H2658" s="0" t="inlineStr">
        <is>
          <t>3-6M</t>
        </is>
      </c>
      <c r="I2658" s="0">
        <v>29.99</v>
      </c>
      <c r="J2658" s="0">
        <v>128</v>
      </c>
    </row>
    <row r="2659" spans="1:10" customHeight="0">
      <c r="A2659" s="0">
        <f>HYPERLINK("https://dl.dropboxusercontent.com/scl/fi/gze8fdla8qsqhciykld8a/99591.jpg?rlkey=9bgjldsry7376j3xedm9lemnh&amp;dl=0","Click to download Image")</f>
      </c>
      <c r="B2659" s="0">
        <f>HYPERLINK("https://dl.dropboxusercontent.com/scl/fi/1u52oen8bzyarxk10ypfa/graphic-update22022-infant.jpg?rlkey=w8q7lx9f4qf61ttbgp2jocxvv&amp;dl=0","Click to download SizeChart")</f>
      </c>
      <c r="C2659" s="0" t="inlineStr">
        <is>
          <t>Camden Infant Set</t>
        </is>
      </c>
      <c r="D2659" s="0" t="inlineStr">
        <is>
          <t>'99591</t>
        </is>
      </c>
      <c r="E2659" s="0" t="inlineStr">
        <is>
          <t>CAMDEN:99591C-6-9M</t>
        </is>
      </c>
      <c r="F2659" s="0" t="inlineStr">
        <is>
          <t>'000000000000</t>
        </is>
      </c>
      <c r="G2659" s="0" t="inlineStr">
        <is>
          <t>INFANT</t>
        </is>
      </c>
      <c r="H2659" s="0" t="inlineStr">
        <is>
          <t>6-9M</t>
        </is>
      </c>
      <c r="I2659" s="0">
        <v>29.99</v>
      </c>
      <c r="J2659" s="0">
        <v>128</v>
      </c>
    </row>
    <row r="2660" spans="1:10" customHeight="0">
      <c r="A2660" s="0">
        <f>HYPERLINK("https://dl.dropboxusercontent.com/scl/fi/gze8fdla8qsqhciykld8a/99591.jpg?rlkey=9bgjldsry7376j3xedm9lemnh&amp;dl=0","Click to download Image")</f>
      </c>
      <c r="B2660" s="0">
        <f>HYPERLINK("https://dl.dropboxusercontent.com/scl/fi/1u52oen8bzyarxk10ypfa/graphic-update22022-infant.jpg?rlkey=w8q7lx9f4qf61ttbgp2jocxvv&amp;dl=0","Click to download SizeChart")</f>
      </c>
      <c r="C2660" s="0" t="inlineStr">
        <is>
          <t>Camden Infant Set</t>
        </is>
      </c>
      <c r="D2660" s="0" t="inlineStr">
        <is>
          <t>'99591</t>
        </is>
      </c>
      <c r="E2660" s="0" t="inlineStr">
        <is>
          <t>CAMDEN:99591D-9-12M</t>
        </is>
      </c>
      <c r="F2660" s="0" t="inlineStr">
        <is>
          <t>'000000000000</t>
        </is>
      </c>
      <c r="G2660" s="0" t="inlineStr">
        <is>
          <t>INFANT</t>
        </is>
      </c>
      <c r="H2660" s="0" t="inlineStr">
        <is>
          <t>12M</t>
        </is>
      </c>
      <c r="I2660" s="0">
        <v>29.99</v>
      </c>
      <c r="J2660" s="0">
        <v>152</v>
      </c>
    </row>
    <row r="2661" spans="1:10" customHeight="0">
      <c r="A2661" s="0">
        <f>HYPERLINK("https://dl.dropboxusercontent.com/scl/fi/2kz9j5tcxax0p6gjrwiiv/99884.jpg?rlkey=e45endxci8oewxwewom90f37s&amp;dl=0","Click to download Image")</f>
      </c>
      <c r="B2661" s="0">
        <f>HYPERLINK("https://dl.dropboxusercontent.com/scl/fi/1u52oen8bzyarxk10ypfa/graphic-update22022-infant.jpg?rlkey=w8q7lx9f4qf61ttbgp2jocxvv&amp;dl=0","Click to download SizeChart")</f>
      </c>
      <c r="C2661" s="0" t="inlineStr">
        <is>
          <t>Camden Infant Set</t>
        </is>
      </c>
      <c r="D2661" s="0" t="inlineStr">
        <is>
          <t>'99884</t>
        </is>
      </c>
      <c r="E2661" s="0" t="inlineStr">
        <is>
          <t>CAMDEN:99884A-0-3M</t>
        </is>
      </c>
      <c r="F2661" s="0" t="inlineStr">
        <is>
          <t>'000000000000</t>
        </is>
      </c>
      <c r="G2661" s="0" t="inlineStr">
        <is>
          <t>INFANT</t>
        </is>
      </c>
      <c r="H2661" s="0" t="inlineStr">
        <is>
          <t>0-3M</t>
        </is>
      </c>
      <c r="I2661" s="0">
        <v>29.99</v>
      </c>
      <c r="J2661" s="0">
        <v>54</v>
      </c>
    </row>
    <row r="2662" spans="1:10" customHeight="0">
      <c r="A2662" s="0">
        <f>HYPERLINK("https://dl.dropboxusercontent.com/scl/fi/2kz9j5tcxax0p6gjrwiiv/99884.jpg?rlkey=e45endxci8oewxwewom90f37s&amp;dl=0","Click to download Image")</f>
      </c>
      <c r="B2662" s="0">
        <f>HYPERLINK("https://dl.dropboxusercontent.com/scl/fi/1u52oen8bzyarxk10ypfa/graphic-update22022-infant.jpg?rlkey=w8q7lx9f4qf61ttbgp2jocxvv&amp;dl=0","Click to download SizeChart")</f>
      </c>
      <c r="C2662" s="0" t="inlineStr">
        <is>
          <t>Camden Infant Set</t>
        </is>
      </c>
      <c r="D2662" s="0" t="inlineStr">
        <is>
          <t>'99884</t>
        </is>
      </c>
      <c r="E2662" s="0" t="inlineStr">
        <is>
          <t>CAMDEN:99884B-3-6M</t>
        </is>
      </c>
      <c r="F2662" s="0" t="inlineStr">
        <is>
          <t>'000000000000</t>
        </is>
      </c>
      <c r="G2662" s="0" t="inlineStr">
        <is>
          <t>INFANT</t>
        </is>
      </c>
      <c r="H2662" s="0" t="inlineStr">
        <is>
          <t>3-6M</t>
        </is>
      </c>
      <c r="I2662" s="0">
        <v>29.99</v>
      </c>
      <c r="J2662" s="0">
        <v>27</v>
      </c>
    </row>
    <row r="2663" spans="1:10" customHeight="0">
      <c r="A2663" s="0">
        <f>HYPERLINK("https://dl.dropboxusercontent.com/scl/fi/2kz9j5tcxax0p6gjrwiiv/99884.jpg?rlkey=e45endxci8oewxwewom90f37s&amp;dl=0","Click to download Image")</f>
      </c>
      <c r="B2663" s="0">
        <f>HYPERLINK("https://dl.dropboxusercontent.com/scl/fi/1u52oen8bzyarxk10ypfa/graphic-update22022-infant.jpg?rlkey=w8q7lx9f4qf61ttbgp2jocxvv&amp;dl=0","Click to download SizeChart")</f>
      </c>
      <c r="C2663" s="0" t="inlineStr">
        <is>
          <t>Camden Infant Set</t>
        </is>
      </c>
      <c r="D2663" s="0" t="inlineStr">
        <is>
          <t>'99884</t>
        </is>
      </c>
      <c r="E2663" s="0" t="inlineStr">
        <is>
          <t>CAMDEN:99884C-6-9M</t>
        </is>
      </c>
      <c r="F2663" s="0" t="inlineStr">
        <is>
          <t>'000000000000</t>
        </is>
      </c>
      <c r="G2663" s="0" t="inlineStr">
        <is>
          <t>INFANT</t>
        </is>
      </c>
      <c r="H2663" s="0" t="inlineStr">
        <is>
          <t>6-9M</t>
        </is>
      </c>
      <c r="I2663" s="0">
        <v>29.99</v>
      </c>
      <c r="J2663" s="0">
        <v>22</v>
      </c>
    </row>
    <row r="2664" spans="1:10" customHeight="0">
      <c r="A2664" s="0">
        <f>HYPERLINK("https://dl.dropboxusercontent.com/scl/fi/2kz9j5tcxax0p6gjrwiiv/99884.jpg?rlkey=e45endxci8oewxwewom90f37s&amp;dl=0","Click to download Image")</f>
      </c>
      <c r="B2664" s="0">
        <f>HYPERLINK("https://dl.dropboxusercontent.com/scl/fi/1u52oen8bzyarxk10ypfa/graphic-update22022-infant.jpg?rlkey=w8q7lx9f4qf61ttbgp2jocxvv&amp;dl=0","Click to download SizeChart")</f>
      </c>
      <c r="C2664" s="0" t="inlineStr">
        <is>
          <t>Camden Infant Set</t>
        </is>
      </c>
      <c r="D2664" s="0" t="inlineStr">
        <is>
          <t>'99884</t>
        </is>
      </c>
      <c r="E2664" s="0" t="inlineStr">
        <is>
          <t>CAMDEN:99884D-9-12M</t>
        </is>
      </c>
      <c r="F2664" s="0" t="inlineStr">
        <is>
          <t>'000000000000</t>
        </is>
      </c>
      <c r="G2664" s="0" t="inlineStr">
        <is>
          <t>INFANT</t>
        </is>
      </c>
      <c r="H2664" s="0" t="inlineStr">
        <is>
          <t>12M</t>
        </is>
      </c>
      <c r="I2664" s="0">
        <v>29.99</v>
      </c>
      <c r="J2664" s="0">
        <v>23</v>
      </c>
    </row>
    <row r="2665" spans="1:10" customHeight="0">
      <c r="A2665" s="0">
        <f>HYPERLINK("https://dl.dropboxusercontent.com/scl/fi/97so0y0l0oyd326thuw3d/101275af.jpg?rlkey=i123wvsaj3cb422igadksxerf&amp;dl=0","Click to download Image")</f>
      </c>
      <c r="C2665" s="0" t="inlineStr">
        <is>
          <t>Cobie Toddler Cap</t>
        </is>
      </c>
      <c r="D2665" s="0" t="inlineStr">
        <is>
          <t>'101882</t>
        </is>
      </c>
      <c r="E2665" s="0" t="inlineStr">
        <is>
          <t>COBIE:101882</t>
        </is>
      </c>
      <c r="F2665" s="0" t="inlineStr">
        <is>
          <t>'000000000000</t>
        </is>
      </c>
      <c r="G2665" s="0" t="inlineStr">
        <is>
          <t>TODDLER</t>
        </is>
      </c>
      <c r="H2665" s="0" t="inlineStr">
        <is>
          <t>TODDLER</t>
        </is>
      </c>
      <c r="I2665" s="0">
        <v>20.99</v>
      </c>
      <c r="J2665" s="0">
        <v>883</v>
      </c>
    </row>
    <row r="2666" spans="1:10" customHeight="0">
      <c r="A2666" s="0">
        <f>HYPERLINK("https://dl.dropboxusercontent.com/scl/fi/rq38bctqlno2tp36mxheu/101719-af.jpg?rlkey=ea6gkuy0tbbsk8zrxmop0gztz&amp;dl=0","Click to download Image")</f>
      </c>
      <c r="C2666" s="0" t="inlineStr">
        <is>
          <t>Cobie Toddler Cap</t>
        </is>
      </c>
      <c r="D2666" s="0" t="inlineStr">
        <is>
          <t>'101883</t>
        </is>
      </c>
      <c r="E2666" s="0" t="inlineStr">
        <is>
          <t>COBIE:101883</t>
        </is>
      </c>
      <c r="F2666" s="0" t="inlineStr">
        <is>
          <t>'000000000000</t>
        </is>
      </c>
      <c r="G2666" s="0" t="inlineStr">
        <is>
          <t>TODDLER</t>
        </is>
      </c>
      <c r="H2666" s="0" t="inlineStr">
        <is>
          <t>TODDLER</t>
        </is>
      </c>
      <c r="I2666" s="0">
        <v>20.99</v>
      </c>
      <c r="J2666" s="0">
        <v>105</v>
      </c>
    </row>
    <row r="2667" spans="1:10" customHeight="0">
      <c r="A2667" s="0">
        <f>HYPERLINK("https://dl.dropboxusercontent.com/scl/fi/z1s7r68t98lsipt078d9h/101719-af.jpg?rlkey=1x5i613xai96ajs9pklz4bi7k&amp;dl=0","Click to download Image")</f>
      </c>
      <c r="C2667" s="0" t="inlineStr">
        <is>
          <t>Cobie Youth Cap</t>
        </is>
      </c>
      <c r="D2667" s="0" t="inlineStr">
        <is>
          <t>'101719</t>
        </is>
      </c>
      <c r="E2667" s="0" t="inlineStr">
        <is>
          <t>COBIE:101719</t>
        </is>
      </c>
      <c r="F2667" s="0" t="inlineStr">
        <is>
          <t>'000000000000</t>
        </is>
      </c>
      <c r="G2667" s="0" t="inlineStr">
        <is>
          <t>YOUTH</t>
        </is>
      </c>
      <c r="H2667" s="0" t="inlineStr">
        <is>
          <t>YOUTH</t>
        </is>
      </c>
      <c r="I2667" s="0">
        <v>20.99</v>
      </c>
      <c r="J2667" s="0">
        <v>44</v>
      </c>
    </row>
    <row r="2668" spans="1:10" customHeight="0">
      <c r="A2668" s="0">
        <f>HYPERLINK("https://dl.dropboxusercontent.com/scl/fi/sceexbfwbrn2cz2v1lli5/101720-af.jpg?rlkey=klhhzj57tfh2sg4i5szobrob5&amp;dl=0","Click to download Image")</f>
      </c>
      <c r="C2668" s="0" t="inlineStr">
        <is>
          <t>Cobie Youth Cap</t>
        </is>
      </c>
      <c r="D2668" s="0" t="inlineStr">
        <is>
          <t>'101720</t>
        </is>
      </c>
      <c r="E2668" s="0" t="inlineStr">
        <is>
          <t>COBIE:101720</t>
        </is>
      </c>
      <c r="F2668" s="0" t="inlineStr">
        <is>
          <t>'000000000000</t>
        </is>
      </c>
      <c r="G2668" s="0" t="inlineStr">
        <is>
          <t>YOUTH</t>
        </is>
      </c>
      <c r="H2668" s="0" t="inlineStr">
        <is>
          <t>YOUTH</t>
        </is>
      </c>
      <c r="I2668" s="0">
        <v>20.99</v>
      </c>
      <c r="J2668" s="0">
        <v>131</v>
      </c>
    </row>
    <row r="2669" spans="1:10" customHeight="0">
      <c r="A2669" s="0">
        <f>HYPERLINK("https://dl.dropboxusercontent.com/scl/fi/0kwimoeu0d93xsjpuzjc4/104347-af.jpg?rlkey=4luk36qmjyocfusb1dtlxs517&amp;dl=0","Click to download Image")</f>
      </c>
      <c r="C2669" s="0" t="inlineStr">
        <is>
          <t>Cobie Youth Cap</t>
        </is>
      </c>
      <c r="D2669" s="0" t="inlineStr">
        <is>
          <t>'104347</t>
        </is>
      </c>
      <c r="E2669" s="0" t="inlineStr">
        <is>
          <t>COBIE:104347</t>
        </is>
      </c>
      <c r="F2669" s="0" t="inlineStr">
        <is>
          <t>'700104347017</t>
        </is>
      </c>
      <c r="G2669" s="0" t="inlineStr">
        <is>
          <t>YOUTH</t>
        </is>
      </c>
      <c r="H2669" s="0" t="inlineStr">
        <is>
          <t>YOUTH</t>
        </is>
      </c>
      <c r="I2669" s="0">
        <v>20.99</v>
      </c>
      <c r="J2669" s="0">
        <v>118</v>
      </c>
    </row>
    <row r="2670" spans="1:10" customHeight="0">
      <c r="A2670" s="0">
        <f>HYPERLINK("https://dl.dropboxusercontent.com/scl/fi/477jgatho0jmwtdje1rrn/104342-af.jpg?rlkey=pbo6qaybvng15crq45boek63t&amp;dl=0","Click to download Image")</f>
      </c>
      <c r="C2670" s="0" t="inlineStr">
        <is>
          <t>Cobie Youth Cap</t>
        </is>
      </c>
      <c r="D2670" s="0" t="inlineStr">
        <is>
          <t>'104342</t>
        </is>
      </c>
      <c r="E2670" s="0" t="inlineStr">
        <is>
          <t>COBIE:104342</t>
        </is>
      </c>
      <c r="F2670" s="0" t="inlineStr">
        <is>
          <t>'000000000000</t>
        </is>
      </c>
      <c r="G2670" s="0" t="inlineStr">
        <is>
          <t>YOUTH</t>
        </is>
      </c>
      <c r="H2670" s="0" t="inlineStr">
        <is>
          <t>YOUTH</t>
        </is>
      </c>
      <c r="I2670" s="0">
        <v>20.99</v>
      </c>
      <c r="J2670" s="0">
        <v>51</v>
      </c>
    </row>
    <row r="2671" spans="1:10" customHeight="0">
      <c r="A2671" s="0">
        <f>HYPERLINK("https://dl.dropboxusercontent.com/scl/fi/onzedl35tggk8s1h583lg/104352-af.jpg?rlkey=2ii8xqgtdghw12yppgif5jyg5&amp;dl=0","Click to download Image")</f>
      </c>
      <c r="C2671" s="0" t="inlineStr">
        <is>
          <t>Cobie Youth Cap</t>
        </is>
      </c>
      <c r="D2671" s="0" t="inlineStr">
        <is>
          <t>'104352</t>
        </is>
      </c>
      <c r="E2671" s="0" t="inlineStr">
        <is>
          <t>COBIE:104352</t>
        </is>
      </c>
      <c r="F2671" s="0" t="inlineStr">
        <is>
          <t>'000000000000</t>
        </is>
      </c>
      <c r="G2671" s="0" t="inlineStr">
        <is>
          <t>YOUTH</t>
        </is>
      </c>
      <c r="H2671" s="0" t="inlineStr">
        <is>
          <t>YOUTH</t>
        </is>
      </c>
      <c r="I2671" s="0">
        <v>20.99</v>
      </c>
      <c r="J2671" s="0">
        <v>87</v>
      </c>
    </row>
    <row r="2672" spans="1:10" customHeight="0">
      <c r="A2672" s="0">
        <f>HYPERLINK("https://dl.dropboxusercontent.com/scl/fi/zkcoe6sqm0czme3yww84u/104348-af.jpg?rlkey=2ce235g9zxhc8af87juwhkn0f&amp;dl=0","Click to download Image")</f>
      </c>
      <c r="C2672" s="0" t="inlineStr">
        <is>
          <t>Cobie Youth Cap</t>
        </is>
      </c>
      <c r="D2672" s="0" t="inlineStr">
        <is>
          <t>'104348</t>
        </is>
      </c>
      <c r="E2672" s="0" t="inlineStr">
        <is>
          <t>COBIE:104348</t>
        </is>
      </c>
      <c r="F2672" s="0" t="inlineStr">
        <is>
          <t>'000000000000</t>
        </is>
      </c>
      <c r="G2672" s="0" t="inlineStr">
        <is>
          <t>YOUTH</t>
        </is>
      </c>
      <c r="H2672" s="0" t="inlineStr">
        <is>
          <t>YOUTH</t>
        </is>
      </c>
      <c r="I2672" s="0">
        <v>20.99</v>
      </c>
      <c r="J2672" s="0">
        <v>14</v>
      </c>
    </row>
    <row r="2673" spans="1:10" customHeight="0">
      <c r="A2673" s="0">
        <f>HYPERLINK("https://dl.dropboxusercontent.com/scl/fi/ca8kppg35isxisc7aqxqi/104349-af.jpg?rlkey=oiuc2zyno6tk38248bslu240c&amp;dl=0","Click to download Image")</f>
      </c>
      <c r="C2673" s="0" t="inlineStr">
        <is>
          <t>Cobie Youth Cap</t>
        </is>
      </c>
      <c r="D2673" s="0" t="inlineStr">
        <is>
          <t>'104349</t>
        </is>
      </c>
      <c r="E2673" s="0" t="inlineStr">
        <is>
          <t>COBIE:104349</t>
        </is>
      </c>
      <c r="F2673" s="0" t="inlineStr">
        <is>
          <t>'000000000000</t>
        </is>
      </c>
      <c r="G2673" s="0" t="inlineStr">
        <is>
          <t>YOUTH</t>
        </is>
      </c>
      <c r="H2673" s="0" t="inlineStr">
        <is>
          <t>YOUTH</t>
        </is>
      </c>
      <c r="I2673" s="0">
        <v>20.99</v>
      </c>
      <c r="J2673" s="0">
        <v>144</v>
      </c>
    </row>
    <row r="2674" spans="1:10" customHeight="0">
      <c r="A2674" s="0">
        <f>HYPERLINK("https://dl.dropboxusercontent.com/scl/fi/9ljy5ozcnqa3qmtkpmql6/104351-af.jpg?rlkey=byyd8lcjulj90eoawhcgtibtd&amp;dl=0","Click to download Image")</f>
      </c>
      <c r="C2674" s="0" t="inlineStr">
        <is>
          <t>Cobie Youth Cap</t>
        </is>
      </c>
      <c r="D2674" s="0" t="inlineStr">
        <is>
          <t>'104351</t>
        </is>
      </c>
      <c r="E2674" s="0" t="inlineStr">
        <is>
          <t>COBIE:104351</t>
        </is>
      </c>
      <c r="F2674" s="0" t="inlineStr">
        <is>
          <t>'000000000000</t>
        </is>
      </c>
      <c r="G2674" s="0" t="inlineStr">
        <is>
          <t>YOUTH</t>
        </is>
      </c>
      <c r="H2674" s="0" t="inlineStr">
        <is>
          <t>YOUTH</t>
        </is>
      </c>
      <c r="I2674" s="0">
        <v>20.99</v>
      </c>
      <c r="J2674" s="0">
        <v>96</v>
      </c>
    </row>
    <row r="2675" spans="1:10" customHeight="0">
      <c r="A2675" s="0">
        <f>HYPERLINK("https://dl.dropboxusercontent.com/scl/fi/25juz8qce0ezo3djkx73f/104344-af.jpg?rlkey=0rpwdk1f8a0syn9kkt5p2eu2f&amp;dl=0","Click to download Image")</f>
      </c>
      <c r="C2675" s="0" t="inlineStr">
        <is>
          <t>Cobie Youth Cap</t>
        </is>
      </c>
      <c r="D2675" s="0" t="inlineStr">
        <is>
          <t>'104344</t>
        </is>
      </c>
      <c r="E2675" s="0" t="inlineStr">
        <is>
          <t>COBIE:104344</t>
        </is>
      </c>
      <c r="F2675" s="0" t="inlineStr">
        <is>
          <t>'000000000000</t>
        </is>
      </c>
      <c r="G2675" s="0" t="inlineStr">
        <is>
          <t>YOUTH</t>
        </is>
      </c>
      <c r="H2675" s="0" t="inlineStr">
        <is>
          <t>YOUTH</t>
        </is>
      </c>
      <c r="I2675" s="0">
        <v>20.99</v>
      </c>
      <c r="J2675" s="0">
        <v>143</v>
      </c>
    </row>
    <row r="2676" spans="1:10" customHeight="0">
      <c r="A2676" s="0">
        <f>HYPERLINK("https://dl.dropboxusercontent.com/scl/fi/afkrmecqxpn2zchr86n6h/104346-af.jpg?rlkey=cppjy31q84p6n74p5p3zjzfn9&amp;dl=0","Click to download Image")</f>
      </c>
      <c r="C2676" s="0" t="inlineStr">
        <is>
          <t>Cobie Youth Cap</t>
        </is>
      </c>
      <c r="D2676" s="0" t="inlineStr">
        <is>
          <t>'104346</t>
        </is>
      </c>
      <c r="E2676" s="0" t="inlineStr">
        <is>
          <t>COBIE:104346</t>
        </is>
      </c>
      <c r="F2676" s="0" t="inlineStr">
        <is>
          <t>'000000000000</t>
        </is>
      </c>
      <c r="G2676" s="0" t="inlineStr">
        <is>
          <t>YOUTH</t>
        </is>
      </c>
      <c r="H2676" s="0" t="inlineStr">
        <is>
          <t>YOUTH</t>
        </is>
      </c>
      <c r="I2676" s="0">
        <v>20.99</v>
      </c>
      <c r="J2676" s="0">
        <v>132</v>
      </c>
    </row>
    <row r="2677" spans="1:10" customHeight="0">
      <c r="A2677" s="0">
        <f>HYPERLINK("https://dl.dropboxusercontent.com/scl/fi/z1st5qvwtv1oig5xfvhmy/104350-af.jpg?rlkey=1e9jyyj89i2o3w4ydj5xn54vq&amp;dl=0","Click to download Image")</f>
      </c>
      <c r="C2677" s="0" t="inlineStr">
        <is>
          <t>Cobie Youth Cap</t>
        </is>
      </c>
      <c r="D2677" s="0" t="inlineStr">
        <is>
          <t>'104350</t>
        </is>
      </c>
      <c r="E2677" s="0" t="inlineStr">
        <is>
          <t>COBIE:104350</t>
        </is>
      </c>
      <c r="F2677" s="0" t="inlineStr">
        <is>
          <t>'000000000000</t>
        </is>
      </c>
      <c r="G2677" s="0" t="inlineStr">
        <is>
          <t>YOUTH</t>
        </is>
      </c>
      <c r="H2677" s="0" t="inlineStr">
        <is>
          <t>YOUTH</t>
        </is>
      </c>
      <c r="I2677" s="0">
        <v>20.99</v>
      </c>
      <c r="J2677" s="0">
        <v>132</v>
      </c>
    </row>
    <row r="2678" spans="1:10" customHeight="0">
      <c r="A2678" s="0">
        <f>HYPERLINK("https://dl.dropboxusercontent.com/scl/fi/5lahd46wk2t5l17afrx0u/114684-f.jpg?rlkey=zoo2fmxwutu2pg6ro4rvdt4qj&amp;dl=0","Click to download Image")</f>
      </c>
      <c r="B2678" s="0">
        <f>HYPERLINK("https://dl.dropboxusercontent.com/scl/fi/udd36srzlkv793pfwatry/graphic-update22022-infant.jpg?rlkey=xctttzcuswg6lrrw0amfjq9eg&amp;dl=0","Click to download SizeChart")</f>
      </c>
      <c r="C2678" s="0" t="inlineStr">
        <is>
          <t>Cadeace Infant Bodysuit</t>
        </is>
      </c>
      <c r="D2678" s="0" t="inlineStr">
        <is>
          <t>'114684</t>
        </is>
      </c>
      <c r="E2678" s="0" t="inlineStr">
        <is>
          <t>UNI CADEACE I WHITE:114684A-0-3M</t>
        </is>
      </c>
      <c r="F2678" s="0" t="inlineStr">
        <is>
          <t>'802114684004</t>
        </is>
      </c>
      <c r="G2678" s="0" t="inlineStr">
        <is>
          <t>INFANT</t>
        </is>
      </c>
      <c r="H2678" s="0" t="inlineStr">
        <is>
          <t>0-3M</t>
        </is>
      </c>
      <c r="I2678" s="0">
        <v>29.99</v>
      </c>
      <c r="J2678" s="0">
        <v>14</v>
      </c>
    </row>
    <row r="2679" spans="1:10" customHeight="0">
      <c r="A2679" s="0">
        <f>HYPERLINK("https://dl.dropboxusercontent.com/scl/fi/5lahd46wk2t5l17afrx0u/114684-f.jpg?rlkey=zoo2fmxwutu2pg6ro4rvdt4qj&amp;dl=0","Click to download Image")</f>
      </c>
      <c r="B2679" s="0">
        <f>HYPERLINK("https://dl.dropboxusercontent.com/scl/fi/udd36srzlkv793pfwatry/graphic-update22022-infant.jpg?rlkey=xctttzcuswg6lrrw0amfjq9eg&amp;dl=0","Click to download SizeChart")</f>
      </c>
      <c r="C2679" s="0" t="inlineStr">
        <is>
          <t>Cadeace Infant Bodysuit</t>
        </is>
      </c>
      <c r="D2679" s="0" t="inlineStr">
        <is>
          <t>'114684</t>
        </is>
      </c>
      <c r="E2679" s="0" t="inlineStr">
        <is>
          <t>UNI CADEACE I WHITE:114684B-3-6M</t>
        </is>
      </c>
      <c r="F2679" s="0" t="inlineStr">
        <is>
          <t>'802114684011</t>
        </is>
      </c>
      <c r="G2679" s="0" t="inlineStr">
        <is>
          <t>INFANT</t>
        </is>
      </c>
      <c r="H2679" s="0" t="inlineStr">
        <is>
          <t>3-6M</t>
        </is>
      </c>
      <c r="I2679" s="0">
        <v>29.99</v>
      </c>
      <c r="J2679" s="0">
        <v>12</v>
      </c>
    </row>
    <row r="2680" spans="1:10" customHeight="0">
      <c r="A2680" s="0">
        <f>HYPERLINK("https://dl.dropboxusercontent.com/scl/fi/5lahd46wk2t5l17afrx0u/114684-f.jpg?rlkey=zoo2fmxwutu2pg6ro4rvdt4qj&amp;dl=0","Click to download Image")</f>
      </c>
      <c r="B2680" s="0">
        <f>HYPERLINK("https://dl.dropboxusercontent.com/scl/fi/udd36srzlkv793pfwatry/graphic-update22022-infant.jpg?rlkey=xctttzcuswg6lrrw0amfjq9eg&amp;dl=0","Click to download SizeChart")</f>
      </c>
      <c r="C2680" s="0" t="inlineStr">
        <is>
          <t>Cadeace Infant Bodysuit</t>
        </is>
      </c>
      <c r="D2680" s="0" t="inlineStr">
        <is>
          <t>'114684</t>
        </is>
      </c>
      <c r="E2680" s="0" t="inlineStr">
        <is>
          <t>UNI CADEACE I WHITE:114684C-6-9M</t>
        </is>
      </c>
      <c r="F2680" s="0" t="inlineStr">
        <is>
          <t>'802114684028</t>
        </is>
      </c>
      <c r="G2680" s="0" t="inlineStr">
        <is>
          <t>INFANT</t>
        </is>
      </c>
      <c r="H2680" s="0" t="inlineStr">
        <is>
          <t>6-9M</t>
        </is>
      </c>
      <c r="I2680" s="0">
        <v>29.99</v>
      </c>
      <c r="J2680" s="0">
        <v>14</v>
      </c>
    </row>
    <row r="2681" spans="1:10" customHeight="0">
      <c r="A2681" s="0">
        <f>HYPERLINK("https://dl.dropboxusercontent.com/scl/fi/5lahd46wk2t5l17afrx0u/114684-f.jpg?rlkey=zoo2fmxwutu2pg6ro4rvdt4qj&amp;dl=0","Click to download Image")</f>
      </c>
      <c r="B2681" s="0">
        <f>HYPERLINK("https://dl.dropboxusercontent.com/scl/fi/udd36srzlkv793pfwatry/graphic-update22022-infant.jpg?rlkey=xctttzcuswg6lrrw0amfjq9eg&amp;dl=0","Click to download SizeChart")</f>
      </c>
      <c r="C2681" s="0" t="inlineStr">
        <is>
          <t>Cadeace Infant Bodysuit</t>
        </is>
      </c>
      <c r="D2681" s="0" t="inlineStr">
        <is>
          <t>'114684</t>
        </is>
      </c>
      <c r="E2681" s="0" t="inlineStr">
        <is>
          <t>UNI CADEACE I WHITE:114684F-12M</t>
        </is>
      </c>
      <c r="F2681" s="0" t="inlineStr">
        <is>
          <t>'802114684035</t>
        </is>
      </c>
      <c r="G2681" s="0" t="inlineStr">
        <is>
          <t>INFANT</t>
        </is>
      </c>
      <c r="H2681" s="0" t="inlineStr">
        <is>
          <t>12M</t>
        </is>
      </c>
      <c r="I2681" s="0">
        <v>29.99</v>
      </c>
      <c r="J2681" s="0">
        <v>9</v>
      </c>
    </row>
    <row r="2682" spans="1:10" customHeight="0">
      <c r="A2682" s="0">
        <f>HYPERLINK("https://dl.dropboxusercontent.com/scl/fi/5lahd46wk2t5l17afrx0u/114684-f.jpg?rlkey=zoo2fmxwutu2pg6ro4rvdt4qj&amp;dl=0","Click to download Image")</f>
      </c>
      <c r="B2682" s="0">
        <f>HYPERLINK("https://dl.dropboxusercontent.com/scl/fi/udd36srzlkv793pfwatry/graphic-update22022-infant.jpg?rlkey=xctttzcuswg6lrrw0amfjq9eg&amp;dl=0","Click to download SizeChart")</f>
      </c>
      <c r="C2682" s="0" t="inlineStr">
        <is>
          <t>Cadeace Infant Bodysuit</t>
        </is>
      </c>
      <c r="D2682" s="0" t="inlineStr">
        <is>
          <t>'114684</t>
        </is>
      </c>
      <c r="E2682" s="0" t="inlineStr">
        <is>
          <t>UNI CADEACE I WHITE 12 PACK:114684Z-12PK</t>
        </is>
      </c>
      <c r="F2682" s="0" t="inlineStr">
        <is>
          <t>'802114684998</t>
        </is>
      </c>
      <c r="G2682" s="0" t="inlineStr">
        <is>
          <t>INFANT</t>
        </is>
      </c>
      <c r="H2682" s="0" t="inlineStr">
        <is>
          <t>12 PACK</t>
        </is>
      </c>
      <c r="I2682" s="0">
        <v>280</v>
      </c>
      <c r="J2682" s="0">
        <v>0</v>
      </c>
    </row>
    <row r="2683" spans="1:10" customHeight="0">
      <c r="A2683" s="0">
        <f>HYPERLINK("https://dl.dropboxusercontent.com/scl/fi/m3w4xcomnvx7aufiafing/109018f04836.jpg?rlkey=yidngqptcpcxjeb49c7ar19wi&amp;dl=0","Click to download Image")</f>
      </c>
      <c r="B2683" s="0">
        <f>HYPERLINK("https://dl.dropboxusercontent.com/scl/fi/zoatvjm2jsy3f0ya36y03/womens-hoodie-and-sweatshirt-size-charts-olympias.jpg?rlkey=lltd685hgsqujfy88l9xfaqqe&amp;dl=0","Click to download SizeChart")</f>
      </c>
      <c r="C2683" s="0" t="inlineStr">
        <is>
          <t>Olympias Women's Open Back Sweatshirt</t>
        </is>
      </c>
      <c r="D2683" s="0" t="inlineStr">
        <is>
          <t>'109018</t>
        </is>
      </c>
      <c r="E2683" s="0" t="inlineStr">
        <is>
          <t>ISU OLYMPIAS CARDINAL:109018AA-XS</t>
        </is>
      </c>
      <c r="F2683" s="0" t="inlineStr">
        <is>
          <t>'800109018018</t>
        </is>
      </c>
      <c r="G2683" s="0" t="inlineStr">
        <is>
          <t>WOMENS</t>
        </is>
      </c>
      <c r="H2683" s="0" t="inlineStr">
        <is>
          <t>XS</t>
        </is>
      </c>
      <c r="I2683" s="0">
        <v>42.99</v>
      </c>
      <c r="J2683" s="0">
        <v>28</v>
      </c>
    </row>
    <row r="2684" spans="1:10" customHeight="0">
      <c r="A2684" s="0">
        <f>HYPERLINK("https://dl.dropboxusercontent.com/scl/fi/m3w4xcomnvx7aufiafing/109018f04836.jpg?rlkey=yidngqptcpcxjeb49c7ar19wi&amp;dl=0","Click to download Image")</f>
      </c>
      <c r="B2684" s="0">
        <f>HYPERLINK("https://dl.dropboxusercontent.com/scl/fi/zoatvjm2jsy3f0ya36y03/womens-hoodie-and-sweatshirt-size-charts-olympias.jpg?rlkey=lltd685hgsqujfy88l9xfaqqe&amp;dl=0","Click to download SizeChart")</f>
      </c>
      <c r="C2684" s="0" t="inlineStr">
        <is>
          <t>Olympias Women's Open Back Sweatshirt</t>
        </is>
      </c>
      <c r="D2684" s="0" t="inlineStr">
        <is>
          <t>'109018</t>
        </is>
      </c>
      <c r="E2684" s="0" t="inlineStr">
        <is>
          <t>ISU OLYMPIAS CARDINAL:109018A-S</t>
        </is>
      </c>
      <c r="F2684" s="0" t="inlineStr">
        <is>
          <t>'800109018025</t>
        </is>
      </c>
      <c r="G2684" s="0" t="inlineStr">
        <is>
          <t>WOMENS</t>
        </is>
      </c>
      <c r="H2684" s="0" t="inlineStr">
        <is>
          <t>S</t>
        </is>
      </c>
      <c r="I2684" s="0">
        <v>42.99</v>
      </c>
      <c r="J2684" s="0">
        <v>32</v>
      </c>
    </row>
    <row r="2685" spans="1:10" customHeight="0">
      <c r="A2685" s="0">
        <f>HYPERLINK("https://dl.dropboxusercontent.com/scl/fi/m3w4xcomnvx7aufiafing/109018f04836.jpg?rlkey=yidngqptcpcxjeb49c7ar19wi&amp;dl=0","Click to download Image")</f>
      </c>
      <c r="B2685" s="0">
        <f>HYPERLINK("https://dl.dropboxusercontent.com/scl/fi/zoatvjm2jsy3f0ya36y03/womens-hoodie-and-sweatshirt-size-charts-olympias.jpg?rlkey=lltd685hgsqujfy88l9xfaqqe&amp;dl=0","Click to download SizeChart")</f>
      </c>
      <c r="C2685" s="0" t="inlineStr">
        <is>
          <t>Olympias Women's Open Back Sweatshirt</t>
        </is>
      </c>
      <c r="D2685" s="0" t="inlineStr">
        <is>
          <t>'109018</t>
        </is>
      </c>
      <c r="E2685" s="0" t="inlineStr">
        <is>
          <t>ISU OLYMPIAS CARDINAL:109018B-M</t>
        </is>
      </c>
      <c r="F2685" s="0" t="inlineStr">
        <is>
          <t>'800109018032</t>
        </is>
      </c>
      <c r="G2685" s="0" t="inlineStr">
        <is>
          <t>WOMENS</t>
        </is>
      </c>
      <c r="H2685" s="0" t="inlineStr">
        <is>
          <t>M</t>
        </is>
      </c>
      <c r="I2685" s="0">
        <v>42.99</v>
      </c>
      <c r="J2685" s="0">
        <v>31</v>
      </c>
    </row>
    <row r="2686" spans="1:10" customHeight="0">
      <c r="A2686" s="0">
        <f>HYPERLINK("https://dl.dropboxusercontent.com/scl/fi/m3w4xcomnvx7aufiafing/109018f04836.jpg?rlkey=yidngqptcpcxjeb49c7ar19wi&amp;dl=0","Click to download Image")</f>
      </c>
      <c r="B2686" s="0">
        <f>HYPERLINK("https://dl.dropboxusercontent.com/scl/fi/zoatvjm2jsy3f0ya36y03/womens-hoodie-and-sweatshirt-size-charts-olympias.jpg?rlkey=lltd685hgsqujfy88l9xfaqqe&amp;dl=0","Click to download SizeChart")</f>
      </c>
      <c r="C2686" s="0" t="inlineStr">
        <is>
          <t>Olympias Women's Open Back Sweatshirt</t>
        </is>
      </c>
      <c r="D2686" s="0" t="inlineStr">
        <is>
          <t>'109018</t>
        </is>
      </c>
      <c r="E2686" s="0" t="inlineStr">
        <is>
          <t>ISU OLYMPIAS CARDINAL:109018C-L</t>
        </is>
      </c>
      <c r="F2686" s="0" t="inlineStr">
        <is>
          <t>'800109018049</t>
        </is>
      </c>
      <c r="G2686" s="0" t="inlineStr">
        <is>
          <t>WOMENS</t>
        </is>
      </c>
      <c r="H2686" s="0" t="inlineStr">
        <is>
          <t>L</t>
        </is>
      </c>
      <c r="I2686" s="0">
        <v>42.99</v>
      </c>
      <c r="J2686" s="0">
        <v>17</v>
      </c>
    </row>
    <row r="2687" spans="1:10" customHeight="0">
      <c r="A2687" s="0">
        <f>HYPERLINK("https://dl.dropboxusercontent.com/scl/fi/m3w4xcomnvx7aufiafing/109018f04836.jpg?rlkey=yidngqptcpcxjeb49c7ar19wi&amp;dl=0","Click to download Image")</f>
      </c>
      <c r="B2687" s="0">
        <f>HYPERLINK("https://dl.dropboxusercontent.com/scl/fi/zoatvjm2jsy3f0ya36y03/womens-hoodie-and-sweatshirt-size-charts-olympias.jpg?rlkey=lltd685hgsqujfy88l9xfaqqe&amp;dl=0","Click to download SizeChart")</f>
      </c>
      <c r="C2687" s="0" t="inlineStr">
        <is>
          <t>Olympias Women's Open Back Sweatshirt</t>
        </is>
      </c>
      <c r="D2687" s="0" t="inlineStr">
        <is>
          <t>'109018</t>
        </is>
      </c>
      <c r="E2687" s="0" t="inlineStr">
        <is>
          <t>ISU OLYMPIAS CARDINAL:109018D-XL</t>
        </is>
      </c>
      <c r="F2687" s="0" t="inlineStr">
        <is>
          <t>'800109018056</t>
        </is>
      </c>
      <c r="G2687" s="0" t="inlineStr">
        <is>
          <t>WOMENS</t>
        </is>
      </c>
      <c r="H2687" s="0" t="inlineStr">
        <is>
          <t>XL</t>
        </is>
      </c>
      <c r="I2687" s="0">
        <v>42.99</v>
      </c>
      <c r="J2687" s="0">
        <v>25</v>
      </c>
    </row>
    <row r="2688" spans="1:10" customHeight="0">
      <c r="A2688" s="0">
        <f>HYPERLINK("https://dl.dropboxusercontent.com/scl/fi/eaqygmt02zzuci5j0u1fq/109017f27314.jpg?rlkey=m5j8eby4sosmlfe0girasmibt&amp;dl=0","Click to download Image")</f>
      </c>
      <c r="B2688" s="0">
        <f>HYPERLINK("https://dl.dropboxusercontent.com/scl/fi/zoatvjm2jsy3f0ya36y03/womens-hoodie-and-sweatshirt-size-charts-olympias.jpg?rlkey=lltd685hgsqujfy88l9xfaqqe&amp;dl=0","Click to download SizeChart")</f>
      </c>
      <c r="C2688" s="0" t="inlineStr">
        <is>
          <t>Olympias Women's Open Back Sweatshirt</t>
        </is>
      </c>
      <c r="D2688" s="0" t="inlineStr">
        <is>
          <t>'109017</t>
        </is>
      </c>
      <c r="E2688" s="0" t="inlineStr">
        <is>
          <t>ISU OLYMPIAS GREY:109017AA-XS</t>
        </is>
      </c>
      <c r="F2688" s="0" t="inlineStr">
        <is>
          <t>'800109017011</t>
        </is>
      </c>
      <c r="G2688" s="0" t="inlineStr">
        <is>
          <t>WOMENS</t>
        </is>
      </c>
      <c r="H2688" s="0" t="inlineStr">
        <is>
          <t>XS</t>
        </is>
      </c>
      <c r="I2688" s="0">
        <v>42.99</v>
      </c>
      <c r="J2688" s="0">
        <v>24</v>
      </c>
    </row>
    <row r="2689" spans="1:10" customHeight="0">
      <c r="A2689" s="0">
        <f>HYPERLINK("https://dl.dropboxusercontent.com/scl/fi/eaqygmt02zzuci5j0u1fq/109017f27314.jpg?rlkey=m5j8eby4sosmlfe0girasmibt&amp;dl=0","Click to download Image")</f>
      </c>
      <c r="B2689" s="0">
        <f>HYPERLINK("https://dl.dropboxusercontent.com/scl/fi/zoatvjm2jsy3f0ya36y03/womens-hoodie-and-sweatshirt-size-charts-olympias.jpg?rlkey=lltd685hgsqujfy88l9xfaqqe&amp;dl=0","Click to download SizeChart")</f>
      </c>
      <c r="C2689" s="0" t="inlineStr">
        <is>
          <t>Olympias Women's Open Back Sweatshirt</t>
        </is>
      </c>
      <c r="D2689" s="0" t="inlineStr">
        <is>
          <t>'109017</t>
        </is>
      </c>
      <c r="E2689" s="0" t="inlineStr">
        <is>
          <t>ISU OLYMPIAS GREY:109017A-S</t>
        </is>
      </c>
      <c r="F2689" s="0" t="inlineStr">
        <is>
          <t>'800109017028</t>
        </is>
      </c>
      <c r="G2689" s="0" t="inlineStr">
        <is>
          <t>WOMENS</t>
        </is>
      </c>
      <c r="H2689" s="0" t="inlineStr">
        <is>
          <t>S</t>
        </is>
      </c>
      <c r="I2689" s="0">
        <v>42.99</v>
      </c>
      <c r="J2689" s="0">
        <v>34</v>
      </c>
    </row>
    <row r="2690" spans="1:10" customHeight="0">
      <c r="A2690" s="0">
        <f>HYPERLINK("https://dl.dropboxusercontent.com/scl/fi/eaqygmt02zzuci5j0u1fq/109017f27314.jpg?rlkey=m5j8eby4sosmlfe0girasmibt&amp;dl=0","Click to download Image")</f>
      </c>
      <c r="B2690" s="0">
        <f>HYPERLINK("https://dl.dropboxusercontent.com/scl/fi/zoatvjm2jsy3f0ya36y03/womens-hoodie-and-sweatshirt-size-charts-olympias.jpg?rlkey=lltd685hgsqujfy88l9xfaqqe&amp;dl=0","Click to download SizeChart")</f>
      </c>
      <c r="C2690" s="0" t="inlineStr">
        <is>
          <t>Olympias Women's Open Back Sweatshirt</t>
        </is>
      </c>
      <c r="D2690" s="0" t="inlineStr">
        <is>
          <t>'109017</t>
        </is>
      </c>
      <c r="E2690" s="0" t="inlineStr">
        <is>
          <t>ISU OLYMPIAS GREY:109017B-M</t>
        </is>
      </c>
      <c r="F2690" s="0" t="inlineStr">
        <is>
          <t>'800109017035</t>
        </is>
      </c>
      <c r="G2690" s="0" t="inlineStr">
        <is>
          <t>WOMENS</t>
        </is>
      </c>
      <c r="H2690" s="0" t="inlineStr">
        <is>
          <t>M</t>
        </is>
      </c>
      <c r="I2690" s="0">
        <v>42.99</v>
      </c>
      <c r="J2690" s="0">
        <v>34</v>
      </c>
    </row>
    <row r="2691" spans="1:10" customHeight="0">
      <c r="A2691" s="0">
        <f>HYPERLINK("https://dl.dropboxusercontent.com/scl/fi/eaqygmt02zzuci5j0u1fq/109017f27314.jpg?rlkey=m5j8eby4sosmlfe0girasmibt&amp;dl=0","Click to download Image")</f>
      </c>
      <c r="B2691" s="0">
        <f>HYPERLINK("https://dl.dropboxusercontent.com/scl/fi/zoatvjm2jsy3f0ya36y03/womens-hoodie-and-sweatshirt-size-charts-olympias.jpg?rlkey=lltd685hgsqujfy88l9xfaqqe&amp;dl=0","Click to download SizeChart")</f>
      </c>
      <c r="C2691" s="0" t="inlineStr">
        <is>
          <t>Olympias Women's Open Back Sweatshirt</t>
        </is>
      </c>
      <c r="D2691" s="0" t="inlineStr">
        <is>
          <t>'109017</t>
        </is>
      </c>
      <c r="E2691" s="0" t="inlineStr">
        <is>
          <t>ISU OLYMPIAS GREY:109017C-L</t>
        </is>
      </c>
      <c r="F2691" s="0" t="inlineStr">
        <is>
          <t>'800109017042</t>
        </is>
      </c>
      <c r="G2691" s="0" t="inlineStr">
        <is>
          <t>WOMENS</t>
        </is>
      </c>
      <c r="H2691" s="0" t="inlineStr">
        <is>
          <t>L</t>
        </is>
      </c>
      <c r="I2691" s="0">
        <v>42.99</v>
      </c>
      <c r="J2691" s="0">
        <v>23</v>
      </c>
    </row>
    <row r="2692" spans="1:10" customHeight="0">
      <c r="A2692" s="0">
        <f>HYPERLINK("https://dl.dropboxusercontent.com/scl/fi/eaqygmt02zzuci5j0u1fq/109017f27314.jpg?rlkey=m5j8eby4sosmlfe0girasmibt&amp;dl=0","Click to download Image")</f>
      </c>
      <c r="B2692" s="0">
        <f>HYPERLINK("https://dl.dropboxusercontent.com/scl/fi/zoatvjm2jsy3f0ya36y03/womens-hoodie-and-sweatshirt-size-charts-olympias.jpg?rlkey=lltd685hgsqujfy88l9xfaqqe&amp;dl=0","Click to download SizeChart")</f>
      </c>
      <c r="C2692" s="0" t="inlineStr">
        <is>
          <t>Olympias Women's Open Back Sweatshirt</t>
        </is>
      </c>
      <c r="D2692" s="0" t="inlineStr">
        <is>
          <t>'109017</t>
        </is>
      </c>
      <c r="E2692" s="0" t="inlineStr">
        <is>
          <t>ISU OLYMPIAS GREY:109017D-XL</t>
        </is>
      </c>
      <c r="F2692" s="0" t="inlineStr">
        <is>
          <t>'800109017059</t>
        </is>
      </c>
      <c r="G2692" s="0" t="inlineStr">
        <is>
          <t>WOMENS</t>
        </is>
      </c>
      <c r="H2692" s="0" t="inlineStr">
        <is>
          <t>XL</t>
        </is>
      </c>
      <c r="I2692" s="0">
        <v>42.99</v>
      </c>
      <c r="J2692" s="0">
        <v>23</v>
      </c>
    </row>
    <row r="2693" spans="1:10" customHeight="0">
      <c r="A2693" s="0">
        <f>HYPERLINK("https://dl.dropboxusercontent.com/scl/fi/8o5m0q0rdph7auno5riqj/109011f48850.jpg?rlkey=gh46pnzo238rlx42ytg6ge7fy&amp;dl=0","Click to download Image")</f>
      </c>
      <c r="B2693" s="0">
        <f>HYPERLINK("https://dl.dropboxusercontent.com/scl/fi/zoatvjm2jsy3f0ya36y03/womens-hoodie-and-sweatshirt-size-charts-olympias.jpg?rlkey=lltd685hgsqujfy88l9xfaqqe&amp;dl=0","Click to download SizeChart")</f>
      </c>
      <c r="C2693" s="0" t="inlineStr">
        <is>
          <t>Olympias Women's Open Back Sweatshirt</t>
        </is>
      </c>
      <c r="D2693" s="0" t="inlineStr">
        <is>
          <t>'109011</t>
        </is>
      </c>
      <c r="E2693" s="0" t="inlineStr">
        <is>
          <t>IA OLYMPIAS GREY:109011AA-XS</t>
        </is>
      </c>
      <c r="F2693" s="0" t="inlineStr">
        <is>
          <t>'800109011019</t>
        </is>
      </c>
      <c r="G2693" s="0" t="inlineStr">
        <is>
          <t>WOMENS</t>
        </is>
      </c>
      <c r="H2693" s="0" t="inlineStr">
        <is>
          <t>XS</t>
        </is>
      </c>
      <c r="I2693" s="0">
        <v>42.99</v>
      </c>
      <c r="J2693" s="0">
        <v>20</v>
      </c>
    </row>
    <row r="2694" spans="1:10" customHeight="0">
      <c r="A2694" s="0">
        <f>HYPERLINK("https://dl.dropboxusercontent.com/scl/fi/8o5m0q0rdph7auno5riqj/109011f48850.jpg?rlkey=gh46pnzo238rlx42ytg6ge7fy&amp;dl=0","Click to download Image")</f>
      </c>
      <c r="B2694" s="0">
        <f>HYPERLINK("https://dl.dropboxusercontent.com/scl/fi/zoatvjm2jsy3f0ya36y03/womens-hoodie-and-sweatshirt-size-charts-olympias.jpg?rlkey=lltd685hgsqujfy88l9xfaqqe&amp;dl=0","Click to download SizeChart")</f>
      </c>
      <c r="C2694" s="0" t="inlineStr">
        <is>
          <t>Olympias Women's Open Back Sweatshirt</t>
        </is>
      </c>
      <c r="D2694" s="0" t="inlineStr">
        <is>
          <t>'109011</t>
        </is>
      </c>
      <c r="E2694" s="0" t="inlineStr">
        <is>
          <t>IA OLYMPIAS GREY:109011A-S</t>
        </is>
      </c>
      <c r="F2694" s="0" t="inlineStr">
        <is>
          <t>'800109011026</t>
        </is>
      </c>
      <c r="G2694" s="0" t="inlineStr">
        <is>
          <t>WOMENS</t>
        </is>
      </c>
      <c r="H2694" s="0" t="inlineStr">
        <is>
          <t>S</t>
        </is>
      </c>
      <c r="I2694" s="0">
        <v>42.99</v>
      </c>
      <c r="J2694" s="0">
        <v>14</v>
      </c>
    </row>
    <row r="2695" spans="1:10" customHeight="0">
      <c r="A2695" s="0">
        <f>HYPERLINK("https://dl.dropboxusercontent.com/scl/fi/8o5m0q0rdph7auno5riqj/109011f48850.jpg?rlkey=gh46pnzo238rlx42ytg6ge7fy&amp;dl=0","Click to download Image")</f>
      </c>
      <c r="B2695" s="0">
        <f>HYPERLINK("https://dl.dropboxusercontent.com/scl/fi/zoatvjm2jsy3f0ya36y03/womens-hoodie-and-sweatshirt-size-charts-olympias.jpg?rlkey=lltd685hgsqujfy88l9xfaqqe&amp;dl=0","Click to download SizeChart")</f>
      </c>
      <c r="C2695" s="0" t="inlineStr">
        <is>
          <t>Olympias Women's Open Back Sweatshirt</t>
        </is>
      </c>
      <c r="D2695" s="0" t="inlineStr">
        <is>
          <t>'109011</t>
        </is>
      </c>
      <c r="E2695" s="0" t="inlineStr">
        <is>
          <t>IA OLYMPIAS GREY:109011B-M</t>
        </is>
      </c>
      <c r="F2695" s="0" t="inlineStr">
        <is>
          <t>'800109011033</t>
        </is>
      </c>
      <c r="G2695" s="0" t="inlineStr">
        <is>
          <t>WOMENS</t>
        </is>
      </c>
      <c r="H2695" s="0" t="inlineStr">
        <is>
          <t>M</t>
        </is>
      </c>
      <c r="I2695" s="0">
        <v>42.99</v>
      </c>
      <c r="J2695" s="0">
        <v>10</v>
      </c>
    </row>
    <row r="2696" spans="1:10" customHeight="0">
      <c r="A2696" s="0">
        <f>HYPERLINK("https://dl.dropboxusercontent.com/scl/fi/8o5m0q0rdph7auno5riqj/109011f48850.jpg?rlkey=gh46pnzo238rlx42ytg6ge7fy&amp;dl=0","Click to download Image")</f>
      </c>
      <c r="B2696" s="0">
        <f>HYPERLINK("https://dl.dropboxusercontent.com/scl/fi/zoatvjm2jsy3f0ya36y03/womens-hoodie-and-sweatshirt-size-charts-olympias.jpg?rlkey=lltd685hgsqujfy88l9xfaqqe&amp;dl=0","Click to download SizeChart")</f>
      </c>
      <c r="C2696" s="0" t="inlineStr">
        <is>
          <t>Olympias Women's Open Back Sweatshirt</t>
        </is>
      </c>
      <c r="D2696" s="0" t="inlineStr">
        <is>
          <t>'109011</t>
        </is>
      </c>
      <c r="E2696" s="0" t="inlineStr">
        <is>
          <t>IA OLYMPIAS GREY:109011C-L</t>
        </is>
      </c>
      <c r="F2696" s="0" t="inlineStr">
        <is>
          <t>'800109011040</t>
        </is>
      </c>
      <c r="G2696" s="0" t="inlineStr">
        <is>
          <t>WOMENS</t>
        </is>
      </c>
      <c r="H2696" s="0" t="inlineStr">
        <is>
          <t>L</t>
        </is>
      </c>
      <c r="I2696" s="0">
        <v>42.99</v>
      </c>
      <c r="J2696" s="0">
        <v>0</v>
      </c>
    </row>
    <row r="2697" spans="1:10" customHeight="0">
      <c r="A2697" s="0">
        <f>HYPERLINK("https://dl.dropboxusercontent.com/scl/fi/8o5m0q0rdph7auno5riqj/109011f48850.jpg?rlkey=gh46pnzo238rlx42ytg6ge7fy&amp;dl=0","Click to download Image")</f>
      </c>
      <c r="B2697" s="0">
        <f>HYPERLINK("https://dl.dropboxusercontent.com/scl/fi/zoatvjm2jsy3f0ya36y03/womens-hoodie-and-sweatshirt-size-charts-olympias.jpg?rlkey=lltd685hgsqujfy88l9xfaqqe&amp;dl=0","Click to download SizeChart")</f>
      </c>
      <c r="C2697" s="0" t="inlineStr">
        <is>
          <t>Olympias Women's Open Back Sweatshirt</t>
        </is>
      </c>
      <c r="D2697" s="0" t="inlineStr">
        <is>
          <t>'109011</t>
        </is>
      </c>
      <c r="E2697" s="0" t="inlineStr">
        <is>
          <t>IA OLYMPIAS GREY:109011D-XL</t>
        </is>
      </c>
      <c r="F2697" s="0" t="inlineStr">
        <is>
          <t>'800109011057</t>
        </is>
      </c>
      <c r="G2697" s="0" t="inlineStr">
        <is>
          <t>WOMENS</t>
        </is>
      </c>
      <c r="H2697" s="0" t="inlineStr">
        <is>
          <t>XL</t>
        </is>
      </c>
      <c r="I2697" s="0">
        <v>42.99</v>
      </c>
      <c r="J2697" s="0">
        <v>3</v>
      </c>
    </row>
    <row r="2698" spans="1:10" customHeight="0">
      <c r="A2698" s="0">
        <f>HYPERLINK("https://dl.dropboxusercontent.com/scl/fi/xkwgm45en3ntm5qxhlf78/108945f15423.jpg?rlkey=9y58511ms3f2k7qt1u68bwhwl&amp;dl=0","Click to download Image")</f>
      </c>
      <c r="B2698" s="0">
        <f>HYPERLINK("https://dl.dropboxusercontent.com/scl/fi/zoatvjm2jsy3f0ya36y03/womens-hoodie-and-sweatshirt-size-charts-olympias.jpg?rlkey=lltd685hgsqujfy88l9xfaqqe&amp;dl=0","Click to download SizeChart")</f>
      </c>
      <c r="C2698" s="0" t="inlineStr">
        <is>
          <t>Olympias Women's Open Back Sweatshirt</t>
        </is>
      </c>
      <c r="D2698" s="0" t="inlineStr">
        <is>
          <t>'108945</t>
        </is>
      </c>
      <c r="E2698" s="0" t="inlineStr">
        <is>
          <t>MU OLYMPIAS:108945AA-XS</t>
        </is>
      </c>
      <c r="F2698" s="0" t="inlineStr">
        <is>
          <t>'800108945018</t>
        </is>
      </c>
      <c r="G2698" s="0" t="inlineStr">
        <is>
          <t>WOMENS</t>
        </is>
      </c>
      <c r="H2698" s="0" t="inlineStr">
        <is>
          <t>XS</t>
        </is>
      </c>
      <c r="I2698" s="0">
        <v>42.99</v>
      </c>
      <c r="J2698" s="0">
        <v>8</v>
      </c>
    </row>
    <row r="2699" spans="1:10" customHeight="0">
      <c r="A2699" s="0">
        <f>HYPERLINK("https://dl.dropboxusercontent.com/scl/fi/xkwgm45en3ntm5qxhlf78/108945f15423.jpg?rlkey=9y58511ms3f2k7qt1u68bwhwl&amp;dl=0","Click to download Image")</f>
      </c>
      <c r="B2699" s="0">
        <f>HYPERLINK("https://dl.dropboxusercontent.com/scl/fi/zoatvjm2jsy3f0ya36y03/womens-hoodie-and-sweatshirt-size-charts-olympias.jpg?rlkey=lltd685hgsqujfy88l9xfaqqe&amp;dl=0","Click to download SizeChart")</f>
      </c>
      <c r="C2699" s="0" t="inlineStr">
        <is>
          <t>Olympias Women's Open Back Sweatshirt</t>
        </is>
      </c>
      <c r="D2699" s="0" t="inlineStr">
        <is>
          <t>'108945</t>
        </is>
      </c>
      <c r="E2699" s="0" t="inlineStr">
        <is>
          <t>MU OLYMPIAS:108945A-S</t>
        </is>
      </c>
      <c r="F2699" s="0" t="inlineStr">
        <is>
          <t>'800108945025</t>
        </is>
      </c>
      <c r="G2699" s="0" t="inlineStr">
        <is>
          <t>WOMENS</t>
        </is>
      </c>
      <c r="H2699" s="0" t="inlineStr">
        <is>
          <t>S</t>
        </is>
      </c>
      <c r="I2699" s="0">
        <v>42.99</v>
      </c>
      <c r="J2699" s="0">
        <v>10</v>
      </c>
    </row>
    <row r="2700" spans="1:10" customHeight="0">
      <c r="A2700" s="0">
        <f>HYPERLINK("https://dl.dropboxusercontent.com/scl/fi/xkwgm45en3ntm5qxhlf78/108945f15423.jpg?rlkey=9y58511ms3f2k7qt1u68bwhwl&amp;dl=0","Click to download Image")</f>
      </c>
      <c r="B2700" s="0">
        <f>HYPERLINK("https://dl.dropboxusercontent.com/scl/fi/zoatvjm2jsy3f0ya36y03/womens-hoodie-and-sweatshirt-size-charts-olympias.jpg?rlkey=lltd685hgsqujfy88l9xfaqqe&amp;dl=0","Click to download SizeChart")</f>
      </c>
      <c r="C2700" s="0" t="inlineStr">
        <is>
          <t>Olympias Women's Open Back Sweatshirt</t>
        </is>
      </c>
      <c r="D2700" s="0" t="inlineStr">
        <is>
          <t>'108945</t>
        </is>
      </c>
      <c r="E2700" s="0" t="inlineStr">
        <is>
          <t>MU OLYMPIAS:108945B-M</t>
        </is>
      </c>
      <c r="F2700" s="0" t="inlineStr">
        <is>
          <t>'800108945032</t>
        </is>
      </c>
      <c r="G2700" s="0" t="inlineStr">
        <is>
          <t>WOMENS</t>
        </is>
      </c>
      <c r="H2700" s="0" t="inlineStr">
        <is>
          <t>M</t>
        </is>
      </c>
      <c r="I2700" s="0">
        <v>42.99</v>
      </c>
      <c r="J2700" s="0">
        <v>12</v>
      </c>
    </row>
    <row r="2701" spans="1:10" customHeight="0">
      <c r="A2701" s="0">
        <f>HYPERLINK("https://dl.dropboxusercontent.com/scl/fi/xkwgm45en3ntm5qxhlf78/108945f15423.jpg?rlkey=9y58511ms3f2k7qt1u68bwhwl&amp;dl=0","Click to download Image")</f>
      </c>
      <c r="B2701" s="0">
        <f>HYPERLINK("https://dl.dropboxusercontent.com/scl/fi/zoatvjm2jsy3f0ya36y03/womens-hoodie-and-sweatshirt-size-charts-olympias.jpg?rlkey=lltd685hgsqujfy88l9xfaqqe&amp;dl=0","Click to download SizeChart")</f>
      </c>
      <c r="C2701" s="0" t="inlineStr">
        <is>
          <t>Olympias Women's Open Back Sweatshirt</t>
        </is>
      </c>
      <c r="D2701" s="0" t="inlineStr">
        <is>
          <t>'108945</t>
        </is>
      </c>
      <c r="E2701" s="0" t="inlineStr">
        <is>
          <t>MU OLYMPIAS:108945C-L</t>
        </is>
      </c>
      <c r="F2701" s="0" t="inlineStr">
        <is>
          <t>'800108945049</t>
        </is>
      </c>
      <c r="G2701" s="0" t="inlineStr">
        <is>
          <t>WOMENS</t>
        </is>
      </c>
      <c r="H2701" s="0" t="inlineStr">
        <is>
          <t>L</t>
        </is>
      </c>
      <c r="I2701" s="0">
        <v>42.99</v>
      </c>
      <c r="J2701" s="0">
        <v>8</v>
      </c>
    </row>
    <row r="2702" spans="1:10" customHeight="0">
      <c r="A2702" s="0">
        <f>HYPERLINK("https://dl.dropboxusercontent.com/scl/fi/xkwgm45en3ntm5qxhlf78/108945f15423.jpg?rlkey=9y58511ms3f2k7qt1u68bwhwl&amp;dl=0","Click to download Image")</f>
      </c>
      <c r="B2702" s="0">
        <f>HYPERLINK("https://dl.dropboxusercontent.com/scl/fi/zoatvjm2jsy3f0ya36y03/womens-hoodie-and-sweatshirt-size-charts-olympias.jpg?rlkey=lltd685hgsqujfy88l9xfaqqe&amp;dl=0","Click to download SizeChart")</f>
      </c>
      <c r="C2702" s="0" t="inlineStr">
        <is>
          <t>Olympias Women's Open Back Sweatshirt</t>
        </is>
      </c>
      <c r="D2702" s="0" t="inlineStr">
        <is>
          <t>'108945</t>
        </is>
      </c>
      <c r="E2702" s="0" t="inlineStr">
        <is>
          <t>MU OLYMPIAS:108945D-XL</t>
        </is>
      </c>
      <c r="F2702" s="0" t="inlineStr">
        <is>
          <t>'800108945056</t>
        </is>
      </c>
      <c r="G2702" s="0" t="inlineStr">
        <is>
          <t>WOMENS</t>
        </is>
      </c>
      <c r="H2702" s="0" t="inlineStr">
        <is>
          <t>XL</t>
        </is>
      </c>
      <c r="I2702" s="0">
        <v>42.99</v>
      </c>
      <c r="J2702" s="0">
        <v>8</v>
      </c>
    </row>
    <row r="2703" spans="1:10" customHeight="0">
      <c r="A2703" s="0">
        <f>HYPERLINK("https://dl.dropboxusercontent.com/scl/fi/y1979fqajkqnmgg2cl63a/108952-af.jpg?rlkey=u2exxapo6hq4xfy3adjmgkqy5&amp;dl=0","Click to download Image")</f>
      </c>
      <c r="B2703" s="0">
        <f>HYPERLINK("https://dl.dropboxusercontent.com/scl/fi/zoatvjm2jsy3f0ya36y03/womens-hoodie-and-sweatshirt-size-charts-olympias.jpg?rlkey=lltd685hgsqujfy88l9xfaqqe&amp;dl=0","Click to download SizeChart")</f>
      </c>
      <c r="C2703" s="0" t="inlineStr">
        <is>
          <t>Olympias Women's Open Back Sweatshirt</t>
        </is>
      </c>
      <c r="D2703" s="0" t="inlineStr">
        <is>
          <t>'108952</t>
        </is>
      </c>
      <c r="E2703" s="0" t="inlineStr">
        <is>
          <t>PURDUE OLYMPIAS:108952AA-XS</t>
        </is>
      </c>
      <c r="F2703" s="0" t="inlineStr">
        <is>
          <t>'800108952016</t>
        </is>
      </c>
      <c r="G2703" s="0" t="inlineStr">
        <is>
          <t>WOMENS</t>
        </is>
      </c>
      <c r="H2703" s="0" t="inlineStr">
        <is>
          <t>XS</t>
        </is>
      </c>
      <c r="I2703" s="0">
        <v>42.99</v>
      </c>
      <c r="J2703" s="0">
        <v>8</v>
      </c>
    </row>
    <row r="2704" spans="1:10" customHeight="0">
      <c r="A2704" s="0">
        <f>HYPERLINK("https://dl.dropboxusercontent.com/scl/fi/y1979fqajkqnmgg2cl63a/108952-af.jpg?rlkey=u2exxapo6hq4xfy3adjmgkqy5&amp;dl=0","Click to download Image")</f>
      </c>
      <c r="B2704" s="0">
        <f>HYPERLINK("https://dl.dropboxusercontent.com/scl/fi/zoatvjm2jsy3f0ya36y03/womens-hoodie-and-sweatshirt-size-charts-olympias.jpg?rlkey=lltd685hgsqujfy88l9xfaqqe&amp;dl=0","Click to download SizeChart")</f>
      </c>
      <c r="C2704" s="0" t="inlineStr">
        <is>
          <t>Olympias Women's Open Back Sweatshirt</t>
        </is>
      </c>
      <c r="D2704" s="0" t="inlineStr">
        <is>
          <t>'108952</t>
        </is>
      </c>
      <c r="E2704" s="0" t="inlineStr">
        <is>
          <t>PURDUE OLYMPIAS:108952A-S</t>
        </is>
      </c>
      <c r="F2704" s="0" t="inlineStr">
        <is>
          <t>'800108952023</t>
        </is>
      </c>
      <c r="G2704" s="0" t="inlineStr">
        <is>
          <t>WOMENS</t>
        </is>
      </c>
      <c r="H2704" s="0" t="inlineStr">
        <is>
          <t>S</t>
        </is>
      </c>
      <c r="I2704" s="0">
        <v>42.99</v>
      </c>
      <c r="J2704" s="0">
        <v>10</v>
      </c>
    </row>
    <row r="2705" spans="1:10" customHeight="0">
      <c r="A2705" s="0">
        <f>HYPERLINK("https://dl.dropboxusercontent.com/scl/fi/y1979fqajkqnmgg2cl63a/108952-af.jpg?rlkey=u2exxapo6hq4xfy3adjmgkqy5&amp;dl=0","Click to download Image")</f>
      </c>
      <c r="B2705" s="0">
        <f>HYPERLINK("https://dl.dropboxusercontent.com/scl/fi/zoatvjm2jsy3f0ya36y03/womens-hoodie-and-sweatshirt-size-charts-olympias.jpg?rlkey=lltd685hgsqujfy88l9xfaqqe&amp;dl=0","Click to download SizeChart")</f>
      </c>
      <c r="C2705" s="0" t="inlineStr">
        <is>
          <t>Olympias Women's Open Back Sweatshirt</t>
        </is>
      </c>
      <c r="D2705" s="0" t="inlineStr">
        <is>
          <t>'108952</t>
        </is>
      </c>
      <c r="E2705" s="0" t="inlineStr">
        <is>
          <t>PURDUE OLYMPIAS:108952B-M</t>
        </is>
      </c>
      <c r="F2705" s="0" t="inlineStr">
        <is>
          <t>'800108952030</t>
        </is>
      </c>
      <c r="G2705" s="0" t="inlineStr">
        <is>
          <t>WOMENS</t>
        </is>
      </c>
      <c r="H2705" s="0" t="inlineStr">
        <is>
          <t>M</t>
        </is>
      </c>
      <c r="I2705" s="0">
        <v>42.99</v>
      </c>
      <c r="J2705" s="0">
        <v>12</v>
      </c>
    </row>
    <row r="2706" spans="1:10" customHeight="0">
      <c r="A2706" s="0">
        <f>HYPERLINK("https://dl.dropboxusercontent.com/scl/fi/y1979fqajkqnmgg2cl63a/108952-af.jpg?rlkey=u2exxapo6hq4xfy3adjmgkqy5&amp;dl=0","Click to download Image")</f>
      </c>
      <c r="B2706" s="0">
        <f>HYPERLINK("https://dl.dropboxusercontent.com/scl/fi/zoatvjm2jsy3f0ya36y03/womens-hoodie-and-sweatshirt-size-charts-olympias.jpg?rlkey=lltd685hgsqujfy88l9xfaqqe&amp;dl=0","Click to download SizeChart")</f>
      </c>
      <c r="C2706" s="0" t="inlineStr">
        <is>
          <t>Olympias Women's Open Back Sweatshirt</t>
        </is>
      </c>
      <c r="D2706" s="0" t="inlineStr">
        <is>
          <t>'108952</t>
        </is>
      </c>
      <c r="E2706" s="0" t="inlineStr">
        <is>
          <t>PURDUE OLYMPIAS:108952C-L</t>
        </is>
      </c>
      <c r="F2706" s="0" t="inlineStr">
        <is>
          <t>'800108952047</t>
        </is>
      </c>
      <c r="G2706" s="0" t="inlineStr">
        <is>
          <t>WOMENS</t>
        </is>
      </c>
      <c r="H2706" s="0" t="inlineStr">
        <is>
          <t>L</t>
        </is>
      </c>
      <c r="I2706" s="0">
        <v>42.99</v>
      </c>
      <c r="J2706" s="0">
        <v>8</v>
      </c>
    </row>
    <row r="2707" spans="1:10" customHeight="0">
      <c r="A2707" s="0">
        <f>HYPERLINK("https://dl.dropboxusercontent.com/scl/fi/y1979fqajkqnmgg2cl63a/108952-af.jpg?rlkey=u2exxapo6hq4xfy3adjmgkqy5&amp;dl=0","Click to download Image")</f>
      </c>
      <c r="B2707" s="0">
        <f>HYPERLINK("https://dl.dropboxusercontent.com/scl/fi/zoatvjm2jsy3f0ya36y03/womens-hoodie-and-sweatshirt-size-charts-olympias.jpg?rlkey=lltd685hgsqujfy88l9xfaqqe&amp;dl=0","Click to download SizeChart")</f>
      </c>
      <c r="C2707" s="0" t="inlineStr">
        <is>
          <t>Olympias Women's Open Back Sweatshirt</t>
        </is>
      </c>
      <c r="D2707" s="0" t="inlineStr">
        <is>
          <t>'108952</t>
        </is>
      </c>
      <c r="E2707" s="0" t="inlineStr">
        <is>
          <t>PURDUE OLYMPIAS:108952D-XL</t>
        </is>
      </c>
      <c r="F2707" s="0" t="inlineStr">
        <is>
          <t>'800108952054</t>
        </is>
      </c>
      <c r="G2707" s="0" t="inlineStr">
        <is>
          <t>WOMENS</t>
        </is>
      </c>
      <c r="H2707" s="0" t="inlineStr">
        <is>
          <t>XL</t>
        </is>
      </c>
      <c r="I2707" s="0">
        <v>42.99</v>
      </c>
      <c r="J2707" s="0">
        <v>8</v>
      </c>
    </row>
    <row r="2708" spans="1:10" customHeight="0">
      <c r="A2708" s="0">
        <f>HYPERLINK("https://dl.dropboxusercontent.com/scl/fi/f4128x58fhwf8zqc9lwh4/108954-af.jpg?rlkey=s28ja7hpiiuzyx4qxi29n5gt5&amp;dl=0","Click to download Image")</f>
      </c>
      <c r="B2708" s="0">
        <f>HYPERLINK("https://dl.dropboxusercontent.com/scl/fi/zoatvjm2jsy3f0ya36y03/womens-hoodie-and-sweatshirt-size-charts-olympias.jpg?rlkey=lltd685hgsqujfy88l9xfaqqe&amp;dl=0","Click to download SizeChart")</f>
      </c>
      <c r="C2708" s="0" t="inlineStr">
        <is>
          <t>Olympias Women's Open Back Sweatshirt</t>
        </is>
      </c>
      <c r="D2708" s="0" t="inlineStr">
        <is>
          <t>'108954</t>
        </is>
      </c>
      <c r="E2708" s="0" t="inlineStr">
        <is>
          <t>KSU OLYMPIAS:108954AA-XS</t>
        </is>
      </c>
      <c r="F2708" s="0" t="inlineStr">
        <is>
          <t>'800108950012</t>
        </is>
      </c>
      <c r="G2708" s="0" t="inlineStr">
        <is>
          <t>WOMENS</t>
        </is>
      </c>
      <c r="H2708" s="0" t="inlineStr">
        <is>
          <t>XS</t>
        </is>
      </c>
      <c r="I2708" s="0">
        <v>42.99</v>
      </c>
      <c r="J2708" s="0">
        <v>8</v>
      </c>
    </row>
    <row r="2709" spans="1:10" customHeight="0">
      <c r="A2709" s="0">
        <f>HYPERLINK("https://dl.dropboxusercontent.com/scl/fi/f4128x58fhwf8zqc9lwh4/108954-af.jpg?rlkey=s28ja7hpiiuzyx4qxi29n5gt5&amp;dl=0","Click to download Image")</f>
      </c>
      <c r="B2709" s="0">
        <f>HYPERLINK("https://dl.dropboxusercontent.com/scl/fi/zoatvjm2jsy3f0ya36y03/womens-hoodie-and-sweatshirt-size-charts-olympias.jpg?rlkey=lltd685hgsqujfy88l9xfaqqe&amp;dl=0","Click to download SizeChart")</f>
      </c>
      <c r="C2709" s="0" t="inlineStr">
        <is>
          <t>Olympias Women's Open Back Sweatshirt</t>
        </is>
      </c>
      <c r="D2709" s="0" t="inlineStr">
        <is>
          <t>'108954</t>
        </is>
      </c>
      <c r="E2709" s="0" t="inlineStr">
        <is>
          <t>KSU OLYMPIAS:108954A-S</t>
        </is>
      </c>
      <c r="F2709" s="0" t="inlineStr">
        <is>
          <t>'800108950029</t>
        </is>
      </c>
      <c r="G2709" s="0" t="inlineStr">
        <is>
          <t>WOMENS</t>
        </is>
      </c>
      <c r="H2709" s="0" t="inlineStr">
        <is>
          <t>S</t>
        </is>
      </c>
      <c r="I2709" s="0">
        <v>42.99</v>
      </c>
      <c r="J2709" s="0">
        <v>12</v>
      </c>
    </row>
    <row r="2710" spans="1:10" customHeight="0">
      <c r="A2710" s="0">
        <f>HYPERLINK("https://dl.dropboxusercontent.com/scl/fi/f4128x58fhwf8zqc9lwh4/108954-af.jpg?rlkey=s28ja7hpiiuzyx4qxi29n5gt5&amp;dl=0","Click to download Image")</f>
      </c>
      <c r="B2710" s="0">
        <f>HYPERLINK("https://dl.dropboxusercontent.com/scl/fi/zoatvjm2jsy3f0ya36y03/womens-hoodie-and-sweatshirt-size-charts-olympias.jpg?rlkey=lltd685hgsqujfy88l9xfaqqe&amp;dl=0","Click to download SizeChart")</f>
      </c>
      <c r="C2710" s="0" t="inlineStr">
        <is>
          <t>Olympias Women's Open Back Sweatshirt</t>
        </is>
      </c>
      <c r="D2710" s="0" t="inlineStr">
        <is>
          <t>'108954</t>
        </is>
      </c>
      <c r="E2710" s="0" t="inlineStr">
        <is>
          <t>KSU OLYMPIAS:108954B-M</t>
        </is>
      </c>
      <c r="F2710" s="0" t="inlineStr">
        <is>
          <t>'800108950036</t>
        </is>
      </c>
      <c r="G2710" s="0" t="inlineStr">
        <is>
          <t>WOMENS</t>
        </is>
      </c>
      <c r="H2710" s="0" t="inlineStr">
        <is>
          <t>M</t>
        </is>
      </c>
      <c r="I2710" s="0">
        <v>42.99</v>
      </c>
      <c r="J2710" s="0">
        <v>12</v>
      </c>
    </row>
    <row r="2711" spans="1:10" customHeight="0">
      <c r="A2711" s="0">
        <f>HYPERLINK("https://dl.dropboxusercontent.com/scl/fi/f4128x58fhwf8zqc9lwh4/108954-af.jpg?rlkey=s28ja7hpiiuzyx4qxi29n5gt5&amp;dl=0","Click to download Image")</f>
      </c>
      <c r="B2711" s="0">
        <f>HYPERLINK("https://dl.dropboxusercontent.com/scl/fi/zoatvjm2jsy3f0ya36y03/womens-hoodie-and-sweatshirt-size-charts-olympias.jpg?rlkey=lltd685hgsqujfy88l9xfaqqe&amp;dl=0","Click to download SizeChart")</f>
      </c>
      <c r="C2711" s="0" t="inlineStr">
        <is>
          <t>Olympias Women's Open Back Sweatshirt</t>
        </is>
      </c>
      <c r="D2711" s="0" t="inlineStr">
        <is>
          <t>'108954</t>
        </is>
      </c>
      <c r="E2711" s="0" t="inlineStr">
        <is>
          <t>KSU OLYMPIAS:108954C-L</t>
        </is>
      </c>
      <c r="F2711" s="0" t="inlineStr">
        <is>
          <t>'800108950043</t>
        </is>
      </c>
      <c r="G2711" s="0" t="inlineStr">
        <is>
          <t>WOMENS</t>
        </is>
      </c>
      <c r="H2711" s="0" t="inlineStr">
        <is>
          <t>L</t>
        </is>
      </c>
      <c r="I2711" s="0">
        <v>42.99</v>
      </c>
      <c r="J2711" s="0">
        <v>8</v>
      </c>
    </row>
    <row r="2712" spans="1:10" customHeight="0">
      <c r="A2712" s="0">
        <f>HYPERLINK("https://dl.dropboxusercontent.com/scl/fi/f4128x58fhwf8zqc9lwh4/108954-af.jpg?rlkey=s28ja7hpiiuzyx4qxi29n5gt5&amp;dl=0","Click to download Image")</f>
      </c>
      <c r="B2712" s="0">
        <f>HYPERLINK("https://dl.dropboxusercontent.com/scl/fi/zoatvjm2jsy3f0ya36y03/womens-hoodie-and-sweatshirt-size-charts-olympias.jpg?rlkey=lltd685hgsqujfy88l9xfaqqe&amp;dl=0","Click to download SizeChart")</f>
      </c>
      <c r="C2712" s="0" t="inlineStr">
        <is>
          <t>Olympias Women's Open Back Sweatshirt</t>
        </is>
      </c>
      <c r="D2712" s="0" t="inlineStr">
        <is>
          <t>'108954</t>
        </is>
      </c>
      <c r="E2712" s="0" t="inlineStr">
        <is>
          <t>KSU OLYMPIAS:108954D-XL</t>
        </is>
      </c>
      <c r="F2712" s="0" t="inlineStr">
        <is>
          <t>'800108950050</t>
        </is>
      </c>
      <c r="G2712" s="0" t="inlineStr">
        <is>
          <t>WOMENS</t>
        </is>
      </c>
      <c r="H2712" s="0" t="inlineStr">
        <is>
          <t>XL</t>
        </is>
      </c>
      <c r="I2712" s="0">
        <v>42.99</v>
      </c>
      <c r="J2712" s="0">
        <v>8</v>
      </c>
    </row>
    <row r="2713" spans="1:10" customHeight="0">
      <c r="A2713" s="0">
        <f>HYPERLINK("https://dl.dropboxusercontent.com/scl/fi/smm2wqaevadbk81iubovw/olympias18671.jpg?rlkey=a0hvgen3nfx6b75djwsrw4607&amp;dl=0","Click to download Image")</f>
      </c>
      <c r="B2713" s="0">
        <f>HYPERLINK("https://dl.dropboxusercontent.com/scl/fi/zoatvjm2jsy3f0ya36y03/womens-hoodie-and-sweatshirt-size-charts-olympias.jpg?rlkey=lltd685hgsqujfy88l9xfaqqe&amp;dl=0","Click to download SizeChart")</f>
      </c>
      <c r="C2713" s="0" t="inlineStr">
        <is>
          <t>Olympias Women's Open Back Sweatshirt</t>
        </is>
      </c>
      <c r="D2713" s="0" t="inlineStr">
        <is>
          <t>'107341</t>
        </is>
      </c>
      <c r="E2713" s="0" t="inlineStr">
        <is>
          <t>IA OLYMPIAS:107341AA-XS</t>
        </is>
      </c>
      <c r="F2713" s="0" t="inlineStr">
        <is>
          <t>'800107341019</t>
        </is>
      </c>
      <c r="G2713" s="0" t="inlineStr">
        <is>
          <t>WOMENS</t>
        </is>
      </c>
      <c r="H2713" s="0" t="inlineStr">
        <is>
          <t>XS</t>
        </is>
      </c>
      <c r="I2713" s="0">
        <v>42.99</v>
      </c>
      <c r="J2713" s="0">
        <v>57</v>
      </c>
    </row>
    <row r="2714" spans="1:10" customHeight="0">
      <c r="A2714" s="0">
        <f>HYPERLINK("https://dl.dropboxusercontent.com/scl/fi/smm2wqaevadbk81iubovw/olympias18671.jpg?rlkey=a0hvgen3nfx6b75djwsrw4607&amp;dl=0","Click to download Image")</f>
      </c>
      <c r="B2714" s="0">
        <f>HYPERLINK("https://dl.dropboxusercontent.com/scl/fi/zoatvjm2jsy3f0ya36y03/womens-hoodie-and-sweatshirt-size-charts-olympias.jpg?rlkey=lltd685hgsqujfy88l9xfaqqe&amp;dl=0","Click to download SizeChart")</f>
      </c>
      <c r="C2714" s="0" t="inlineStr">
        <is>
          <t>Olympias Women's Open Back Sweatshirt</t>
        </is>
      </c>
      <c r="D2714" s="0" t="inlineStr">
        <is>
          <t>'107341</t>
        </is>
      </c>
      <c r="E2714" s="0" t="inlineStr">
        <is>
          <t>IA OLYMPIAS:107341A-S</t>
        </is>
      </c>
      <c r="F2714" s="0" t="inlineStr">
        <is>
          <t>'800107341026</t>
        </is>
      </c>
      <c r="G2714" s="0" t="inlineStr">
        <is>
          <t>WOMENS</t>
        </is>
      </c>
      <c r="H2714" s="0" t="inlineStr">
        <is>
          <t>S</t>
        </is>
      </c>
      <c r="I2714" s="0">
        <v>42.99</v>
      </c>
      <c r="J2714" s="0">
        <v>88</v>
      </c>
    </row>
    <row r="2715" spans="1:10" customHeight="0">
      <c r="A2715" s="0">
        <f>HYPERLINK("https://dl.dropboxusercontent.com/scl/fi/smm2wqaevadbk81iubovw/olympias18671.jpg?rlkey=a0hvgen3nfx6b75djwsrw4607&amp;dl=0","Click to download Image")</f>
      </c>
      <c r="B2715" s="0">
        <f>HYPERLINK("https://dl.dropboxusercontent.com/scl/fi/zoatvjm2jsy3f0ya36y03/womens-hoodie-and-sweatshirt-size-charts-olympias.jpg?rlkey=lltd685hgsqujfy88l9xfaqqe&amp;dl=0","Click to download SizeChart")</f>
      </c>
      <c r="C2715" s="0" t="inlineStr">
        <is>
          <t>Olympias Women's Open Back Sweatshirt</t>
        </is>
      </c>
      <c r="D2715" s="0" t="inlineStr">
        <is>
          <t>'107341</t>
        </is>
      </c>
      <c r="E2715" s="0" t="inlineStr">
        <is>
          <t>IA OLYMPIAS:107341B-M</t>
        </is>
      </c>
      <c r="F2715" s="0" t="inlineStr">
        <is>
          <t>'800107341033</t>
        </is>
      </c>
      <c r="G2715" s="0" t="inlineStr">
        <is>
          <t>WOMENS</t>
        </is>
      </c>
      <c r="H2715" s="0" t="inlineStr">
        <is>
          <t>M</t>
        </is>
      </c>
      <c r="I2715" s="0">
        <v>42.99</v>
      </c>
      <c r="J2715" s="0">
        <v>92</v>
      </c>
    </row>
    <row r="2716" spans="1:10" customHeight="0">
      <c r="A2716" s="0">
        <f>HYPERLINK("https://dl.dropboxusercontent.com/scl/fi/smm2wqaevadbk81iubovw/olympias18671.jpg?rlkey=a0hvgen3nfx6b75djwsrw4607&amp;dl=0","Click to download Image")</f>
      </c>
      <c r="B2716" s="0">
        <f>HYPERLINK("https://dl.dropboxusercontent.com/scl/fi/zoatvjm2jsy3f0ya36y03/womens-hoodie-and-sweatshirt-size-charts-olympias.jpg?rlkey=lltd685hgsqujfy88l9xfaqqe&amp;dl=0","Click to download SizeChart")</f>
      </c>
      <c r="C2716" s="0" t="inlineStr">
        <is>
          <t>Olympias Women's Open Back Sweatshirt</t>
        </is>
      </c>
      <c r="D2716" s="0" t="inlineStr">
        <is>
          <t>'107341</t>
        </is>
      </c>
      <c r="E2716" s="0" t="inlineStr">
        <is>
          <t>IA OLYMPIAS:107341C-L</t>
        </is>
      </c>
      <c r="F2716" s="0" t="inlineStr">
        <is>
          <t>'800107341040</t>
        </is>
      </c>
      <c r="G2716" s="0" t="inlineStr">
        <is>
          <t>WOMENS</t>
        </is>
      </c>
      <c r="H2716" s="0" t="inlineStr">
        <is>
          <t>L</t>
        </is>
      </c>
      <c r="I2716" s="0">
        <v>42.99</v>
      </c>
      <c r="J2716" s="0">
        <v>77</v>
      </c>
    </row>
    <row r="2717" spans="1:10" customHeight="0">
      <c r="A2717" s="0">
        <f>HYPERLINK("https://dl.dropboxusercontent.com/scl/fi/smm2wqaevadbk81iubovw/olympias18671.jpg?rlkey=a0hvgen3nfx6b75djwsrw4607&amp;dl=0","Click to download Image")</f>
      </c>
      <c r="B2717" s="0">
        <f>HYPERLINK("https://dl.dropboxusercontent.com/scl/fi/zoatvjm2jsy3f0ya36y03/womens-hoodie-and-sweatshirt-size-charts-olympias.jpg?rlkey=lltd685hgsqujfy88l9xfaqqe&amp;dl=0","Click to download SizeChart")</f>
      </c>
      <c r="C2717" s="0" t="inlineStr">
        <is>
          <t>Olympias Women's Open Back Sweatshirt</t>
        </is>
      </c>
      <c r="D2717" s="0" t="inlineStr">
        <is>
          <t>'107341</t>
        </is>
      </c>
      <c r="E2717" s="0" t="inlineStr">
        <is>
          <t>IA OLYMPIAS:107341D-XL</t>
        </is>
      </c>
      <c r="F2717" s="0" t="inlineStr">
        <is>
          <t>'800107341053</t>
        </is>
      </c>
      <c r="G2717" s="0" t="inlineStr">
        <is>
          <t>WOMENS</t>
        </is>
      </c>
      <c r="H2717" s="0" t="inlineStr">
        <is>
          <t>XL</t>
        </is>
      </c>
      <c r="I2717" s="0">
        <v>42.99</v>
      </c>
      <c r="J2717" s="0">
        <v>44</v>
      </c>
    </row>
    <row r="2718" spans="1:10" customHeight="0">
      <c r="A2718" s="0">
        <f>HYPERLINK("https://dl.dropboxusercontent.com/scl/fi/0v2xizrx1kjmtajboqsb3/110539-af.jpg?rlkey=sc5c6ynmictu7lgwz2ev680aj&amp;dl=0","Click to download Image")</f>
      </c>
      <c r="C2718" s="0" t="inlineStr">
        <is>
          <t>Denver Sweatshirt Blanket</t>
        </is>
      </c>
      <c r="D2718" s="0" t="inlineStr">
        <is>
          <t>'110539</t>
        </is>
      </c>
      <c r="E2718" s="0" t="inlineStr">
        <is>
          <t>INDIANA DENVER:110539</t>
        </is>
      </c>
      <c r="F2718" s="0" t="inlineStr">
        <is>
          <t>'000000000000</t>
        </is>
      </c>
      <c r="H2718" s="0" t="inlineStr">
        <is>
          <t>54" X 84"</t>
        </is>
      </c>
      <c r="I2718" s="0">
        <v>38.99</v>
      </c>
      <c r="J2718" s="0">
        <v>59</v>
      </c>
    </row>
    <row r="2719" spans="1:10" customHeight="0">
      <c r="A2719" s="0">
        <f>HYPERLINK("https://dl.dropboxusercontent.com/scl/fi/sjqii4mpp0hahtqz6qafz/110537-af.jpg?rlkey=jwk1f6lb5j98s3x7c4ayrzjth&amp;dl=0","Click to download Image")</f>
      </c>
      <c r="C2719" s="0" t="inlineStr">
        <is>
          <t>Denver Sweatshirt Blanket</t>
        </is>
      </c>
      <c r="D2719" s="0" t="inlineStr">
        <is>
          <t>'110537</t>
        </is>
      </c>
      <c r="E2719" s="0" t="inlineStr">
        <is>
          <t>PURDUE DENVER:110537</t>
        </is>
      </c>
      <c r="F2719" s="0" t="inlineStr">
        <is>
          <t>'000000000000</t>
        </is>
      </c>
      <c r="H2719" s="0" t="inlineStr">
        <is>
          <t>54" X 84"</t>
        </is>
      </c>
      <c r="I2719" s="0">
        <v>38.99</v>
      </c>
      <c r="J2719" s="0">
        <v>54</v>
      </c>
    </row>
    <row r="2720" spans="1:10" customHeight="0">
      <c r="A2720" s="0">
        <f>HYPERLINK("https://dl.dropboxusercontent.com/scl/fi/xasx70q6abuxt8het3jnx/110536-af.jpg?rlkey=s6f4pb5v0tu5h425k27fyuvip&amp;dl=0","Click to download Image")</f>
      </c>
      <c r="C2720" s="0" t="inlineStr">
        <is>
          <t>Denver Sweatshirt Blanket</t>
        </is>
      </c>
      <c r="D2720" s="0" t="inlineStr">
        <is>
          <t>'110536</t>
        </is>
      </c>
      <c r="E2720" s="0" t="inlineStr">
        <is>
          <t>MU DENVER:110536</t>
        </is>
      </c>
      <c r="F2720" s="0" t="inlineStr">
        <is>
          <t>'000000000000</t>
        </is>
      </c>
      <c r="H2720" s="0" t="inlineStr">
        <is>
          <t>54" X 84"</t>
        </is>
      </c>
      <c r="I2720" s="0">
        <v>38.99</v>
      </c>
      <c r="J2720" s="0">
        <v>66</v>
      </c>
    </row>
    <row r="2721" spans="1:10" customHeight="0">
      <c r="A2721" s="0">
        <f>HYPERLINK("https://dl.dropboxusercontent.com/scl/fi/mqwc3gbj55pyh5p28lcm3/113171-af.jpg?rlkey=0chg9tcy9frsk0i2fstva7pac&amp;dl=0","Click to download Image")</f>
      </c>
      <c r="B2721" s="0">
        <f>HYPERLINK("https://dl.dropboxusercontent.com/scl/fi/fqw40za8db9qyhj1jn5td/womens-size-chartsdrift.jpg?rlkey=tvq827otoh6u1eurrkrwoy6wk&amp;dl=0","Click to download SizeChart")</f>
      </c>
      <c r="C2721" s="0" t="inlineStr">
        <is>
          <t>Drift Women's Leggings</t>
        </is>
      </c>
      <c r="D2721" s="0" t="inlineStr">
        <is>
          <t>'113171</t>
        </is>
      </c>
      <c r="E2721" s="0" t="inlineStr">
        <is>
          <t>ISU DRIFT W BLACK:113171A-S</t>
        </is>
      </c>
      <c r="F2721" s="0" t="inlineStr">
        <is>
          <t>'801113171010</t>
        </is>
      </c>
      <c r="G2721" s="0" t="inlineStr">
        <is>
          <t>WOMENS</t>
        </is>
      </c>
      <c r="H2721" s="0" t="inlineStr">
        <is>
          <t>S</t>
        </is>
      </c>
      <c r="I2721" s="0">
        <v>34.99</v>
      </c>
      <c r="J2721" s="0">
        <v>9</v>
      </c>
    </row>
    <row r="2722" spans="1:10" customHeight="0">
      <c r="A2722" s="0">
        <f>HYPERLINK("https://dl.dropboxusercontent.com/scl/fi/mqwc3gbj55pyh5p28lcm3/113171-af.jpg?rlkey=0chg9tcy9frsk0i2fstva7pac&amp;dl=0","Click to download Image")</f>
      </c>
      <c r="B2722" s="0">
        <f>HYPERLINK("https://dl.dropboxusercontent.com/scl/fi/fqw40za8db9qyhj1jn5td/womens-size-chartsdrift.jpg?rlkey=tvq827otoh6u1eurrkrwoy6wk&amp;dl=0","Click to download SizeChart")</f>
      </c>
      <c r="C2722" s="0" t="inlineStr">
        <is>
          <t>Drift Women's Leggings</t>
        </is>
      </c>
      <c r="D2722" s="0" t="inlineStr">
        <is>
          <t>'113171</t>
        </is>
      </c>
      <c r="E2722" s="0" t="inlineStr">
        <is>
          <t>ISU DRIFT W BLACK:113171B-M</t>
        </is>
      </c>
      <c r="F2722" s="0" t="inlineStr">
        <is>
          <t>'801113171027</t>
        </is>
      </c>
      <c r="G2722" s="0" t="inlineStr">
        <is>
          <t>WOMENS</t>
        </is>
      </c>
      <c r="H2722" s="0" t="inlineStr">
        <is>
          <t>M</t>
        </is>
      </c>
      <c r="I2722" s="0">
        <v>34.99</v>
      </c>
      <c r="J2722" s="0">
        <v>16</v>
      </c>
    </row>
    <row r="2723" spans="1:10" customHeight="0">
      <c r="A2723" s="0">
        <f>HYPERLINK("https://dl.dropboxusercontent.com/scl/fi/mqwc3gbj55pyh5p28lcm3/113171-af.jpg?rlkey=0chg9tcy9frsk0i2fstva7pac&amp;dl=0","Click to download Image")</f>
      </c>
      <c r="B2723" s="0">
        <f>HYPERLINK("https://dl.dropboxusercontent.com/scl/fi/fqw40za8db9qyhj1jn5td/womens-size-chartsdrift.jpg?rlkey=tvq827otoh6u1eurrkrwoy6wk&amp;dl=0","Click to download SizeChart")</f>
      </c>
      <c r="C2723" s="0" t="inlineStr">
        <is>
          <t>Drift Women's Leggings</t>
        </is>
      </c>
      <c r="D2723" s="0" t="inlineStr">
        <is>
          <t>'113171</t>
        </is>
      </c>
      <c r="E2723" s="0" t="inlineStr">
        <is>
          <t>ISU DRIFT W BLACK:113171C-L</t>
        </is>
      </c>
      <c r="F2723" s="0" t="inlineStr">
        <is>
          <t>'801113171034</t>
        </is>
      </c>
      <c r="G2723" s="0" t="inlineStr">
        <is>
          <t>WOMENS</t>
        </is>
      </c>
      <c r="H2723" s="0" t="inlineStr">
        <is>
          <t>L</t>
        </is>
      </c>
      <c r="I2723" s="0">
        <v>34.99</v>
      </c>
      <c r="J2723" s="0">
        <v>18</v>
      </c>
    </row>
    <row r="2724" spans="1:10" customHeight="0">
      <c r="A2724" s="0">
        <f>HYPERLINK("https://dl.dropboxusercontent.com/scl/fi/mqwc3gbj55pyh5p28lcm3/113171-af.jpg?rlkey=0chg9tcy9frsk0i2fstva7pac&amp;dl=0","Click to download Image")</f>
      </c>
      <c r="B2724" s="0">
        <f>HYPERLINK("https://dl.dropboxusercontent.com/scl/fi/fqw40za8db9qyhj1jn5td/womens-size-chartsdrift.jpg?rlkey=tvq827otoh6u1eurrkrwoy6wk&amp;dl=0","Click to download SizeChart")</f>
      </c>
      <c r="C2724" s="0" t="inlineStr">
        <is>
          <t>Drift Women's Leggings</t>
        </is>
      </c>
      <c r="D2724" s="0" t="inlineStr">
        <is>
          <t>'113171</t>
        </is>
      </c>
      <c r="E2724" s="0" t="inlineStr">
        <is>
          <t>ISU DRIFT W BLACK:113171D-XL</t>
        </is>
      </c>
      <c r="F2724" s="0" t="inlineStr">
        <is>
          <t>'801113171041</t>
        </is>
      </c>
      <c r="G2724" s="0" t="inlineStr">
        <is>
          <t>WOMENS</t>
        </is>
      </c>
      <c r="H2724" s="0" t="inlineStr">
        <is>
          <t>XL</t>
        </is>
      </c>
      <c r="I2724" s="0">
        <v>34.99</v>
      </c>
      <c r="J2724" s="0">
        <v>10</v>
      </c>
    </row>
    <row r="2725" spans="1:10" customHeight="0">
      <c r="A2725" s="0">
        <f>HYPERLINK("https://dl.dropboxusercontent.com/scl/fi/mqwc3gbj55pyh5p28lcm3/113171-af.jpg?rlkey=0chg9tcy9frsk0i2fstva7pac&amp;dl=0","Click to download Image")</f>
      </c>
      <c r="B2725" s="0">
        <f>HYPERLINK("https://dl.dropboxusercontent.com/scl/fi/fqw40za8db9qyhj1jn5td/womens-size-chartsdrift.jpg?rlkey=tvq827otoh6u1eurrkrwoy6wk&amp;dl=0","Click to download SizeChart")</f>
      </c>
      <c r="C2725" s="0" t="inlineStr">
        <is>
          <t>Drift Women's Leggings</t>
        </is>
      </c>
      <c r="D2725" s="0" t="inlineStr">
        <is>
          <t>'113171</t>
        </is>
      </c>
      <c r="E2725" s="0" t="inlineStr">
        <is>
          <t>ISU DRIFT W BLACK:113171E-2XL</t>
        </is>
      </c>
      <c r="F2725" s="0" t="inlineStr">
        <is>
          <t>'801113171058</t>
        </is>
      </c>
      <c r="G2725" s="0" t="inlineStr">
        <is>
          <t>WOMENS</t>
        </is>
      </c>
      <c r="H2725" s="0" t="inlineStr">
        <is>
          <t>2XL</t>
        </is>
      </c>
      <c r="I2725" s="0">
        <v>36.99</v>
      </c>
      <c r="J2725" s="0">
        <v>4</v>
      </c>
    </row>
    <row r="2726" spans="1:10" customHeight="0">
      <c r="A2726" s="0">
        <f>HYPERLINK("https://dl.dropboxusercontent.com/scl/fi/mqwc3gbj55pyh5p28lcm3/113171-af.jpg?rlkey=0chg9tcy9frsk0i2fstva7pac&amp;dl=0","Click to download Image")</f>
      </c>
      <c r="B2726" s="0">
        <f>HYPERLINK("https://dl.dropboxusercontent.com/scl/fi/fqw40za8db9qyhj1jn5td/womens-size-chartsdrift.jpg?rlkey=tvq827otoh6u1eurrkrwoy6wk&amp;dl=0","Click to download SizeChart")</f>
      </c>
      <c r="C2726" s="0" t="inlineStr">
        <is>
          <t>Drift Women's Leggings</t>
        </is>
      </c>
      <c r="D2726" s="0" t="inlineStr">
        <is>
          <t>'113171</t>
        </is>
      </c>
      <c r="E2726" s="0" t="inlineStr">
        <is>
          <t>ISU DRIFT W BLACK:113171F-3XL</t>
        </is>
      </c>
      <c r="F2726" s="0" t="inlineStr">
        <is>
          <t>'801113171065</t>
        </is>
      </c>
      <c r="G2726" s="0" t="inlineStr">
        <is>
          <t>WOMENS</t>
        </is>
      </c>
      <c r="H2726" s="0" t="inlineStr">
        <is>
          <t>3XL</t>
        </is>
      </c>
      <c r="I2726" s="0">
        <v>36.99</v>
      </c>
      <c r="J2726" s="0">
        <v>2</v>
      </c>
    </row>
    <row r="2727" spans="1:10" customHeight="0">
      <c r="A2727" s="0">
        <f>HYPERLINK("https://dl.dropboxusercontent.com/scl/fi/mqwc3gbj55pyh5p28lcm3/113171-af.jpg?rlkey=0chg9tcy9frsk0i2fstva7pac&amp;dl=0","Click to download Image")</f>
      </c>
      <c r="B2727" s="0">
        <f>HYPERLINK("https://dl.dropboxusercontent.com/scl/fi/fqw40za8db9qyhj1jn5td/womens-size-chartsdrift.jpg?rlkey=tvq827otoh6u1eurrkrwoy6wk&amp;dl=0","Click to download SizeChart")</f>
      </c>
      <c r="C2727" s="0" t="inlineStr">
        <is>
          <t>Drift Women's Leggings</t>
        </is>
      </c>
      <c r="D2727" s="0" t="inlineStr">
        <is>
          <t>'113171</t>
        </is>
      </c>
      <c r="E2727" s="0" t="inlineStr">
        <is>
          <t>ISU DRIFT W BLACK 12 PACK:113171Z-12PK</t>
        </is>
      </c>
      <c r="F2727" s="0" t="inlineStr">
        <is>
          <t>'801113171997</t>
        </is>
      </c>
      <c r="G2727" s="0" t="inlineStr">
        <is>
          <t>WOMENS</t>
        </is>
      </c>
      <c r="H2727" s="0" t="inlineStr">
        <is>
          <t>12 PACK</t>
        </is>
      </c>
      <c r="I2727" s="0">
        <v>360</v>
      </c>
      <c r="J2727" s="0">
        <v>0</v>
      </c>
    </row>
    <row r="2728" spans="1:10" customHeight="0">
      <c r="A2728" s="0">
        <f>HYPERLINK("https://dl.dropboxusercontent.com/scl/fi/wvua3mo0sxhstdm3g5d7u/113170-af.jpg?rlkey=6d0a5n3dngg86tk4ffxaraijm&amp;dl=0","Click to download Image")</f>
      </c>
      <c r="B2728" s="0">
        <f>HYPERLINK("https://dl.dropboxusercontent.com/scl/fi/fqw40za8db9qyhj1jn5td/womens-size-chartsdrift.jpg?rlkey=tvq827otoh6u1eurrkrwoy6wk&amp;dl=0","Click to download SizeChart")</f>
      </c>
      <c r="C2728" s="0" t="inlineStr">
        <is>
          <t>Drift Women's Leggings</t>
        </is>
      </c>
      <c r="D2728" s="0" t="inlineStr">
        <is>
          <t>'113170</t>
        </is>
      </c>
      <c r="E2728" s="0" t="inlineStr">
        <is>
          <t>IOWA DRIFT W BLACK:113170A-S</t>
        </is>
      </c>
      <c r="F2728" s="0" t="inlineStr">
        <is>
          <t>'800113170016</t>
        </is>
      </c>
      <c r="G2728" s="0" t="inlineStr">
        <is>
          <t>WOMENS</t>
        </is>
      </c>
      <c r="H2728" s="0" t="inlineStr">
        <is>
          <t>S</t>
        </is>
      </c>
      <c r="I2728" s="0">
        <v>34.99</v>
      </c>
      <c r="J2728" s="0">
        <v>3</v>
      </c>
    </row>
    <row r="2729" spans="1:10" customHeight="0">
      <c r="A2729" s="0">
        <f>HYPERLINK("https://dl.dropboxusercontent.com/scl/fi/wvua3mo0sxhstdm3g5d7u/113170-af.jpg?rlkey=6d0a5n3dngg86tk4ffxaraijm&amp;dl=0","Click to download Image")</f>
      </c>
      <c r="B2729" s="0">
        <f>HYPERLINK("https://dl.dropboxusercontent.com/scl/fi/fqw40za8db9qyhj1jn5td/womens-size-chartsdrift.jpg?rlkey=tvq827otoh6u1eurrkrwoy6wk&amp;dl=0","Click to download SizeChart")</f>
      </c>
      <c r="C2729" s="0" t="inlineStr">
        <is>
          <t>Drift Women's Leggings</t>
        </is>
      </c>
      <c r="D2729" s="0" t="inlineStr">
        <is>
          <t>'113170</t>
        </is>
      </c>
      <c r="E2729" s="0" t="inlineStr">
        <is>
          <t>IOWA DRIFT W BLACK:113170B-M</t>
        </is>
      </c>
      <c r="F2729" s="0" t="inlineStr">
        <is>
          <t>'800113170023</t>
        </is>
      </c>
      <c r="G2729" s="0" t="inlineStr">
        <is>
          <t>WOMENS</t>
        </is>
      </c>
      <c r="H2729" s="0" t="inlineStr">
        <is>
          <t>M</t>
        </is>
      </c>
      <c r="I2729" s="0">
        <v>34.99</v>
      </c>
      <c r="J2729" s="0">
        <v>8</v>
      </c>
    </row>
    <row r="2730" spans="1:10" customHeight="0">
      <c r="A2730" s="0">
        <f>HYPERLINK("https://dl.dropboxusercontent.com/scl/fi/wvua3mo0sxhstdm3g5d7u/113170-af.jpg?rlkey=6d0a5n3dngg86tk4ffxaraijm&amp;dl=0","Click to download Image")</f>
      </c>
      <c r="B2730" s="0">
        <f>HYPERLINK("https://dl.dropboxusercontent.com/scl/fi/fqw40za8db9qyhj1jn5td/womens-size-chartsdrift.jpg?rlkey=tvq827otoh6u1eurrkrwoy6wk&amp;dl=0","Click to download SizeChart")</f>
      </c>
      <c r="C2730" s="0" t="inlineStr">
        <is>
          <t>Drift Women's Leggings</t>
        </is>
      </c>
      <c r="D2730" s="0" t="inlineStr">
        <is>
          <t>'113170</t>
        </is>
      </c>
      <c r="E2730" s="0" t="inlineStr">
        <is>
          <t>IOWA DRIFT W BLACK:113170C-L</t>
        </is>
      </c>
      <c r="F2730" s="0" t="inlineStr">
        <is>
          <t>'800113170030</t>
        </is>
      </c>
      <c r="G2730" s="0" t="inlineStr">
        <is>
          <t>WOMENS</t>
        </is>
      </c>
      <c r="H2730" s="0" t="inlineStr">
        <is>
          <t>L</t>
        </is>
      </c>
      <c r="I2730" s="0">
        <v>34.99</v>
      </c>
      <c r="J2730" s="0">
        <v>2</v>
      </c>
    </row>
    <row r="2731" spans="1:10" customHeight="0">
      <c r="A2731" s="0">
        <f>HYPERLINK("https://dl.dropboxusercontent.com/scl/fi/wvua3mo0sxhstdm3g5d7u/113170-af.jpg?rlkey=6d0a5n3dngg86tk4ffxaraijm&amp;dl=0","Click to download Image")</f>
      </c>
      <c r="B2731" s="0">
        <f>HYPERLINK("https://dl.dropboxusercontent.com/scl/fi/fqw40za8db9qyhj1jn5td/womens-size-chartsdrift.jpg?rlkey=tvq827otoh6u1eurrkrwoy6wk&amp;dl=0","Click to download SizeChart")</f>
      </c>
      <c r="C2731" s="0" t="inlineStr">
        <is>
          <t>Drift Women's Leggings</t>
        </is>
      </c>
      <c r="D2731" s="0" t="inlineStr">
        <is>
          <t>'113170</t>
        </is>
      </c>
      <c r="E2731" s="0" t="inlineStr">
        <is>
          <t>IOWA DRIFT W BLACK:113170D-XL</t>
        </is>
      </c>
      <c r="F2731" s="0" t="inlineStr">
        <is>
          <t>'800113170047</t>
        </is>
      </c>
      <c r="G2731" s="0" t="inlineStr">
        <is>
          <t>WOMENS</t>
        </is>
      </c>
      <c r="H2731" s="0" t="inlineStr">
        <is>
          <t>XL</t>
        </is>
      </c>
      <c r="I2731" s="0">
        <v>34.99</v>
      </c>
      <c r="J2731" s="0">
        <v>3</v>
      </c>
    </row>
    <row r="2732" spans="1:10" customHeight="0">
      <c r="A2732" s="0">
        <f>HYPERLINK("https://dl.dropboxusercontent.com/scl/fi/wvua3mo0sxhstdm3g5d7u/113170-af.jpg?rlkey=6d0a5n3dngg86tk4ffxaraijm&amp;dl=0","Click to download Image")</f>
      </c>
      <c r="B2732" s="0">
        <f>HYPERLINK("https://dl.dropboxusercontent.com/scl/fi/fqw40za8db9qyhj1jn5td/womens-size-chartsdrift.jpg?rlkey=tvq827otoh6u1eurrkrwoy6wk&amp;dl=0","Click to download SizeChart")</f>
      </c>
      <c r="C2732" s="0" t="inlineStr">
        <is>
          <t>Drift Women's Leggings</t>
        </is>
      </c>
      <c r="D2732" s="0" t="inlineStr">
        <is>
          <t>'113170</t>
        </is>
      </c>
      <c r="E2732" s="0" t="inlineStr">
        <is>
          <t>IOWA DRIFT W BLACK:113170E-2XL</t>
        </is>
      </c>
      <c r="F2732" s="0" t="inlineStr">
        <is>
          <t>'800113170054</t>
        </is>
      </c>
      <c r="G2732" s="0" t="inlineStr">
        <is>
          <t>WOMENS</t>
        </is>
      </c>
      <c r="H2732" s="0" t="inlineStr">
        <is>
          <t>2XL</t>
        </is>
      </c>
      <c r="I2732" s="0">
        <v>36.99</v>
      </c>
      <c r="J2732" s="0">
        <v>0</v>
      </c>
    </row>
    <row r="2733" spans="1:10" customHeight="0">
      <c r="A2733" s="0">
        <f>HYPERLINK("https://dl.dropboxusercontent.com/scl/fi/wvua3mo0sxhstdm3g5d7u/113170-af.jpg?rlkey=6d0a5n3dngg86tk4ffxaraijm&amp;dl=0","Click to download Image")</f>
      </c>
      <c r="B2733" s="0">
        <f>HYPERLINK("https://dl.dropboxusercontent.com/scl/fi/fqw40za8db9qyhj1jn5td/womens-size-chartsdrift.jpg?rlkey=tvq827otoh6u1eurrkrwoy6wk&amp;dl=0","Click to download SizeChart")</f>
      </c>
      <c r="C2733" s="0" t="inlineStr">
        <is>
          <t>Drift Women's Leggings</t>
        </is>
      </c>
      <c r="D2733" s="0" t="inlineStr">
        <is>
          <t>'113170</t>
        </is>
      </c>
      <c r="E2733" s="0" t="inlineStr">
        <is>
          <t>IOWA DRIFT W BLACK:113170F-3XL</t>
        </is>
      </c>
      <c r="F2733" s="0" t="inlineStr">
        <is>
          <t>'800113170061</t>
        </is>
      </c>
      <c r="G2733" s="0" t="inlineStr">
        <is>
          <t>WOMENS</t>
        </is>
      </c>
      <c r="H2733" s="0" t="inlineStr">
        <is>
          <t>3XL</t>
        </is>
      </c>
      <c r="I2733" s="0">
        <v>36.99</v>
      </c>
      <c r="J2733" s="0">
        <v>0</v>
      </c>
    </row>
    <row r="2734" spans="1:10" customHeight="0">
      <c r="A2734" s="0">
        <f>HYPERLINK("https://dl.dropboxusercontent.com/scl/fi/wvua3mo0sxhstdm3g5d7u/113170-af.jpg?rlkey=6d0a5n3dngg86tk4ffxaraijm&amp;dl=0","Click to download Image")</f>
      </c>
      <c r="B2734" s="0">
        <f>HYPERLINK("https://dl.dropboxusercontent.com/scl/fi/fqw40za8db9qyhj1jn5td/womens-size-chartsdrift.jpg?rlkey=tvq827otoh6u1eurrkrwoy6wk&amp;dl=0","Click to download SizeChart")</f>
      </c>
      <c r="C2734" s="0" t="inlineStr">
        <is>
          <t>Drift Women's Leggings</t>
        </is>
      </c>
      <c r="D2734" s="0" t="inlineStr">
        <is>
          <t>'113170</t>
        </is>
      </c>
      <c r="E2734" s="0" t="inlineStr">
        <is>
          <t>IOWA DRIFT W BLACK 12 PACK:113170Z-12PK</t>
        </is>
      </c>
      <c r="F2734" s="0" t="inlineStr">
        <is>
          <t>'800113170993</t>
        </is>
      </c>
      <c r="G2734" s="0" t="inlineStr">
        <is>
          <t>WOMENS</t>
        </is>
      </c>
      <c r="H2734" s="0" t="inlineStr">
        <is>
          <t>12 PACK</t>
        </is>
      </c>
      <c r="I2734" s="0">
        <v>360</v>
      </c>
      <c r="J2734" s="0">
        <v>0</v>
      </c>
    </row>
    <row r="2735" spans="1:10" customHeight="0">
      <c r="A2735" s="0">
        <f>HYPERLINK("https://dl.dropboxusercontent.com/scl/fi/yfesbj6uh06rxvtoryca2/101415-af.jpg?rlkey=qk8xyiejazvkwujp5fc4ysy55&amp;dl=0","Click to download Image")</f>
      </c>
      <c r="C2735" s="0" t="inlineStr">
        <is>
          <t>Duke Laptop Backpack</t>
        </is>
      </c>
      <c r="D2735" s="0" t="inlineStr">
        <is>
          <t>'101415</t>
        </is>
      </c>
      <c r="E2735" s="0" t="inlineStr">
        <is>
          <t>DUKE:101415</t>
        </is>
      </c>
      <c r="F2735" s="0" t="inlineStr">
        <is>
          <t>'000000000000</t>
        </is>
      </c>
      <c r="I2735" s="0">
        <v>49.99</v>
      </c>
      <c r="J2735" s="0">
        <v>217</v>
      </c>
    </row>
    <row r="2736" spans="1:10" customHeight="0">
      <c r="A2736" s="0">
        <f>HYPERLINK("https://dl.dropboxusercontent.com/scl/fi/xq6vact6i1hje7yiw12nd/101653-af.jpg?rlkey=u2tjtntzskddf7tivy04a2kx9&amp;dl=0","Click to download Image")</f>
      </c>
      <c r="C2736" s="0" t="inlineStr">
        <is>
          <t>Duke Laptop Backpack</t>
        </is>
      </c>
      <c r="D2736" s="0" t="inlineStr">
        <is>
          <t>'101653</t>
        </is>
      </c>
      <c r="E2736" s="0" t="inlineStr">
        <is>
          <t>DUKE:101653</t>
        </is>
      </c>
      <c r="F2736" s="0" t="inlineStr">
        <is>
          <t>'000000000000</t>
        </is>
      </c>
      <c r="I2736" s="0">
        <v>49.99</v>
      </c>
      <c r="J2736" s="0">
        <v>5</v>
      </c>
    </row>
    <row r="2737" spans="1:10" customHeight="0">
      <c r="A2737" s="0">
        <f>HYPERLINK("https://dl.dropboxusercontent.com/scl/fi/vt4uexdglgu2km7wshnot/dsc9583edit.jpg?rlkey=euhmgeiwtm0poqq2rxtypr61f&amp;dl=0","Click to download Image")</f>
      </c>
      <c r="B2737" s="0">
        <f>HYPERLINK("https://dl.dropboxusercontent.com/scl/fi/3e5kpj23d4u9jseeys92d/womens-hoodie-and-sweatshirt-size-chartselaina.jpg?rlkey=8oqg0m5ij5u3r6skgwbiylr8d&amp;dl=0","Click to download SizeChart")</f>
      </c>
      <c r="C2737" s="0" t="inlineStr">
        <is>
          <t>Elaina Women's Hoodie</t>
        </is>
      </c>
      <c r="D2737" s="0" t="inlineStr">
        <is>
          <t>'109712</t>
        </is>
      </c>
      <c r="E2737" s="0" t="inlineStr">
        <is>
          <t>ISU ELAINA CARDINAL:109712A-S</t>
        </is>
      </c>
      <c r="F2737" s="0" t="inlineStr">
        <is>
          <t>'801109712043</t>
        </is>
      </c>
      <c r="G2737" s="0" t="inlineStr">
        <is>
          <t>WOMENS</t>
        </is>
      </c>
      <c r="H2737" s="0" t="inlineStr">
        <is>
          <t>S</t>
        </is>
      </c>
      <c r="I2737" s="0">
        <v>45.99</v>
      </c>
      <c r="J2737" s="0">
        <v>15</v>
      </c>
    </row>
    <row r="2738" spans="1:10" customHeight="0">
      <c r="A2738" s="0">
        <f>HYPERLINK("https://dl.dropboxusercontent.com/scl/fi/vt4uexdglgu2km7wshnot/dsc9583edit.jpg?rlkey=euhmgeiwtm0poqq2rxtypr61f&amp;dl=0","Click to download Image")</f>
      </c>
      <c r="B2738" s="0">
        <f>HYPERLINK("https://dl.dropboxusercontent.com/scl/fi/3e5kpj23d4u9jseeys92d/womens-hoodie-and-sweatshirt-size-chartselaina.jpg?rlkey=8oqg0m5ij5u3r6skgwbiylr8d&amp;dl=0","Click to download SizeChart")</f>
      </c>
      <c r="C2738" s="0" t="inlineStr">
        <is>
          <t>Elaina Women's Hoodie</t>
        </is>
      </c>
      <c r="D2738" s="0" t="inlineStr">
        <is>
          <t>'109712</t>
        </is>
      </c>
      <c r="E2738" s="0" t="inlineStr">
        <is>
          <t>ISU ELAINA CARDINAL:109712B-M</t>
        </is>
      </c>
      <c r="F2738" s="0" t="inlineStr">
        <is>
          <t>'801109712050</t>
        </is>
      </c>
      <c r="G2738" s="0" t="inlineStr">
        <is>
          <t>WOMENS</t>
        </is>
      </c>
      <c r="H2738" s="0" t="inlineStr">
        <is>
          <t>M</t>
        </is>
      </c>
      <c r="I2738" s="0">
        <v>45.99</v>
      </c>
      <c r="J2738" s="0">
        <v>35</v>
      </c>
    </row>
    <row r="2739" spans="1:10" customHeight="0">
      <c r="A2739" s="0">
        <f>HYPERLINK("https://dl.dropboxusercontent.com/scl/fi/vt4uexdglgu2km7wshnot/dsc9583edit.jpg?rlkey=euhmgeiwtm0poqq2rxtypr61f&amp;dl=0","Click to download Image")</f>
      </c>
      <c r="B2739" s="0">
        <f>HYPERLINK("https://dl.dropboxusercontent.com/scl/fi/3e5kpj23d4u9jseeys92d/womens-hoodie-and-sweatshirt-size-chartselaina.jpg?rlkey=8oqg0m5ij5u3r6skgwbiylr8d&amp;dl=0","Click to download SizeChart")</f>
      </c>
      <c r="C2739" s="0" t="inlineStr">
        <is>
          <t>Elaina Women's Hoodie</t>
        </is>
      </c>
      <c r="D2739" s="0" t="inlineStr">
        <is>
          <t>'109712</t>
        </is>
      </c>
      <c r="E2739" s="0" t="inlineStr">
        <is>
          <t>ISU ELAINA CARDINAL:109712C-L</t>
        </is>
      </c>
      <c r="F2739" s="0" t="inlineStr">
        <is>
          <t>'801109712067</t>
        </is>
      </c>
      <c r="G2739" s="0" t="inlineStr">
        <is>
          <t>WOMENS</t>
        </is>
      </c>
      <c r="H2739" s="0" t="inlineStr">
        <is>
          <t>L</t>
        </is>
      </c>
      <c r="I2739" s="0">
        <v>45.99</v>
      </c>
      <c r="J2739" s="0">
        <v>34</v>
      </c>
    </row>
    <row r="2740" spans="1:10" customHeight="0">
      <c r="A2740" s="0">
        <f>HYPERLINK("https://dl.dropboxusercontent.com/scl/fi/vt4uexdglgu2km7wshnot/dsc9583edit.jpg?rlkey=euhmgeiwtm0poqq2rxtypr61f&amp;dl=0","Click to download Image")</f>
      </c>
      <c r="B2740" s="0">
        <f>HYPERLINK("https://dl.dropboxusercontent.com/scl/fi/3e5kpj23d4u9jseeys92d/womens-hoodie-and-sweatshirt-size-chartselaina.jpg?rlkey=8oqg0m5ij5u3r6skgwbiylr8d&amp;dl=0","Click to download SizeChart")</f>
      </c>
      <c r="C2740" s="0" t="inlineStr">
        <is>
          <t>Elaina Women's Hoodie</t>
        </is>
      </c>
      <c r="D2740" s="0" t="inlineStr">
        <is>
          <t>'109712</t>
        </is>
      </c>
      <c r="E2740" s="0" t="inlineStr">
        <is>
          <t>ISU ELAINA CARDINAL:109712D-XL</t>
        </is>
      </c>
      <c r="F2740" s="0" t="inlineStr">
        <is>
          <t>'801109712074</t>
        </is>
      </c>
      <c r="G2740" s="0" t="inlineStr">
        <is>
          <t>WOMENS</t>
        </is>
      </c>
      <c r="H2740" s="0" t="inlineStr">
        <is>
          <t>XL</t>
        </is>
      </c>
      <c r="I2740" s="0">
        <v>45.99</v>
      </c>
      <c r="J2740" s="0">
        <v>7</v>
      </c>
    </row>
    <row r="2741" spans="1:10" customHeight="0">
      <c r="A2741" s="0">
        <f>HYPERLINK("https://dl.dropboxusercontent.com/scl/fi/vt4uexdglgu2km7wshnot/dsc9583edit.jpg?rlkey=euhmgeiwtm0poqq2rxtypr61f&amp;dl=0","Click to download Image")</f>
      </c>
      <c r="B2741" s="0">
        <f>HYPERLINK("https://dl.dropboxusercontent.com/scl/fi/3e5kpj23d4u9jseeys92d/womens-hoodie-and-sweatshirt-size-chartselaina.jpg?rlkey=8oqg0m5ij5u3r6skgwbiylr8d&amp;dl=0","Click to download SizeChart")</f>
      </c>
      <c r="C2741" s="0" t="inlineStr">
        <is>
          <t>Elaina Women's Hoodie</t>
        </is>
      </c>
      <c r="D2741" s="0" t="inlineStr">
        <is>
          <t>'109712</t>
        </is>
      </c>
      <c r="E2741" s="0" t="inlineStr">
        <is>
          <t>ISU ELAINA CARDINAL:109712E-2XL</t>
        </is>
      </c>
      <c r="F2741" s="0" t="inlineStr">
        <is>
          <t>'801109712081</t>
        </is>
      </c>
      <c r="G2741" s="0" t="inlineStr">
        <is>
          <t>WOMENS</t>
        </is>
      </c>
      <c r="H2741" s="0" t="inlineStr">
        <is>
          <t>2XL</t>
        </is>
      </c>
      <c r="I2741" s="0">
        <v>47.99</v>
      </c>
      <c r="J2741" s="0">
        <v>1</v>
      </c>
    </row>
    <row r="2742" spans="1:10" customHeight="0">
      <c r="A2742" s="0">
        <f>HYPERLINK("https://dl.dropboxusercontent.com/scl/fi/vt4uexdglgu2km7wshnot/dsc9583edit.jpg?rlkey=euhmgeiwtm0poqq2rxtypr61f&amp;dl=0","Click to download Image")</f>
      </c>
      <c r="B2742" s="0">
        <f>HYPERLINK("https://dl.dropboxusercontent.com/scl/fi/3e5kpj23d4u9jseeys92d/womens-hoodie-and-sweatshirt-size-chartselaina.jpg?rlkey=8oqg0m5ij5u3r6skgwbiylr8d&amp;dl=0","Click to download SizeChart")</f>
      </c>
      <c r="C2742" s="0" t="inlineStr">
        <is>
          <t>Elaina Women's Hoodie</t>
        </is>
      </c>
      <c r="D2742" s="0" t="inlineStr">
        <is>
          <t>'109712</t>
        </is>
      </c>
      <c r="E2742" s="0" t="inlineStr">
        <is>
          <t>ISU ELAINA CARDINAL:109712F-3XL</t>
        </is>
      </c>
      <c r="F2742" s="0" t="inlineStr">
        <is>
          <t>'801109712098</t>
        </is>
      </c>
      <c r="G2742" s="0" t="inlineStr">
        <is>
          <t>WOMENS</t>
        </is>
      </c>
      <c r="H2742" s="0" t="inlineStr">
        <is>
          <t>3XL</t>
        </is>
      </c>
      <c r="I2742" s="0">
        <v>47.99</v>
      </c>
      <c r="J2742" s="0">
        <v>0</v>
      </c>
    </row>
    <row r="2743" spans="1:10" customHeight="0">
      <c r="A2743" s="0">
        <f>HYPERLINK("https://dl.dropboxusercontent.com/scl/fi/vt4uexdglgu2km7wshnot/dsc9583edit.jpg?rlkey=euhmgeiwtm0poqq2rxtypr61f&amp;dl=0","Click to download Image")</f>
      </c>
      <c r="B2743" s="0">
        <f>HYPERLINK("https://dl.dropboxusercontent.com/scl/fi/3e5kpj23d4u9jseeys92d/womens-hoodie-and-sweatshirt-size-chartselaina.jpg?rlkey=8oqg0m5ij5u3r6skgwbiylr8d&amp;dl=0","Click to download SizeChart")</f>
      </c>
      <c r="C2743" s="0" t="inlineStr">
        <is>
          <t>Elaina Women's Hoodie</t>
        </is>
      </c>
      <c r="D2743" s="0" t="inlineStr">
        <is>
          <t>'109712</t>
        </is>
      </c>
      <c r="E2743" s="0" t="inlineStr">
        <is>
          <t>ISU ELAINA CARDINAL 12 PACK:109712Z-12PK</t>
        </is>
      </c>
      <c r="F2743" s="0" t="inlineStr">
        <is>
          <t>'801109712999</t>
        </is>
      </c>
      <c r="G2743" s="0" t="inlineStr">
        <is>
          <t>WOMENS</t>
        </is>
      </c>
      <c r="H2743" s="0" t="inlineStr">
        <is>
          <t>12 PACK</t>
        </is>
      </c>
      <c r="I2743" s="0">
        <v>480</v>
      </c>
      <c r="J2743" s="0">
        <v>0</v>
      </c>
    </row>
    <row r="2744" spans="1:10" customHeight="0">
      <c r="A2744" s="0">
        <f>HYPERLINK("https://dl.dropboxusercontent.com/scl/fi/t4ejoc41zoblw383skq07/110490-af.jpg?rlkey=xhlb9e3ka46b4vf6gmqkbb1c7&amp;dl=0","Click to download Image")</f>
      </c>
      <c r="B2744" s="0">
        <f>HYPERLINK("https://dl.dropboxusercontent.com/scl/fi/3e5kpj23d4u9jseeys92d/womens-hoodie-and-sweatshirt-size-chartselaina.jpg?rlkey=8oqg0m5ij5u3r6skgwbiylr8d&amp;dl=0","Click to download SizeChart")</f>
      </c>
      <c r="C2744" s="0" t="inlineStr">
        <is>
          <t>Elaina Women's Hoodie</t>
        </is>
      </c>
      <c r="D2744" s="0" t="inlineStr">
        <is>
          <t>'110490</t>
        </is>
      </c>
      <c r="E2744" s="0" t="inlineStr">
        <is>
          <t>IOWA ELAINA BLACK:110490A-S</t>
        </is>
      </c>
      <c r="F2744" s="0" t="inlineStr">
        <is>
          <t>'800110490018</t>
        </is>
      </c>
      <c r="G2744" s="0" t="inlineStr">
        <is>
          <t>WOMENS</t>
        </is>
      </c>
      <c r="H2744" s="0" t="inlineStr">
        <is>
          <t>S</t>
        </is>
      </c>
      <c r="I2744" s="0">
        <v>45.99</v>
      </c>
      <c r="J2744" s="0">
        <v>35</v>
      </c>
    </row>
    <row r="2745" spans="1:10" customHeight="0">
      <c r="A2745" s="0">
        <f>HYPERLINK("https://dl.dropboxusercontent.com/scl/fi/t4ejoc41zoblw383skq07/110490-af.jpg?rlkey=xhlb9e3ka46b4vf6gmqkbb1c7&amp;dl=0","Click to download Image")</f>
      </c>
      <c r="B2745" s="0">
        <f>HYPERLINK("https://dl.dropboxusercontent.com/scl/fi/3e5kpj23d4u9jseeys92d/womens-hoodie-and-sweatshirt-size-chartselaina.jpg?rlkey=8oqg0m5ij5u3r6skgwbiylr8d&amp;dl=0","Click to download SizeChart")</f>
      </c>
      <c r="C2745" s="0" t="inlineStr">
        <is>
          <t>Elaina Women's Hoodie</t>
        </is>
      </c>
      <c r="D2745" s="0" t="inlineStr">
        <is>
          <t>'110490</t>
        </is>
      </c>
      <c r="E2745" s="0" t="inlineStr">
        <is>
          <t>IOWA ELAINA BLACK:110490B-M</t>
        </is>
      </c>
      <c r="F2745" s="0" t="inlineStr">
        <is>
          <t>'800110490025</t>
        </is>
      </c>
      <c r="G2745" s="0" t="inlineStr">
        <is>
          <t>WOMENS</t>
        </is>
      </c>
      <c r="H2745" s="0" t="inlineStr">
        <is>
          <t>M</t>
        </is>
      </c>
      <c r="I2745" s="0">
        <v>45.99</v>
      </c>
      <c r="J2745" s="0">
        <v>74</v>
      </c>
    </row>
    <row r="2746" spans="1:10" customHeight="0">
      <c r="A2746" s="0">
        <f>HYPERLINK("https://dl.dropboxusercontent.com/scl/fi/t4ejoc41zoblw383skq07/110490-af.jpg?rlkey=xhlb9e3ka46b4vf6gmqkbb1c7&amp;dl=0","Click to download Image")</f>
      </c>
      <c r="B2746" s="0">
        <f>HYPERLINK("https://dl.dropboxusercontent.com/scl/fi/3e5kpj23d4u9jseeys92d/womens-hoodie-and-sweatshirt-size-chartselaina.jpg?rlkey=8oqg0m5ij5u3r6skgwbiylr8d&amp;dl=0","Click to download SizeChart")</f>
      </c>
      <c r="C2746" s="0" t="inlineStr">
        <is>
          <t>Elaina Women's Hoodie</t>
        </is>
      </c>
      <c r="D2746" s="0" t="inlineStr">
        <is>
          <t>'110490</t>
        </is>
      </c>
      <c r="E2746" s="0" t="inlineStr">
        <is>
          <t>IOWA ELAINA BLACK:110490C-L</t>
        </is>
      </c>
      <c r="F2746" s="0" t="inlineStr">
        <is>
          <t>'800110490032</t>
        </is>
      </c>
      <c r="G2746" s="0" t="inlineStr">
        <is>
          <t>WOMENS</t>
        </is>
      </c>
      <c r="H2746" s="0" t="inlineStr">
        <is>
          <t>L</t>
        </is>
      </c>
      <c r="I2746" s="0">
        <v>45.99</v>
      </c>
      <c r="J2746" s="0">
        <v>79</v>
      </c>
    </row>
    <row r="2747" spans="1:10" customHeight="0">
      <c r="A2747" s="0">
        <f>HYPERLINK("https://dl.dropboxusercontent.com/scl/fi/t4ejoc41zoblw383skq07/110490-af.jpg?rlkey=xhlb9e3ka46b4vf6gmqkbb1c7&amp;dl=0","Click to download Image")</f>
      </c>
      <c r="B2747" s="0">
        <f>HYPERLINK("https://dl.dropboxusercontent.com/scl/fi/3e5kpj23d4u9jseeys92d/womens-hoodie-and-sweatshirt-size-chartselaina.jpg?rlkey=8oqg0m5ij5u3r6skgwbiylr8d&amp;dl=0","Click to download SizeChart")</f>
      </c>
      <c r="C2747" s="0" t="inlineStr">
        <is>
          <t>Elaina Women's Hoodie</t>
        </is>
      </c>
      <c r="D2747" s="0" t="inlineStr">
        <is>
          <t>'110490</t>
        </is>
      </c>
      <c r="E2747" s="0" t="inlineStr">
        <is>
          <t>IOWA ELAINA BLACK:110490D-XL</t>
        </is>
      </c>
      <c r="F2747" s="0" t="inlineStr">
        <is>
          <t>'800110490070</t>
        </is>
      </c>
      <c r="G2747" s="0" t="inlineStr">
        <is>
          <t>WOMENS</t>
        </is>
      </c>
      <c r="H2747" s="0" t="inlineStr">
        <is>
          <t>XL</t>
        </is>
      </c>
      <c r="I2747" s="0">
        <v>45.99</v>
      </c>
      <c r="J2747" s="0">
        <v>26</v>
      </c>
    </row>
    <row r="2748" spans="1:10" customHeight="0">
      <c r="A2748" s="0">
        <f>HYPERLINK("https://dl.dropboxusercontent.com/scl/fi/t4ejoc41zoblw383skq07/110490-af.jpg?rlkey=xhlb9e3ka46b4vf6gmqkbb1c7&amp;dl=0","Click to download Image")</f>
      </c>
      <c r="B2748" s="0">
        <f>HYPERLINK("https://dl.dropboxusercontent.com/scl/fi/3e5kpj23d4u9jseeys92d/womens-hoodie-and-sweatshirt-size-chartselaina.jpg?rlkey=8oqg0m5ij5u3r6skgwbiylr8d&amp;dl=0","Click to download SizeChart")</f>
      </c>
      <c r="C2748" s="0" t="inlineStr">
        <is>
          <t>Elaina Women's Hoodie</t>
        </is>
      </c>
      <c r="D2748" s="0" t="inlineStr">
        <is>
          <t>'110490</t>
        </is>
      </c>
      <c r="E2748" s="0" t="inlineStr">
        <is>
          <t>IOWA ELAINA BLACK:110490E-2XL</t>
        </is>
      </c>
      <c r="F2748" s="0" t="inlineStr">
        <is>
          <t>'800110490087</t>
        </is>
      </c>
      <c r="G2748" s="0" t="inlineStr">
        <is>
          <t>WOMENS</t>
        </is>
      </c>
      <c r="H2748" s="0" t="inlineStr">
        <is>
          <t>2XL</t>
        </is>
      </c>
      <c r="I2748" s="0">
        <v>47.99</v>
      </c>
      <c r="J2748" s="0">
        <v>13</v>
      </c>
    </row>
    <row r="2749" spans="1:10" customHeight="0">
      <c r="A2749" s="0">
        <f>HYPERLINK("https://dl.dropboxusercontent.com/scl/fi/t4ejoc41zoblw383skq07/110490-af.jpg?rlkey=xhlb9e3ka46b4vf6gmqkbb1c7&amp;dl=0","Click to download Image")</f>
      </c>
      <c r="B2749" s="0">
        <f>HYPERLINK("https://dl.dropboxusercontent.com/scl/fi/3e5kpj23d4u9jseeys92d/womens-hoodie-and-sweatshirt-size-chartselaina.jpg?rlkey=8oqg0m5ij5u3r6skgwbiylr8d&amp;dl=0","Click to download SizeChart")</f>
      </c>
      <c r="C2749" s="0" t="inlineStr">
        <is>
          <t>Elaina Women's Hoodie</t>
        </is>
      </c>
      <c r="D2749" s="0" t="inlineStr">
        <is>
          <t>'110490</t>
        </is>
      </c>
      <c r="E2749" s="0" t="inlineStr">
        <is>
          <t>IOWA ELAINA BLACK:110490F-3XL</t>
        </is>
      </c>
      <c r="F2749" s="0" t="inlineStr">
        <is>
          <t>'800110490094</t>
        </is>
      </c>
      <c r="G2749" s="0" t="inlineStr">
        <is>
          <t>WOMENS</t>
        </is>
      </c>
      <c r="H2749" s="0" t="inlineStr">
        <is>
          <t>3XL</t>
        </is>
      </c>
      <c r="I2749" s="0">
        <v>47.99</v>
      </c>
      <c r="J2749" s="0">
        <v>9</v>
      </c>
    </row>
    <row r="2750" spans="1:10" customHeight="0">
      <c r="A2750" s="0">
        <f>HYPERLINK("https://dl.dropboxusercontent.com/scl/fi/t4ejoc41zoblw383skq07/110490-af.jpg?rlkey=xhlb9e3ka46b4vf6gmqkbb1c7&amp;dl=0","Click to download Image")</f>
      </c>
      <c r="B2750" s="0">
        <f>HYPERLINK("https://dl.dropboxusercontent.com/scl/fi/3e5kpj23d4u9jseeys92d/womens-hoodie-and-sweatshirt-size-chartselaina.jpg?rlkey=8oqg0m5ij5u3r6skgwbiylr8d&amp;dl=0","Click to download SizeChart")</f>
      </c>
      <c r="C2750" s="0" t="inlineStr">
        <is>
          <t>Elaina Women's Hoodie</t>
        </is>
      </c>
      <c r="D2750" s="0" t="inlineStr">
        <is>
          <t>'110490</t>
        </is>
      </c>
      <c r="E2750" s="0" t="inlineStr">
        <is>
          <t>IOWA ELAINA BLACK 12 PACK:110490Z-12PK</t>
        </is>
      </c>
      <c r="F2750" s="0" t="inlineStr">
        <is>
          <t>'800110490995</t>
        </is>
      </c>
      <c r="G2750" s="0" t="inlineStr">
        <is>
          <t>WOMENS</t>
        </is>
      </c>
      <c r="H2750" s="0" t="inlineStr">
        <is>
          <t>12 PACK</t>
        </is>
      </c>
      <c r="I2750" s="0">
        <v>480</v>
      </c>
      <c r="J2750" s="0">
        <v>0</v>
      </c>
    </row>
    <row r="2751" spans="1:10" customHeight="0">
      <c r="A2751" s="0">
        <f>HYPERLINK("https://dl.dropboxusercontent.com/scl/fi/t5eyixhnsjr33ahbhbe8q/elainauni75240.jpg?rlkey=fw4jm3jbbj3ez84q6qjfka7uv&amp;dl=0","Click to download Image")</f>
      </c>
      <c r="B2751" s="0">
        <f>HYPERLINK("https://dl.dropboxusercontent.com/scl/fi/3e5kpj23d4u9jseeys92d/womens-hoodie-and-sweatshirt-size-chartselaina.jpg?rlkey=8oqg0m5ij5u3r6skgwbiylr8d&amp;dl=0","Click to download SizeChart")</f>
      </c>
      <c r="C2751" s="0" t="inlineStr">
        <is>
          <t>Elaina Women's Hoodie</t>
        </is>
      </c>
      <c r="D2751" s="0" t="inlineStr">
        <is>
          <t>'111673</t>
        </is>
      </c>
      <c r="E2751" s="0" t="inlineStr">
        <is>
          <t>UNI ELAINA GREY:111673A-S</t>
        </is>
      </c>
      <c r="F2751" s="0" t="inlineStr">
        <is>
          <t>'802111673049</t>
        </is>
      </c>
      <c r="G2751" s="0" t="inlineStr">
        <is>
          <t>WOMENS</t>
        </is>
      </c>
      <c r="H2751" s="0" t="inlineStr">
        <is>
          <t>S</t>
        </is>
      </c>
      <c r="I2751" s="0">
        <v>45.99</v>
      </c>
      <c r="J2751" s="0">
        <v>12</v>
      </c>
    </row>
    <row r="2752" spans="1:10" customHeight="0">
      <c r="A2752" s="0">
        <f>HYPERLINK("https://dl.dropboxusercontent.com/scl/fi/t5eyixhnsjr33ahbhbe8q/elainauni75240.jpg?rlkey=fw4jm3jbbj3ez84q6qjfka7uv&amp;dl=0","Click to download Image")</f>
      </c>
      <c r="B2752" s="0">
        <f>HYPERLINK("https://dl.dropboxusercontent.com/scl/fi/3e5kpj23d4u9jseeys92d/womens-hoodie-and-sweatshirt-size-chartselaina.jpg?rlkey=8oqg0m5ij5u3r6skgwbiylr8d&amp;dl=0","Click to download SizeChart")</f>
      </c>
      <c r="C2752" s="0" t="inlineStr">
        <is>
          <t>Elaina Women's Hoodie</t>
        </is>
      </c>
      <c r="D2752" s="0" t="inlineStr">
        <is>
          <t>'111673</t>
        </is>
      </c>
      <c r="E2752" s="0" t="inlineStr">
        <is>
          <t>UNI ELAINA GREY:111673B-M</t>
        </is>
      </c>
      <c r="F2752" s="0" t="inlineStr">
        <is>
          <t>'802111673056</t>
        </is>
      </c>
      <c r="G2752" s="0" t="inlineStr">
        <is>
          <t>WOMENS</t>
        </is>
      </c>
      <c r="H2752" s="0" t="inlineStr">
        <is>
          <t>M</t>
        </is>
      </c>
      <c r="I2752" s="0">
        <v>45.99</v>
      </c>
      <c r="J2752" s="0">
        <v>24</v>
      </c>
    </row>
    <row r="2753" spans="1:10" customHeight="0">
      <c r="A2753" s="0">
        <f>HYPERLINK("https://dl.dropboxusercontent.com/scl/fi/t5eyixhnsjr33ahbhbe8q/elainauni75240.jpg?rlkey=fw4jm3jbbj3ez84q6qjfka7uv&amp;dl=0","Click to download Image")</f>
      </c>
      <c r="B2753" s="0">
        <f>HYPERLINK("https://dl.dropboxusercontent.com/scl/fi/3e5kpj23d4u9jseeys92d/womens-hoodie-and-sweatshirt-size-chartselaina.jpg?rlkey=8oqg0m5ij5u3r6skgwbiylr8d&amp;dl=0","Click to download SizeChart")</f>
      </c>
      <c r="C2753" s="0" t="inlineStr">
        <is>
          <t>Elaina Women's Hoodie</t>
        </is>
      </c>
      <c r="D2753" s="0" t="inlineStr">
        <is>
          <t>'111673</t>
        </is>
      </c>
      <c r="E2753" s="0" t="inlineStr">
        <is>
          <t>UNI ELAINA GREY:111673C-L</t>
        </is>
      </c>
      <c r="F2753" s="0" t="inlineStr">
        <is>
          <t>'802111673063</t>
        </is>
      </c>
      <c r="G2753" s="0" t="inlineStr">
        <is>
          <t>WOMENS</t>
        </is>
      </c>
      <c r="H2753" s="0" t="inlineStr">
        <is>
          <t>L</t>
        </is>
      </c>
      <c r="I2753" s="0">
        <v>45.99</v>
      </c>
      <c r="J2753" s="0">
        <v>23</v>
      </c>
    </row>
    <row r="2754" spans="1:10" customHeight="0">
      <c r="A2754" s="0">
        <f>HYPERLINK("https://dl.dropboxusercontent.com/scl/fi/t5eyixhnsjr33ahbhbe8q/elainauni75240.jpg?rlkey=fw4jm3jbbj3ez84q6qjfka7uv&amp;dl=0","Click to download Image")</f>
      </c>
      <c r="B2754" s="0">
        <f>HYPERLINK("https://dl.dropboxusercontent.com/scl/fi/3e5kpj23d4u9jseeys92d/womens-hoodie-and-sweatshirt-size-chartselaina.jpg?rlkey=8oqg0m5ij5u3r6skgwbiylr8d&amp;dl=0","Click to download SizeChart")</f>
      </c>
      <c r="C2754" s="0" t="inlineStr">
        <is>
          <t>Elaina Women's Hoodie</t>
        </is>
      </c>
      <c r="D2754" s="0" t="inlineStr">
        <is>
          <t>'111673</t>
        </is>
      </c>
      <c r="E2754" s="0" t="inlineStr">
        <is>
          <t>UNI ELAINA GREY:111673D-XL</t>
        </is>
      </c>
      <c r="F2754" s="0" t="inlineStr">
        <is>
          <t>'802111673070</t>
        </is>
      </c>
      <c r="G2754" s="0" t="inlineStr">
        <is>
          <t>WOMENS</t>
        </is>
      </c>
      <c r="H2754" s="0" t="inlineStr">
        <is>
          <t>XL</t>
        </is>
      </c>
      <c r="I2754" s="0">
        <v>45.99</v>
      </c>
      <c r="J2754" s="0">
        <v>11</v>
      </c>
    </row>
    <row r="2755" spans="1:10" customHeight="0">
      <c r="A2755" s="0">
        <f>HYPERLINK("https://dl.dropboxusercontent.com/scl/fi/t5eyixhnsjr33ahbhbe8q/elainauni75240.jpg?rlkey=fw4jm3jbbj3ez84q6qjfka7uv&amp;dl=0","Click to download Image")</f>
      </c>
      <c r="B2755" s="0">
        <f>HYPERLINK("https://dl.dropboxusercontent.com/scl/fi/3e5kpj23d4u9jseeys92d/womens-hoodie-and-sweatshirt-size-chartselaina.jpg?rlkey=8oqg0m5ij5u3r6skgwbiylr8d&amp;dl=0","Click to download SizeChart")</f>
      </c>
      <c r="C2755" s="0" t="inlineStr">
        <is>
          <t>Elaina Women's Hoodie</t>
        </is>
      </c>
      <c r="D2755" s="0" t="inlineStr">
        <is>
          <t>'111673</t>
        </is>
      </c>
      <c r="E2755" s="0" t="inlineStr">
        <is>
          <t>UNI ELAINA GREY:111673E-2XL</t>
        </is>
      </c>
      <c r="F2755" s="0" t="inlineStr">
        <is>
          <t>'802111673087</t>
        </is>
      </c>
      <c r="G2755" s="0" t="inlineStr">
        <is>
          <t>WOMENS</t>
        </is>
      </c>
      <c r="H2755" s="0" t="inlineStr">
        <is>
          <t>2XL</t>
        </is>
      </c>
      <c r="I2755" s="0">
        <v>47.99</v>
      </c>
      <c r="J2755" s="0">
        <v>6</v>
      </c>
    </row>
    <row r="2756" spans="1:10" customHeight="0">
      <c r="A2756" s="0">
        <f>HYPERLINK("https://dl.dropboxusercontent.com/scl/fi/t5eyixhnsjr33ahbhbe8q/elainauni75240.jpg?rlkey=fw4jm3jbbj3ez84q6qjfka7uv&amp;dl=0","Click to download Image")</f>
      </c>
      <c r="B2756" s="0">
        <f>HYPERLINK("https://dl.dropboxusercontent.com/scl/fi/3e5kpj23d4u9jseeys92d/womens-hoodie-and-sweatshirt-size-chartselaina.jpg?rlkey=8oqg0m5ij5u3r6skgwbiylr8d&amp;dl=0","Click to download SizeChart")</f>
      </c>
      <c r="C2756" s="0" t="inlineStr">
        <is>
          <t>Elaina Women's Hoodie</t>
        </is>
      </c>
      <c r="D2756" s="0" t="inlineStr">
        <is>
          <t>'111673</t>
        </is>
      </c>
      <c r="E2756" s="0" t="inlineStr">
        <is>
          <t>UNI ELAINA GREY:111673F-3XL</t>
        </is>
      </c>
      <c r="F2756" s="0" t="inlineStr">
        <is>
          <t>'802111673094</t>
        </is>
      </c>
      <c r="G2756" s="0" t="inlineStr">
        <is>
          <t>WOMENS</t>
        </is>
      </c>
      <c r="H2756" s="0" t="inlineStr">
        <is>
          <t>3XL</t>
        </is>
      </c>
      <c r="I2756" s="0">
        <v>47.99</v>
      </c>
      <c r="J2756" s="0">
        <v>3</v>
      </c>
    </row>
    <row r="2757" spans="1:10" customHeight="0">
      <c r="A2757" s="0">
        <f>HYPERLINK("https://dl.dropboxusercontent.com/scl/fi/t5eyixhnsjr33ahbhbe8q/elainauni75240.jpg?rlkey=fw4jm3jbbj3ez84q6qjfka7uv&amp;dl=0","Click to download Image")</f>
      </c>
      <c r="B2757" s="0">
        <f>HYPERLINK("https://dl.dropboxusercontent.com/scl/fi/3e5kpj23d4u9jseeys92d/womens-hoodie-and-sweatshirt-size-chartselaina.jpg?rlkey=8oqg0m5ij5u3r6skgwbiylr8d&amp;dl=0","Click to download SizeChart")</f>
      </c>
      <c r="C2757" s="0" t="inlineStr">
        <is>
          <t>Elaina Women's Hoodie</t>
        </is>
      </c>
      <c r="D2757" s="0" t="inlineStr">
        <is>
          <t>'111673</t>
        </is>
      </c>
      <c r="E2757" s="0" t="inlineStr">
        <is>
          <t>UNI ELAINA 12 PACK:111673Z-12PK</t>
        </is>
      </c>
      <c r="F2757" s="0" t="inlineStr">
        <is>
          <t>'802111673995</t>
        </is>
      </c>
      <c r="G2757" s="0" t="inlineStr">
        <is>
          <t>WOMENS</t>
        </is>
      </c>
      <c r="H2757" s="0" t="inlineStr">
        <is>
          <t>12 PACK</t>
        </is>
      </c>
      <c r="I2757" s="0">
        <v>480</v>
      </c>
      <c r="J2757" s="0">
        <v>0</v>
      </c>
    </row>
    <row r="2758" spans="1:10" customHeight="0">
      <c r="A2758" s="0">
        <f>HYPERLINK("https://dl.dropboxusercontent.com/scl/fi/hbkee92p906mn2j7luxrc/111672-af.jpg?rlkey=uqgnll9pwt9cvlqittvt4290u&amp;dl=0","Click to download Image")</f>
      </c>
      <c r="B2758" s="0">
        <f>HYPERLINK("https://dl.dropboxusercontent.com/scl/fi/3e5kpj23d4u9jseeys92d/womens-hoodie-and-sweatshirt-size-chartselaina.jpg?rlkey=8oqg0m5ij5u3r6skgwbiylr8d&amp;dl=0","Click to download SizeChart")</f>
      </c>
      <c r="C2758" s="0" t="inlineStr">
        <is>
          <t>Elaina Women's Hoodie</t>
        </is>
      </c>
      <c r="D2758" s="0" t="inlineStr">
        <is>
          <t>'111672</t>
        </is>
      </c>
      <c r="E2758" s="0" t="inlineStr">
        <is>
          <t>ISU ELAINA GREY:111672A-S</t>
        </is>
      </c>
      <c r="F2758" s="0" t="inlineStr">
        <is>
          <t>'801111672045</t>
        </is>
      </c>
      <c r="G2758" s="0" t="inlineStr">
        <is>
          <t>WOMENS</t>
        </is>
      </c>
      <c r="H2758" s="0" t="inlineStr">
        <is>
          <t>S</t>
        </is>
      </c>
      <c r="I2758" s="0">
        <v>45.99</v>
      </c>
      <c r="J2758" s="0">
        <v>19</v>
      </c>
    </row>
    <row r="2759" spans="1:10" customHeight="0">
      <c r="A2759" s="0">
        <f>HYPERLINK("https://dl.dropboxusercontent.com/scl/fi/hbkee92p906mn2j7luxrc/111672-af.jpg?rlkey=uqgnll9pwt9cvlqittvt4290u&amp;dl=0","Click to download Image")</f>
      </c>
      <c r="B2759" s="0">
        <f>HYPERLINK("https://dl.dropboxusercontent.com/scl/fi/3e5kpj23d4u9jseeys92d/womens-hoodie-and-sweatshirt-size-chartselaina.jpg?rlkey=8oqg0m5ij5u3r6skgwbiylr8d&amp;dl=0","Click to download SizeChart")</f>
      </c>
      <c r="C2759" s="0" t="inlineStr">
        <is>
          <t>Elaina Women's Hoodie</t>
        </is>
      </c>
      <c r="D2759" s="0" t="inlineStr">
        <is>
          <t>'111672</t>
        </is>
      </c>
      <c r="E2759" s="0" t="inlineStr">
        <is>
          <t>ISU ELAINA GREY:111672B-M</t>
        </is>
      </c>
      <c r="F2759" s="0" t="inlineStr">
        <is>
          <t>'801111672052</t>
        </is>
      </c>
      <c r="G2759" s="0" t="inlineStr">
        <is>
          <t>WOMENS</t>
        </is>
      </c>
      <c r="H2759" s="0" t="inlineStr">
        <is>
          <t>M</t>
        </is>
      </c>
      <c r="I2759" s="0">
        <v>45.99</v>
      </c>
      <c r="J2759" s="0">
        <v>42</v>
      </c>
    </row>
    <row r="2760" spans="1:10" customHeight="0">
      <c r="A2760" s="0">
        <f>HYPERLINK("https://dl.dropboxusercontent.com/scl/fi/hbkee92p906mn2j7luxrc/111672-af.jpg?rlkey=uqgnll9pwt9cvlqittvt4290u&amp;dl=0","Click to download Image")</f>
      </c>
      <c r="B2760" s="0">
        <f>HYPERLINK("https://dl.dropboxusercontent.com/scl/fi/3e5kpj23d4u9jseeys92d/womens-hoodie-and-sweatshirt-size-chartselaina.jpg?rlkey=8oqg0m5ij5u3r6skgwbiylr8d&amp;dl=0","Click to download SizeChart")</f>
      </c>
      <c r="C2760" s="0" t="inlineStr">
        <is>
          <t>Elaina Women's Hoodie</t>
        </is>
      </c>
      <c r="D2760" s="0" t="inlineStr">
        <is>
          <t>'111672</t>
        </is>
      </c>
      <c r="E2760" s="0" t="inlineStr">
        <is>
          <t>ISU ELAINA GREY:111672C-L</t>
        </is>
      </c>
      <c r="F2760" s="0" t="inlineStr">
        <is>
          <t>'801111672069</t>
        </is>
      </c>
      <c r="G2760" s="0" t="inlineStr">
        <is>
          <t>WOMENS</t>
        </is>
      </c>
      <c r="H2760" s="0" t="inlineStr">
        <is>
          <t>L</t>
        </is>
      </c>
      <c r="I2760" s="0">
        <v>45.99</v>
      </c>
      <c r="J2760" s="0">
        <v>41</v>
      </c>
    </row>
    <row r="2761" spans="1:10" customHeight="0">
      <c r="A2761" s="0">
        <f>HYPERLINK("https://dl.dropboxusercontent.com/scl/fi/hbkee92p906mn2j7luxrc/111672-af.jpg?rlkey=uqgnll9pwt9cvlqittvt4290u&amp;dl=0","Click to download Image")</f>
      </c>
      <c r="B2761" s="0">
        <f>HYPERLINK("https://dl.dropboxusercontent.com/scl/fi/3e5kpj23d4u9jseeys92d/womens-hoodie-and-sweatshirt-size-chartselaina.jpg?rlkey=8oqg0m5ij5u3r6skgwbiylr8d&amp;dl=0","Click to download SizeChart")</f>
      </c>
      <c r="C2761" s="0" t="inlineStr">
        <is>
          <t>Elaina Women's Hoodie</t>
        </is>
      </c>
      <c r="D2761" s="0" t="inlineStr">
        <is>
          <t>'111672</t>
        </is>
      </c>
      <c r="E2761" s="0" t="inlineStr">
        <is>
          <t>ISU ELAINA GREY:111672D-XL</t>
        </is>
      </c>
      <c r="F2761" s="0" t="inlineStr">
        <is>
          <t>'801111672076</t>
        </is>
      </c>
      <c r="G2761" s="0" t="inlineStr">
        <is>
          <t>WOMENS</t>
        </is>
      </c>
      <c r="H2761" s="0" t="inlineStr">
        <is>
          <t>XL</t>
        </is>
      </c>
      <c r="I2761" s="0">
        <v>45.99</v>
      </c>
      <c r="J2761" s="0">
        <v>18</v>
      </c>
    </row>
    <row r="2762" spans="1:10" customHeight="0">
      <c r="A2762" s="0">
        <f>HYPERLINK("https://dl.dropboxusercontent.com/scl/fi/hbkee92p906mn2j7luxrc/111672-af.jpg?rlkey=uqgnll9pwt9cvlqittvt4290u&amp;dl=0","Click to download Image")</f>
      </c>
      <c r="B2762" s="0">
        <f>HYPERLINK("https://dl.dropboxusercontent.com/scl/fi/3e5kpj23d4u9jseeys92d/womens-hoodie-and-sweatshirt-size-chartselaina.jpg?rlkey=8oqg0m5ij5u3r6skgwbiylr8d&amp;dl=0","Click to download SizeChart")</f>
      </c>
      <c r="C2762" s="0" t="inlineStr">
        <is>
          <t>Elaina Women's Hoodie</t>
        </is>
      </c>
      <c r="D2762" s="0" t="inlineStr">
        <is>
          <t>'111672</t>
        </is>
      </c>
      <c r="E2762" s="0" t="inlineStr">
        <is>
          <t>ISU ELAINA GREY:111672E-2XL</t>
        </is>
      </c>
      <c r="F2762" s="0" t="inlineStr">
        <is>
          <t>'801111672083</t>
        </is>
      </c>
      <c r="G2762" s="0" t="inlineStr">
        <is>
          <t>WOMENS</t>
        </is>
      </c>
      <c r="H2762" s="0" t="inlineStr">
        <is>
          <t>2XL</t>
        </is>
      </c>
      <c r="I2762" s="0">
        <v>47.99</v>
      </c>
      <c r="J2762" s="0">
        <v>11</v>
      </c>
    </row>
    <row r="2763" spans="1:10" customHeight="0">
      <c r="A2763" s="0">
        <f>HYPERLINK("https://dl.dropboxusercontent.com/scl/fi/hbkee92p906mn2j7luxrc/111672-af.jpg?rlkey=uqgnll9pwt9cvlqittvt4290u&amp;dl=0","Click to download Image")</f>
      </c>
      <c r="B2763" s="0">
        <f>HYPERLINK("https://dl.dropboxusercontent.com/scl/fi/3e5kpj23d4u9jseeys92d/womens-hoodie-and-sweatshirt-size-chartselaina.jpg?rlkey=8oqg0m5ij5u3r6skgwbiylr8d&amp;dl=0","Click to download SizeChart")</f>
      </c>
      <c r="C2763" s="0" t="inlineStr">
        <is>
          <t>Elaina Women's Hoodie</t>
        </is>
      </c>
      <c r="D2763" s="0" t="inlineStr">
        <is>
          <t>'111672</t>
        </is>
      </c>
      <c r="E2763" s="0" t="inlineStr">
        <is>
          <t>ISU ELAINA GREY:111672F-3XL</t>
        </is>
      </c>
      <c r="F2763" s="0" t="inlineStr">
        <is>
          <t>'801111672090</t>
        </is>
      </c>
      <c r="G2763" s="0" t="inlineStr">
        <is>
          <t>WOMENS</t>
        </is>
      </c>
      <c r="H2763" s="0" t="inlineStr">
        <is>
          <t>3XL</t>
        </is>
      </c>
      <c r="I2763" s="0">
        <v>47.99</v>
      </c>
      <c r="J2763" s="0">
        <v>5</v>
      </c>
    </row>
    <row r="2764" spans="1:10" customHeight="0">
      <c r="A2764" s="0">
        <f>HYPERLINK("https://dl.dropboxusercontent.com/scl/fi/hbkee92p906mn2j7luxrc/111672-af.jpg?rlkey=uqgnll9pwt9cvlqittvt4290u&amp;dl=0","Click to download Image")</f>
      </c>
      <c r="B2764" s="0">
        <f>HYPERLINK("https://dl.dropboxusercontent.com/scl/fi/3e5kpj23d4u9jseeys92d/womens-hoodie-and-sweatshirt-size-chartselaina.jpg?rlkey=8oqg0m5ij5u3r6skgwbiylr8d&amp;dl=0","Click to download SizeChart")</f>
      </c>
      <c r="C2764" s="0" t="inlineStr">
        <is>
          <t>Elaina Women's Hoodie</t>
        </is>
      </c>
      <c r="D2764" s="0" t="inlineStr">
        <is>
          <t>'111672</t>
        </is>
      </c>
      <c r="E2764" s="0" t="inlineStr">
        <is>
          <t>ISU ELAINA GREY 12 PACK:111672Z-12PK</t>
        </is>
      </c>
      <c r="F2764" s="0" t="inlineStr">
        <is>
          <t>'801111672991</t>
        </is>
      </c>
      <c r="G2764" s="0" t="inlineStr">
        <is>
          <t>WOMENS</t>
        </is>
      </c>
      <c r="H2764" s="0" t="inlineStr">
        <is>
          <t>12 PACK</t>
        </is>
      </c>
      <c r="I2764" s="0">
        <v>480</v>
      </c>
      <c r="J2764" s="0">
        <v>0</v>
      </c>
    </row>
    <row r="2765" spans="1:10" customHeight="0">
      <c r="A2765" s="0">
        <f>HYPERLINK("https://dl.dropboxusercontent.com/scl/fi/fqeil76yo2tsstwfoo52m/111671-af.jpg?rlkey=ms5y176i82wg77nhuzxq182rs&amp;dl=0","Click to download Image")</f>
      </c>
      <c r="B2765" s="0">
        <f>HYPERLINK("https://dl.dropboxusercontent.com/scl/fi/3e5kpj23d4u9jseeys92d/womens-hoodie-and-sweatshirt-size-chartselaina.jpg?rlkey=8oqg0m5ij5u3r6skgwbiylr8d&amp;dl=0","Click to download SizeChart")</f>
      </c>
      <c r="C2765" s="0" t="inlineStr">
        <is>
          <t>Elaina Women's Hoodie</t>
        </is>
      </c>
      <c r="D2765" s="0" t="inlineStr">
        <is>
          <t>'111671</t>
        </is>
      </c>
      <c r="E2765" s="0" t="inlineStr">
        <is>
          <t>IOWA ELAINA GREY:111671A-S</t>
        </is>
      </c>
      <c r="F2765" s="0" t="inlineStr">
        <is>
          <t>'800111671041</t>
        </is>
      </c>
      <c r="G2765" s="0" t="inlineStr">
        <is>
          <t>WOMENS</t>
        </is>
      </c>
      <c r="H2765" s="0" t="inlineStr">
        <is>
          <t>S</t>
        </is>
      </c>
      <c r="I2765" s="0">
        <v>45.99</v>
      </c>
      <c r="J2765" s="0">
        <v>15</v>
      </c>
    </row>
    <row r="2766" spans="1:10" customHeight="0">
      <c r="A2766" s="0">
        <f>HYPERLINK("https://dl.dropboxusercontent.com/scl/fi/fqeil76yo2tsstwfoo52m/111671-af.jpg?rlkey=ms5y176i82wg77nhuzxq182rs&amp;dl=0","Click to download Image")</f>
      </c>
      <c r="B2766" s="0">
        <f>HYPERLINK("https://dl.dropboxusercontent.com/scl/fi/3e5kpj23d4u9jseeys92d/womens-hoodie-and-sweatshirt-size-chartselaina.jpg?rlkey=8oqg0m5ij5u3r6skgwbiylr8d&amp;dl=0","Click to download SizeChart")</f>
      </c>
      <c r="C2766" s="0" t="inlineStr">
        <is>
          <t>Elaina Women's Hoodie</t>
        </is>
      </c>
      <c r="D2766" s="0" t="inlineStr">
        <is>
          <t>'111671</t>
        </is>
      </c>
      <c r="E2766" s="0" t="inlineStr">
        <is>
          <t>IOWA ELAINA GREY:111671B-M</t>
        </is>
      </c>
      <c r="F2766" s="0" t="inlineStr">
        <is>
          <t>'800111671058</t>
        </is>
      </c>
      <c r="G2766" s="0" t="inlineStr">
        <is>
          <t>WOMENS</t>
        </is>
      </c>
      <c r="H2766" s="0" t="inlineStr">
        <is>
          <t>M</t>
        </is>
      </c>
      <c r="I2766" s="0">
        <v>45.99</v>
      </c>
      <c r="J2766" s="0">
        <v>37</v>
      </c>
    </row>
    <row r="2767" spans="1:10" customHeight="0">
      <c r="A2767" s="0">
        <f>HYPERLINK("https://dl.dropboxusercontent.com/scl/fi/fqeil76yo2tsstwfoo52m/111671-af.jpg?rlkey=ms5y176i82wg77nhuzxq182rs&amp;dl=0","Click to download Image")</f>
      </c>
      <c r="B2767" s="0">
        <f>HYPERLINK("https://dl.dropboxusercontent.com/scl/fi/3e5kpj23d4u9jseeys92d/womens-hoodie-and-sweatshirt-size-chartselaina.jpg?rlkey=8oqg0m5ij5u3r6skgwbiylr8d&amp;dl=0","Click to download SizeChart")</f>
      </c>
      <c r="C2767" s="0" t="inlineStr">
        <is>
          <t>Elaina Women's Hoodie</t>
        </is>
      </c>
      <c r="D2767" s="0" t="inlineStr">
        <is>
          <t>'111671</t>
        </is>
      </c>
      <c r="E2767" s="0" t="inlineStr">
        <is>
          <t>IOWA ELAINA GREY:111671C-L</t>
        </is>
      </c>
      <c r="F2767" s="0" t="inlineStr">
        <is>
          <t>'800111671065</t>
        </is>
      </c>
      <c r="G2767" s="0" t="inlineStr">
        <is>
          <t>WOMENS</t>
        </is>
      </c>
      <c r="H2767" s="0" t="inlineStr">
        <is>
          <t>L</t>
        </is>
      </c>
      <c r="I2767" s="0">
        <v>45.99</v>
      </c>
      <c r="J2767" s="0">
        <v>36</v>
      </c>
    </row>
    <row r="2768" spans="1:10" customHeight="0">
      <c r="A2768" s="0">
        <f>HYPERLINK("https://dl.dropboxusercontent.com/scl/fi/fqeil76yo2tsstwfoo52m/111671-af.jpg?rlkey=ms5y176i82wg77nhuzxq182rs&amp;dl=0","Click to download Image")</f>
      </c>
      <c r="B2768" s="0">
        <f>HYPERLINK("https://dl.dropboxusercontent.com/scl/fi/3e5kpj23d4u9jseeys92d/womens-hoodie-and-sweatshirt-size-chartselaina.jpg?rlkey=8oqg0m5ij5u3r6skgwbiylr8d&amp;dl=0","Click to download SizeChart")</f>
      </c>
      <c r="C2768" s="0" t="inlineStr">
        <is>
          <t>Elaina Women's Hoodie</t>
        </is>
      </c>
      <c r="D2768" s="0" t="inlineStr">
        <is>
          <t>'111671</t>
        </is>
      </c>
      <c r="E2768" s="0" t="inlineStr">
        <is>
          <t>IOWA ELAINA GREY:111671D-XL</t>
        </is>
      </c>
      <c r="F2768" s="0" t="inlineStr">
        <is>
          <t>'800111671072</t>
        </is>
      </c>
      <c r="G2768" s="0" t="inlineStr">
        <is>
          <t>WOMENS</t>
        </is>
      </c>
      <c r="H2768" s="0" t="inlineStr">
        <is>
          <t>XL</t>
        </is>
      </c>
      <c r="I2768" s="0">
        <v>45.99</v>
      </c>
      <c r="J2768" s="0">
        <v>14</v>
      </c>
    </row>
    <row r="2769" spans="1:10" customHeight="0">
      <c r="A2769" s="0">
        <f>HYPERLINK("https://dl.dropboxusercontent.com/scl/fi/fqeil76yo2tsstwfoo52m/111671-af.jpg?rlkey=ms5y176i82wg77nhuzxq182rs&amp;dl=0","Click to download Image")</f>
      </c>
      <c r="B2769" s="0">
        <f>HYPERLINK("https://dl.dropboxusercontent.com/scl/fi/3e5kpj23d4u9jseeys92d/womens-hoodie-and-sweatshirt-size-chartselaina.jpg?rlkey=8oqg0m5ij5u3r6skgwbiylr8d&amp;dl=0","Click to download SizeChart")</f>
      </c>
      <c r="C2769" s="0" t="inlineStr">
        <is>
          <t>Elaina Women's Hoodie</t>
        </is>
      </c>
      <c r="D2769" s="0" t="inlineStr">
        <is>
          <t>'111671</t>
        </is>
      </c>
      <c r="E2769" s="0" t="inlineStr">
        <is>
          <t>IOWA ELAINA GREY:111671E-2XL</t>
        </is>
      </c>
      <c r="F2769" s="0" t="inlineStr">
        <is>
          <t>'800111671089</t>
        </is>
      </c>
      <c r="G2769" s="0" t="inlineStr">
        <is>
          <t>WOMENS</t>
        </is>
      </c>
      <c r="H2769" s="0" t="inlineStr">
        <is>
          <t>2XL</t>
        </is>
      </c>
      <c r="I2769" s="0">
        <v>47.99</v>
      </c>
      <c r="J2769" s="0">
        <v>7</v>
      </c>
    </row>
    <row r="2770" spans="1:10" customHeight="0">
      <c r="A2770" s="0">
        <f>HYPERLINK("https://dl.dropboxusercontent.com/scl/fi/fqeil76yo2tsstwfoo52m/111671-af.jpg?rlkey=ms5y176i82wg77nhuzxq182rs&amp;dl=0","Click to download Image")</f>
      </c>
      <c r="B2770" s="0">
        <f>HYPERLINK("https://dl.dropboxusercontent.com/scl/fi/3e5kpj23d4u9jseeys92d/womens-hoodie-and-sweatshirt-size-chartselaina.jpg?rlkey=8oqg0m5ij5u3r6skgwbiylr8d&amp;dl=0","Click to download SizeChart")</f>
      </c>
      <c r="C2770" s="0" t="inlineStr">
        <is>
          <t>Elaina Women's Hoodie</t>
        </is>
      </c>
      <c r="D2770" s="0" t="inlineStr">
        <is>
          <t>'111671</t>
        </is>
      </c>
      <c r="E2770" s="0" t="inlineStr">
        <is>
          <t>IOWA ELAINA GREY:111671F-3XL</t>
        </is>
      </c>
      <c r="F2770" s="0" t="inlineStr">
        <is>
          <t>'800111671096</t>
        </is>
      </c>
      <c r="G2770" s="0" t="inlineStr">
        <is>
          <t>WOMENS</t>
        </is>
      </c>
      <c r="H2770" s="0" t="inlineStr">
        <is>
          <t>3XL</t>
        </is>
      </c>
      <c r="I2770" s="0">
        <v>47.99</v>
      </c>
      <c r="J2770" s="0">
        <v>3</v>
      </c>
    </row>
    <row r="2771" spans="1:10" customHeight="0">
      <c r="A2771" s="0">
        <f>HYPERLINK("https://dl.dropboxusercontent.com/scl/fi/fqeil76yo2tsstwfoo52m/111671-af.jpg?rlkey=ms5y176i82wg77nhuzxq182rs&amp;dl=0","Click to download Image")</f>
      </c>
      <c r="B2771" s="0">
        <f>HYPERLINK("https://dl.dropboxusercontent.com/scl/fi/3e5kpj23d4u9jseeys92d/womens-hoodie-and-sweatshirt-size-chartselaina.jpg?rlkey=8oqg0m5ij5u3r6skgwbiylr8d&amp;dl=0","Click to download SizeChart")</f>
      </c>
      <c r="C2771" s="0" t="inlineStr">
        <is>
          <t>Elaina Women's Hoodie</t>
        </is>
      </c>
      <c r="D2771" s="0" t="inlineStr">
        <is>
          <t>'111671</t>
        </is>
      </c>
      <c r="E2771" s="0" t="inlineStr">
        <is>
          <t>IOWA ELAINA GREY 12 PACK:111671Z-12PK</t>
        </is>
      </c>
      <c r="F2771" s="0" t="inlineStr">
        <is>
          <t>'800111671997</t>
        </is>
      </c>
      <c r="G2771" s="0" t="inlineStr">
        <is>
          <t>WOMENS</t>
        </is>
      </c>
      <c r="H2771" s="0" t="inlineStr">
        <is>
          <t>12 PACK</t>
        </is>
      </c>
      <c r="I2771" s="0">
        <v>480</v>
      </c>
      <c r="J2771" s="0">
        <v>0</v>
      </c>
    </row>
    <row r="2772" spans="1:10" customHeight="0">
      <c r="A2772" s="0">
        <f>HYPERLINK("https://dl.dropboxusercontent.com/scl/fi/3fveatmsk4jfpnpyb0esv/111634-af.jpg?rlkey=koj9gd3o5o7vmk0upiw79ftov&amp;dl=0","Click to download Image")</f>
      </c>
      <c r="B2772" s="0">
        <f>HYPERLINK("https://dl.dropboxusercontent.com/scl/fi/qh0l8sjlj2jupx3pfni9p/graphic-update2022-womens.jpg?rlkey=9mq6bj4hljiq08vzukyjl7568&amp;dl=0","Click to download SizeChart")</f>
      </c>
      <c r="C2772" s="0" t="inlineStr">
        <is>
          <t>Elizabeth Women's Off Shoulder Shirt</t>
        </is>
      </c>
      <c r="D2772" s="0" t="inlineStr">
        <is>
          <t>'111634</t>
        </is>
      </c>
      <c r="E2772" s="0" t="inlineStr">
        <is>
          <t>IOWA ELIZABETH BLACK:111634AA-XS</t>
        </is>
      </c>
      <c r="F2772" s="0" t="inlineStr">
        <is>
          <t>'800111634039</t>
        </is>
      </c>
      <c r="G2772" s="0" t="inlineStr">
        <is>
          <t>WOMENS</t>
        </is>
      </c>
      <c r="H2772" s="0" t="inlineStr">
        <is>
          <t>XS</t>
        </is>
      </c>
      <c r="I2772" s="0">
        <v>39.99</v>
      </c>
      <c r="J2772" s="0">
        <v>14</v>
      </c>
    </row>
    <row r="2773" spans="1:10" customHeight="0">
      <c r="A2773" s="0">
        <f>HYPERLINK("https://dl.dropboxusercontent.com/scl/fi/3fveatmsk4jfpnpyb0esv/111634-af.jpg?rlkey=koj9gd3o5o7vmk0upiw79ftov&amp;dl=0","Click to download Image")</f>
      </c>
      <c r="B2773" s="0">
        <f>HYPERLINK("https://dl.dropboxusercontent.com/scl/fi/qh0l8sjlj2jupx3pfni9p/graphic-update2022-womens.jpg?rlkey=9mq6bj4hljiq08vzukyjl7568&amp;dl=0","Click to download SizeChart")</f>
      </c>
      <c r="C2773" s="0" t="inlineStr">
        <is>
          <t>Elizabeth Women's Off Shoulder Shirt</t>
        </is>
      </c>
      <c r="D2773" s="0" t="inlineStr">
        <is>
          <t>'111634</t>
        </is>
      </c>
      <c r="E2773" s="0" t="inlineStr">
        <is>
          <t>IOWA ELIZABETH BLACK:111634A-S</t>
        </is>
      </c>
      <c r="F2773" s="0" t="inlineStr">
        <is>
          <t>'800111634046</t>
        </is>
      </c>
      <c r="G2773" s="0" t="inlineStr">
        <is>
          <t>WOMENS</t>
        </is>
      </c>
      <c r="H2773" s="0" t="inlineStr">
        <is>
          <t>S</t>
        </is>
      </c>
      <c r="I2773" s="0">
        <v>39.99</v>
      </c>
      <c r="J2773" s="0">
        <v>23</v>
      </c>
    </row>
    <row r="2774" spans="1:10" customHeight="0">
      <c r="A2774" s="0">
        <f>HYPERLINK("https://dl.dropboxusercontent.com/scl/fi/3fveatmsk4jfpnpyb0esv/111634-af.jpg?rlkey=koj9gd3o5o7vmk0upiw79ftov&amp;dl=0","Click to download Image")</f>
      </c>
      <c r="B2774" s="0">
        <f>HYPERLINK("https://dl.dropboxusercontent.com/scl/fi/qh0l8sjlj2jupx3pfni9p/graphic-update2022-womens.jpg?rlkey=9mq6bj4hljiq08vzukyjl7568&amp;dl=0","Click to download SizeChart")</f>
      </c>
      <c r="C2774" s="0" t="inlineStr">
        <is>
          <t>Elizabeth Women's Off Shoulder Shirt</t>
        </is>
      </c>
      <c r="D2774" s="0" t="inlineStr">
        <is>
          <t>'111634</t>
        </is>
      </c>
      <c r="E2774" s="0" t="inlineStr">
        <is>
          <t>IOWA ELIZABETH BLACK:111634B-M</t>
        </is>
      </c>
      <c r="F2774" s="0" t="inlineStr">
        <is>
          <t>'800111634053</t>
        </is>
      </c>
      <c r="G2774" s="0" t="inlineStr">
        <is>
          <t>WOMENS</t>
        </is>
      </c>
      <c r="H2774" s="0" t="inlineStr">
        <is>
          <t>M</t>
        </is>
      </c>
      <c r="I2774" s="0">
        <v>39.99</v>
      </c>
      <c r="J2774" s="0">
        <v>25</v>
      </c>
    </row>
    <row r="2775" spans="1:10" customHeight="0">
      <c r="A2775" s="0">
        <f>HYPERLINK("https://dl.dropboxusercontent.com/scl/fi/3fveatmsk4jfpnpyb0esv/111634-af.jpg?rlkey=koj9gd3o5o7vmk0upiw79ftov&amp;dl=0","Click to download Image")</f>
      </c>
      <c r="B2775" s="0">
        <f>HYPERLINK("https://dl.dropboxusercontent.com/scl/fi/qh0l8sjlj2jupx3pfni9p/graphic-update2022-womens.jpg?rlkey=9mq6bj4hljiq08vzukyjl7568&amp;dl=0","Click to download SizeChart")</f>
      </c>
      <c r="C2775" s="0" t="inlineStr">
        <is>
          <t>Elizabeth Women's Off Shoulder Shirt</t>
        </is>
      </c>
      <c r="D2775" s="0" t="inlineStr">
        <is>
          <t>'111634</t>
        </is>
      </c>
      <c r="E2775" s="0" t="inlineStr">
        <is>
          <t>IOWA ELIZABETH BLACK:111634C-L</t>
        </is>
      </c>
      <c r="F2775" s="0" t="inlineStr">
        <is>
          <t>'800111634060</t>
        </is>
      </c>
      <c r="G2775" s="0" t="inlineStr">
        <is>
          <t>WOMENS</t>
        </is>
      </c>
      <c r="H2775" s="0" t="inlineStr">
        <is>
          <t>L</t>
        </is>
      </c>
      <c r="I2775" s="0">
        <v>39.99</v>
      </c>
      <c r="J2775" s="0">
        <v>21</v>
      </c>
    </row>
    <row r="2776" spans="1:10" customHeight="0">
      <c r="A2776" s="0">
        <f>HYPERLINK("https://dl.dropboxusercontent.com/scl/fi/3fveatmsk4jfpnpyb0esv/111634-af.jpg?rlkey=koj9gd3o5o7vmk0upiw79ftov&amp;dl=0","Click to download Image")</f>
      </c>
      <c r="B2776" s="0">
        <f>HYPERLINK("https://dl.dropboxusercontent.com/scl/fi/qh0l8sjlj2jupx3pfni9p/graphic-update2022-womens.jpg?rlkey=9mq6bj4hljiq08vzukyjl7568&amp;dl=0","Click to download SizeChart")</f>
      </c>
      <c r="C2776" s="0" t="inlineStr">
        <is>
          <t>Elizabeth Women's Off Shoulder Shirt</t>
        </is>
      </c>
      <c r="D2776" s="0" t="inlineStr">
        <is>
          <t>'111634</t>
        </is>
      </c>
      <c r="E2776" s="0" t="inlineStr">
        <is>
          <t>IOWA ELIZABETH BLACK:111634D-XL</t>
        </is>
      </c>
      <c r="F2776" s="0" t="inlineStr">
        <is>
          <t>'800111634077</t>
        </is>
      </c>
      <c r="G2776" s="0" t="inlineStr">
        <is>
          <t>WOMENS</t>
        </is>
      </c>
      <c r="H2776" s="0" t="inlineStr">
        <is>
          <t>XL</t>
        </is>
      </c>
      <c r="I2776" s="0">
        <v>39.99</v>
      </c>
      <c r="J2776" s="0">
        <v>21</v>
      </c>
    </row>
    <row r="2777" spans="1:10" customHeight="0">
      <c r="A2777" s="0">
        <f>HYPERLINK("https://dl.dropboxusercontent.com/scl/fi/3fveatmsk4jfpnpyb0esv/111634-af.jpg?rlkey=koj9gd3o5o7vmk0upiw79ftov&amp;dl=0","Click to download Image")</f>
      </c>
      <c r="B2777" s="0">
        <f>HYPERLINK("https://dl.dropboxusercontent.com/scl/fi/qh0l8sjlj2jupx3pfni9p/graphic-update2022-womens.jpg?rlkey=9mq6bj4hljiq08vzukyjl7568&amp;dl=0","Click to download SizeChart")</f>
      </c>
      <c r="C2777" s="0" t="inlineStr">
        <is>
          <t>Elizabeth Women's Off Shoulder Shirt</t>
        </is>
      </c>
      <c r="D2777" s="0" t="inlineStr">
        <is>
          <t>'111634</t>
        </is>
      </c>
      <c r="E2777" s="0" t="inlineStr">
        <is>
          <t>IOWA ELIZABETH BLACK:111634E-2XL</t>
        </is>
      </c>
      <c r="F2777" s="0" t="inlineStr">
        <is>
          <t>'800111634084</t>
        </is>
      </c>
      <c r="G2777" s="0" t="inlineStr">
        <is>
          <t>WOMENS</t>
        </is>
      </c>
      <c r="H2777" s="0" t="inlineStr">
        <is>
          <t>2XL</t>
        </is>
      </c>
      <c r="I2777" s="0">
        <v>39.99</v>
      </c>
      <c r="J2777" s="0">
        <v>12</v>
      </c>
    </row>
    <row r="2778" spans="1:10" customHeight="0">
      <c r="A2778" s="0">
        <f>HYPERLINK("https://dl.dropboxusercontent.com/scl/fi/3fveatmsk4jfpnpyb0esv/111634-af.jpg?rlkey=koj9gd3o5o7vmk0upiw79ftov&amp;dl=0","Click to download Image")</f>
      </c>
      <c r="B2778" s="0">
        <f>HYPERLINK("https://dl.dropboxusercontent.com/scl/fi/qh0l8sjlj2jupx3pfni9p/graphic-update2022-womens.jpg?rlkey=9mq6bj4hljiq08vzukyjl7568&amp;dl=0","Click to download SizeChart")</f>
      </c>
      <c r="C2778" s="0" t="inlineStr">
        <is>
          <t>Elizabeth Women's Off Shoulder Shirt</t>
        </is>
      </c>
      <c r="D2778" s="0" t="inlineStr">
        <is>
          <t>'111634</t>
        </is>
      </c>
      <c r="E2778" s="0" t="inlineStr">
        <is>
          <t>IOWA ELIZABETH BLACK:111634F-3XL</t>
        </is>
      </c>
      <c r="F2778" s="0" t="inlineStr">
        <is>
          <t>'800111634091</t>
        </is>
      </c>
      <c r="G2778" s="0" t="inlineStr">
        <is>
          <t>WOMENS</t>
        </is>
      </c>
      <c r="H2778" s="0" t="inlineStr">
        <is>
          <t>3XL</t>
        </is>
      </c>
      <c r="I2778" s="0">
        <v>39.99</v>
      </c>
      <c r="J2778" s="0">
        <v>10</v>
      </c>
    </row>
    <row r="2779" spans="1:10" customHeight="0">
      <c r="A2779" s="0">
        <f>HYPERLINK("https://dl.dropboxusercontent.com/scl/fi/3fveatmsk4jfpnpyb0esv/111634-af.jpg?rlkey=koj9gd3o5o7vmk0upiw79ftov&amp;dl=0","Click to download Image")</f>
      </c>
      <c r="B2779" s="0">
        <f>HYPERLINK("https://dl.dropboxusercontent.com/scl/fi/qh0l8sjlj2jupx3pfni9p/graphic-update2022-womens.jpg?rlkey=9mq6bj4hljiq08vzukyjl7568&amp;dl=0","Click to download SizeChart")</f>
      </c>
      <c r="C2779" s="0" t="inlineStr">
        <is>
          <t>Elizabeth Women's Off Shoulder Shirt</t>
        </is>
      </c>
      <c r="D2779" s="0" t="inlineStr">
        <is>
          <t>'111634</t>
        </is>
      </c>
      <c r="E2779" s="0" t="inlineStr">
        <is>
          <t>IOWA ELIZABETH BLACK 12 PACK:111634Z-12PK</t>
        </is>
      </c>
      <c r="F2779" s="0" t="inlineStr">
        <is>
          <t>'800111634992</t>
        </is>
      </c>
      <c r="G2779" s="0" t="inlineStr">
        <is>
          <t>WOMENS</t>
        </is>
      </c>
      <c r="H2779" s="0" t="inlineStr">
        <is>
          <t>12 PACK</t>
        </is>
      </c>
      <c r="I2779" s="0">
        <v>380</v>
      </c>
      <c r="J2779" s="0">
        <v>0</v>
      </c>
    </row>
    <row r="2780" spans="1:10" customHeight="0">
      <c r="A2780" s="0">
        <f>HYPERLINK("https://dl.dropboxusercontent.com/scl/fi/43frlvpqwtcq0diym7qdr/110830af.jpg?rlkey=0ram2nl1jze1cmjrv42ssbuhq&amp;dl=0","Click to download Image")</f>
      </c>
      <c r="B2780" s="0">
        <f>HYPERLINK("https://dl.dropboxusercontent.com/scl/fi/qh0l8sjlj2jupx3pfni9p/graphic-update2022-womens.jpg?rlkey=9mq6bj4hljiq08vzukyjl7568&amp;dl=0","Click to download SizeChart")</f>
      </c>
      <c r="C2780" s="0" t="inlineStr">
        <is>
          <t>Elizabeth Women's Off Shoulder Shirt</t>
        </is>
      </c>
      <c r="D2780" s="0" t="inlineStr">
        <is>
          <t>'110830</t>
        </is>
      </c>
      <c r="E2780" s="0" t="inlineStr">
        <is>
          <t>IOWA ELIZABETH GOLD:110830AA-XS</t>
        </is>
      </c>
      <c r="F2780" s="0" t="inlineStr">
        <is>
          <t>'800110830036</t>
        </is>
      </c>
      <c r="G2780" s="0" t="inlineStr">
        <is>
          <t>WOMENS</t>
        </is>
      </c>
      <c r="H2780" s="0" t="inlineStr">
        <is>
          <t>XS</t>
        </is>
      </c>
      <c r="I2780" s="0">
        <v>39.99</v>
      </c>
      <c r="J2780" s="0">
        <v>19</v>
      </c>
    </row>
    <row r="2781" spans="1:10" customHeight="0">
      <c r="A2781" s="0">
        <f>HYPERLINK("https://dl.dropboxusercontent.com/scl/fi/43frlvpqwtcq0diym7qdr/110830af.jpg?rlkey=0ram2nl1jze1cmjrv42ssbuhq&amp;dl=0","Click to download Image")</f>
      </c>
      <c r="B2781" s="0">
        <f>HYPERLINK("https://dl.dropboxusercontent.com/scl/fi/qh0l8sjlj2jupx3pfni9p/graphic-update2022-womens.jpg?rlkey=9mq6bj4hljiq08vzukyjl7568&amp;dl=0","Click to download SizeChart")</f>
      </c>
      <c r="C2781" s="0" t="inlineStr">
        <is>
          <t>Elizabeth Women's Off Shoulder Shirt</t>
        </is>
      </c>
      <c r="D2781" s="0" t="inlineStr">
        <is>
          <t>'110830</t>
        </is>
      </c>
      <c r="E2781" s="0" t="inlineStr">
        <is>
          <t>IOWA ELIZABETH GOLD:110830A-S</t>
        </is>
      </c>
      <c r="F2781" s="0" t="inlineStr">
        <is>
          <t>'800110830043</t>
        </is>
      </c>
      <c r="G2781" s="0" t="inlineStr">
        <is>
          <t>WOMENS</t>
        </is>
      </c>
      <c r="H2781" s="0" t="inlineStr">
        <is>
          <t>S</t>
        </is>
      </c>
      <c r="I2781" s="0">
        <v>39.99</v>
      </c>
      <c r="J2781" s="0">
        <v>24</v>
      </c>
    </row>
    <row r="2782" spans="1:10" customHeight="0">
      <c r="A2782" s="0">
        <f>HYPERLINK("https://dl.dropboxusercontent.com/scl/fi/43frlvpqwtcq0diym7qdr/110830af.jpg?rlkey=0ram2nl1jze1cmjrv42ssbuhq&amp;dl=0","Click to download Image")</f>
      </c>
      <c r="B2782" s="0">
        <f>HYPERLINK("https://dl.dropboxusercontent.com/scl/fi/qh0l8sjlj2jupx3pfni9p/graphic-update2022-womens.jpg?rlkey=9mq6bj4hljiq08vzukyjl7568&amp;dl=0","Click to download SizeChart")</f>
      </c>
      <c r="C2782" s="0" t="inlineStr">
        <is>
          <t>Elizabeth Women's Off Shoulder Shirt</t>
        </is>
      </c>
      <c r="D2782" s="0" t="inlineStr">
        <is>
          <t>'110830</t>
        </is>
      </c>
      <c r="E2782" s="0" t="inlineStr">
        <is>
          <t>IOWA ELIZABETH GOLD:110830B-M</t>
        </is>
      </c>
      <c r="F2782" s="0" t="inlineStr">
        <is>
          <t>'800110830050</t>
        </is>
      </c>
      <c r="G2782" s="0" t="inlineStr">
        <is>
          <t>WOMENS</t>
        </is>
      </c>
      <c r="H2782" s="0" t="inlineStr">
        <is>
          <t>M</t>
        </is>
      </c>
      <c r="I2782" s="0">
        <v>39.99</v>
      </c>
      <c r="J2782" s="0">
        <v>26</v>
      </c>
    </row>
    <row r="2783" spans="1:10" customHeight="0">
      <c r="A2783" s="0">
        <f>HYPERLINK("https://dl.dropboxusercontent.com/scl/fi/43frlvpqwtcq0diym7qdr/110830af.jpg?rlkey=0ram2nl1jze1cmjrv42ssbuhq&amp;dl=0","Click to download Image")</f>
      </c>
      <c r="B2783" s="0">
        <f>HYPERLINK("https://dl.dropboxusercontent.com/scl/fi/qh0l8sjlj2jupx3pfni9p/graphic-update2022-womens.jpg?rlkey=9mq6bj4hljiq08vzukyjl7568&amp;dl=0","Click to download SizeChart")</f>
      </c>
      <c r="C2783" s="0" t="inlineStr">
        <is>
          <t>Elizabeth Women's Off Shoulder Shirt</t>
        </is>
      </c>
      <c r="D2783" s="0" t="inlineStr">
        <is>
          <t>'110830</t>
        </is>
      </c>
      <c r="E2783" s="0" t="inlineStr">
        <is>
          <t>IOWA ELIZABETH GOLD:110830C-L</t>
        </is>
      </c>
      <c r="F2783" s="0" t="inlineStr">
        <is>
          <t>'800110830067</t>
        </is>
      </c>
      <c r="G2783" s="0" t="inlineStr">
        <is>
          <t>WOMENS</t>
        </is>
      </c>
      <c r="H2783" s="0" t="inlineStr">
        <is>
          <t>L</t>
        </is>
      </c>
      <c r="I2783" s="0">
        <v>39.99</v>
      </c>
      <c r="J2783" s="0">
        <v>16</v>
      </c>
    </row>
    <row r="2784" spans="1:10" customHeight="0">
      <c r="A2784" s="0">
        <f>HYPERLINK("https://dl.dropboxusercontent.com/scl/fi/43frlvpqwtcq0diym7qdr/110830af.jpg?rlkey=0ram2nl1jze1cmjrv42ssbuhq&amp;dl=0","Click to download Image")</f>
      </c>
      <c r="B2784" s="0">
        <f>HYPERLINK("https://dl.dropboxusercontent.com/scl/fi/qh0l8sjlj2jupx3pfni9p/graphic-update2022-womens.jpg?rlkey=9mq6bj4hljiq08vzukyjl7568&amp;dl=0","Click to download SizeChart")</f>
      </c>
      <c r="C2784" s="0" t="inlineStr">
        <is>
          <t>Elizabeth Women's Off Shoulder Shirt</t>
        </is>
      </c>
      <c r="D2784" s="0" t="inlineStr">
        <is>
          <t>'110830</t>
        </is>
      </c>
      <c r="E2784" s="0" t="inlineStr">
        <is>
          <t>IOWA ELIZABETH GOLD:110830D-XL</t>
        </is>
      </c>
      <c r="F2784" s="0" t="inlineStr">
        <is>
          <t>'800110830074</t>
        </is>
      </c>
      <c r="G2784" s="0" t="inlineStr">
        <is>
          <t>WOMENS</t>
        </is>
      </c>
      <c r="H2784" s="0" t="inlineStr">
        <is>
          <t>XL</t>
        </is>
      </c>
      <c r="I2784" s="0">
        <v>39.99</v>
      </c>
      <c r="J2784" s="0">
        <v>21</v>
      </c>
    </row>
    <row r="2785" spans="1:10" customHeight="0">
      <c r="A2785" s="0">
        <f>HYPERLINK("https://dl.dropboxusercontent.com/scl/fi/43frlvpqwtcq0diym7qdr/110830af.jpg?rlkey=0ram2nl1jze1cmjrv42ssbuhq&amp;dl=0","Click to download Image")</f>
      </c>
      <c r="B2785" s="0">
        <f>HYPERLINK("https://dl.dropboxusercontent.com/scl/fi/qh0l8sjlj2jupx3pfni9p/graphic-update2022-womens.jpg?rlkey=9mq6bj4hljiq08vzukyjl7568&amp;dl=0","Click to download SizeChart")</f>
      </c>
      <c r="C2785" s="0" t="inlineStr">
        <is>
          <t>Elizabeth Women's Off Shoulder Shirt</t>
        </is>
      </c>
      <c r="D2785" s="0" t="inlineStr">
        <is>
          <t>'110830</t>
        </is>
      </c>
      <c r="E2785" s="0" t="inlineStr">
        <is>
          <t>IOWA ELIZABETH GOLD:110830E-2XL</t>
        </is>
      </c>
      <c r="F2785" s="0" t="inlineStr">
        <is>
          <t>'800110830081</t>
        </is>
      </c>
      <c r="G2785" s="0" t="inlineStr">
        <is>
          <t>WOMENS</t>
        </is>
      </c>
      <c r="H2785" s="0" t="inlineStr">
        <is>
          <t>2XL</t>
        </is>
      </c>
      <c r="I2785" s="0">
        <v>39.99</v>
      </c>
      <c r="J2785" s="0">
        <v>11</v>
      </c>
    </row>
    <row r="2786" spans="1:10" customHeight="0">
      <c r="A2786" s="0">
        <f>HYPERLINK("https://dl.dropboxusercontent.com/scl/fi/43frlvpqwtcq0diym7qdr/110830af.jpg?rlkey=0ram2nl1jze1cmjrv42ssbuhq&amp;dl=0","Click to download Image")</f>
      </c>
      <c r="B2786" s="0">
        <f>HYPERLINK("https://dl.dropboxusercontent.com/scl/fi/qh0l8sjlj2jupx3pfni9p/graphic-update2022-womens.jpg?rlkey=9mq6bj4hljiq08vzukyjl7568&amp;dl=0","Click to download SizeChart")</f>
      </c>
      <c r="C2786" s="0" t="inlineStr">
        <is>
          <t>Elizabeth Women's Off Shoulder Shirt</t>
        </is>
      </c>
      <c r="D2786" s="0" t="inlineStr">
        <is>
          <t>'110830</t>
        </is>
      </c>
      <c r="E2786" s="0" t="inlineStr">
        <is>
          <t>IOWA ELIZABETH GOLD:110830F-3XL</t>
        </is>
      </c>
      <c r="F2786" s="0" t="inlineStr">
        <is>
          <t>'800110830098</t>
        </is>
      </c>
      <c r="G2786" s="0" t="inlineStr">
        <is>
          <t>WOMENS</t>
        </is>
      </c>
      <c r="H2786" s="0" t="inlineStr">
        <is>
          <t>3XL</t>
        </is>
      </c>
      <c r="I2786" s="0">
        <v>39.99</v>
      </c>
      <c r="J2786" s="0">
        <v>10</v>
      </c>
    </row>
    <row r="2787" spans="1:10" customHeight="0">
      <c r="A2787" s="0">
        <f>HYPERLINK("https://dl.dropboxusercontent.com/scl/fi/43frlvpqwtcq0diym7qdr/110830af.jpg?rlkey=0ram2nl1jze1cmjrv42ssbuhq&amp;dl=0","Click to download Image")</f>
      </c>
      <c r="B2787" s="0">
        <f>HYPERLINK("https://dl.dropboxusercontent.com/scl/fi/qh0l8sjlj2jupx3pfni9p/graphic-update2022-womens.jpg?rlkey=9mq6bj4hljiq08vzukyjl7568&amp;dl=0","Click to download SizeChart")</f>
      </c>
      <c r="C2787" s="0" t="inlineStr">
        <is>
          <t>Elizabeth Women's Off Shoulder Shirt</t>
        </is>
      </c>
      <c r="D2787" s="0" t="inlineStr">
        <is>
          <t>'110830</t>
        </is>
      </c>
      <c r="E2787" s="0" t="inlineStr">
        <is>
          <t>IOWA ELIZABETH GOLD 12 PACK:110830Z-12PK</t>
        </is>
      </c>
      <c r="F2787" s="0" t="inlineStr">
        <is>
          <t>'800110830999</t>
        </is>
      </c>
      <c r="G2787" s="0" t="inlineStr">
        <is>
          <t>WOMENS</t>
        </is>
      </c>
      <c r="H2787" s="0" t="inlineStr">
        <is>
          <t>12 PACK</t>
        </is>
      </c>
      <c r="I2787" s="0">
        <v>380</v>
      </c>
      <c r="J2787" s="0">
        <v>0</v>
      </c>
    </row>
    <row r="2788" spans="1:10" customHeight="0">
      <c r="A2788" s="0">
        <f>HYPERLINK("https://dl.dropboxusercontent.com/scl/fi/om93xbtbys3ksas5iemwv/116423-b.jpg?rlkey=4flvfacv0e9rsui3nl4yeptxo&amp;dl=0","Click to download Image")</f>
      </c>
      <c r="C2788" s="0" t="inlineStr">
        <is>
          <t>Estes Oversized Tote</t>
        </is>
      </c>
      <c r="D2788" s="0" t="inlineStr">
        <is>
          <t>'116423</t>
        </is>
      </c>
      <c r="E2788" s="0" t="inlineStr">
        <is>
          <t>IOWA ESTES TOTE:116423</t>
        </is>
      </c>
      <c r="F2788" s="0" t="inlineStr">
        <is>
          <t>'900116423017</t>
        </is>
      </c>
      <c r="H2788" s="0" t="inlineStr">
        <is>
          <t>18INCH WIDE X 13INCH HEIGHT X 7INCH DEEP</t>
        </is>
      </c>
      <c r="I2788" s="0">
        <v>49.99</v>
      </c>
      <c r="J2788" s="0">
        <v>54</v>
      </c>
    </row>
    <row r="2789" spans="1:10" customHeight="0">
      <c r="A2789" s="0">
        <f>HYPERLINK("https://dl.dropboxusercontent.com/scl/fi/oyaawaklas1iec9oz4gkm/107212-af.jpg?rlkey=vd4li3l1gql8muhtdqutbhb0d&amp;dl=0","Click to download Image")</f>
      </c>
      <c r="C2789" s="0" t="inlineStr">
        <is>
          <t>Ellsworth Infant Cap</t>
        </is>
      </c>
      <c r="D2789" s="0" t="inlineStr">
        <is>
          <t>'107213</t>
        </is>
      </c>
      <c r="E2789" s="0" t="inlineStr">
        <is>
          <t>ISU ELLSWORTH:107213STRETCH-OSFM-47-49CM</t>
        </is>
      </c>
      <c r="F2789" s="0" t="inlineStr">
        <is>
          <t>'000000000000</t>
        </is>
      </c>
      <c r="G2789" s="0" t="inlineStr">
        <is>
          <t>INFANT</t>
        </is>
      </c>
      <c r="H2789" s="0" t="inlineStr">
        <is>
          <t>INFANT</t>
        </is>
      </c>
      <c r="I2789" s="0">
        <v>15.99</v>
      </c>
      <c r="J2789" s="0">
        <v>111</v>
      </c>
    </row>
    <row r="2790" spans="1:10" customHeight="0">
      <c r="A2790" s="0">
        <f>HYPERLINK("https://dl.dropboxusercontent.com/scl/fi/2brl5xulrtdkjginzwgh9/107213-af.jpg?rlkey=l1z051djb72ytf7kl3scwa0hg&amp;dl=0","Click to download Image")</f>
      </c>
      <c r="C2790" s="0" t="inlineStr">
        <is>
          <t>Ellsworth Infant Cap</t>
        </is>
      </c>
      <c r="D2790" s="0" t="inlineStr">
        <is>
          <t>'107213</t>
        </is>
      </c>
      <c r="E2790" s="0" t="inlineStr">
        <is>
          <t>ISU ELLSWORTH:107213STRETCH-OSFM-47-49CM</t>
        </is>
      </c>
      <c r="F2790" s="0" t="inlineStr">
        <is>
          <t>'000000000000</t>
        </is>
      </c>
      <c r="G2790" s="0" t="inlineStr">
        <is>
          <t>INFANT</t>
        </is>
      </c>
      <c r="H2790" s="0" t="inlineStr">
        <is>
          <t>INFANT</t>
        </is>
      </c>
      <c r="I2790" s="0">
        <v>15.99</v>
      </c>
      <c r="J2790" s="0">
        <v>111</v>
      </c>
    </row>
    <row r="2791" spans="1:10" customHeight="0">
      <c r="A2791" s="0">
        <f>HYPERLINK("https://dl.dropboxusercontent.com/scl/fi/1jk4hsgubfzkj1y24baa4/wreniafb.jpg?rlkey=s3gpwob48itg6gyoqsrsz7vhx&amp;dl=0","Click to download Image")</f>
      </c>
      <c r="B2791" s="0">
        <f>HYPERLINK("https://dl.dropboxusercontent.com/scl/fi/rd4yv2tqs2hsseow8dul5/womens-tank-top-size-chartswren.jpg?rlkey=mfhga5jybzawfwr62kazv3716&amp;dl=0","Click to download SizeChart")</f>
      </c>
      <c r="C2791" s="0" t="inlineStr">
        <is>
          <t>Wren Women's Tank Top</t>
        </is>
      </c>
      <c r="D2791" s="0" t="inlineStr">
        <is>
          <t>'109547</t>
        </is>
      </c>
      <c r="E2791" s="0" t="inlineStr">
        <is>
          <t>IOWA WREN:109547A-S</t>
        </is>
      </c>
      <c r="F2791" s="0" t="inlineStr">
        <is>
          <t>'800109547013</t>
        </is>
      </c>
      <c r="G2791" s="0" t="inlineStr">
        <is>
          <t>WOMENS</t>
        </is>
      </c>
      <c r="H2791" s="0" t="inlineStr">
        <is>
          <t>S</t>
        </is>
      </c>
      <c r="I2791" s="0">
        <v>32.99</v>
      </c>
      <c r="J2791" s="0">
        <v>8</v>
      </c>
    </row>
    <row r="2792" spans="1:10" customHeight="0">
      <c r="A2792" s="0">
        <f>HYPERLINK("https://dl.dropboxusercontent.com/scl/fi/1jk4hsgubfzkj1y24baa4/wreniafb.jpg?rlkey=s3gpwob48itg6gyoqsrsz7vhx&amp;dl=0","Click to download Image")</f>
      </c>
      <c r="B2792" s="0">
        <f>HYPERLINK("https://dl.dropboxusercontent.com/scl/fi/rd4yv2tqs2hsseow8dul5/womens-tank-top-size-chartswren.jpg?rlkey=mfhga5jybzawfwr62kazv3716&amp;dl=0","Click to download SizeChart")</f>
      </c>
      <c r="C2792" s="0" t="inlineStr">
        <is>
          <t>Wren Women's Tank Top</t>
        </is>
      </c>
      <c r="D2792" s="0" t="inlineStr">
        <is>
          <t>'109547</t>
        </is>
      </c>
      <c r="E2792" s="0" t="inlineStr">
        <is>
          <t>IOWA WREN:109547B-M</t>
        </is>
      </c>
      <c r="F2792" s="0" t="inlineStr">
        <is>
          <t>'800109547025</t>
        </is>
      </c>
      <c r="G2792" s="0" t="inlineStr">
        <is>
          <t>WOMENS</t>
        </is>
      </c>
      <c r="H2792" s="0" t="inlineStr">
        <is>
          <t>M</t>
        </is>
      </c>
      <c r="I2792" s="0">
        <v>32.99</v>
      </c>
      <c r="J2792" s="0">
        <v>34</v>
      </c>
    </row>
    <row r="2793" spans="1:10" customHeight="0">
      <c r="A2793" s="0">
        <f>HYPERLINK("https://dl.dropboxusercontent.com/scl/fi/1jk4hsgubfzkj1y24baa4/wreniafb.jpg?rlkey=s3gpwob48itg6gyoqsrsz7vhx&amp;dl=0","Click to download Image")</f>
      </c>
      <c r="B2793" s="0">
        <f>HYPERLINK("https://dl.dropboxusercontent.com/scl/fi/rd4yv2tqs2hsseow8dul5/womens-tank-top-size-chartswren.jpg?rlkey=mfhga5jybzawfwr62kazv3716&amp;dl=0","Click to download SizeChart")</f>
      </c>
      <c r="C2793" s="0" t="inlineStr">
        <is>
          <t>Wren Women's Tank Top</t>
        </is>
      </c>
      <c r="D2793" s="0" t="inlineStr">
        <is>
          <t>'109547</t>
        </is>
      </c>
      <c r="E2793" s="0" t="inlineStr">
        <is>
          <t>IOWA WREN:109547C-L</t>
        </is>
      </c>
      <c r="F2793" s="0" t="inlineStr">
        <is>
          <t>'800109547037</t>
        </is>
      </c>
      <c r="G2793" s="0" t="inlineStr">
        <is>
          <t>WOMENS</t>
        </is>
      </c>
      <c r="H2793" s="0" t="inlineStr">
        <is>
          <t>L</t>
        </is>
      </c>
      <c r="I2793" s="0">
        <v>32.99</v>
      </c>
      <c r="J2793" s="0">
        <v>33</v>
      </c>
    </row>
    <row r="2794" spans="1:10" customHeight="0">
      <c r="A2794" s="0">
        <f>HYPERLINK("https://dl.dropboxusercontent.com/scl/fi/1jk4hsgubfzkj1y24baa4/wreniafb.jpg?rlkey=s3gpwob48itg6gyoqsrsz7vhx&amp;dl=0","Click to download Image")</f>
      </c>
      <c r="B2794" s="0">
        <f>HYPERLINK("https://dl.dropboxusercontent.com/scl/fi/rd4yv2tqs2hsseow8dul5/womens-tank-top-size-chartswren.jpg?rlkey=mfhga5jybzawfwr62kazv3716&amp;dl=0","Click to download SizeChart")</f>
      </c>
      <c r="C2794" s="0" t="inlineStr">
        <is>
          <t>Wren Women's Tank Top</t>
        </is>
      </c>
      <c r="D2794" s="0" t="inlineStr">
        <is>
          <t>'109547</t>
        </is>
      </c>
      <c r="E2794" s="0" t="inlineStr">
        <is>
          <t>IOWA WREN:109547D-XL</t>
        </is>
      </c>
      <c r="F2794" s="0" t="inlineStr">
        <is>
          <t>'800109547044</t>
        </is>
      </c>
      <c r="G2794" s="0" t="inlineStr">
        <is>
          <t>WOMENS</t>
        </is>
      </c>
      <c r="H2794" s="0" t="inlineStr">
        <is>
          <t>XL</t>
        </is>
      </c>
      <c r="I2794" s="0">
        <v>32.99</v>
      </c>
      <c r="J2794" s="0">
        <v>0</v>
      </c>
    </row>
    <row r="2795" spans="1:10" customHeight="0">
      <c r="A2795" s="0">
        <f>HYPERLINK("https://dl.dropboxusercontent.com/scl/fi/1jk4hsgubfzkj1y24baa4/wreniafb.jpg?rlkey=s3gpwob48itg6gyoqsrsz7vhx&amp;dl=0","Click to download Image")</f>
      </c>
      <c r="B2795" s="0">
        <f>HYPERLINK("https://dl.dropboxusercontent.com/scl/fi/rd4yv2tqs2hsseow8dul5/womens-tank-top-size-chartswren.jpg?rlkey=mfhga5jybzawfwr62kazv3716&amp;dl=0","Click to download SizeChart")</f>
      </c>
      <c r="C2795" s="0" t="inlineStr">
        <is>
          <t>Wren Women's Tank Top</t>
        </is>
      </c>
      <c r="D2795" s="0" t="inlineStr">
        <is>
          <t>'109547</t>
        </is>
      </c>
      <c r="E2795" s="0" t="inlineStr">
        <is>
          <t>IOWA WREN:109547E-2XL</t>
        </is>
      </c>
      <c r="F2795" s="0" t="inlineStr">
        <is>
          <t>'800109547051</t>
        </is>
      </c>
      <c r="G2795" s="0" t="inlineStr">
        <is>
          <t>WOMENS</t>
        </is>
      </c>
      <c r="H2795" s="0" t="inlineStr">
        <is>
          <t>2XL</t>
        </is>
      </c>
      <c r="I2795" s="0">
        <v>34.99</v>
      </c>
      <c r="J2795" s="0">
        <v>0</v>
      </c>
    </row>
    <row r="2796" spans="1:10" customHeight="0">
      <c r="A2796" s="0">
        <f>HYPERLINK("https://dl.dropboxusercontent.com/scl/fi/1jk4hsgubfzkj1y24baa4/wreniafb.jpg?rlkey=s3gpwob48itg6gyoqsrsz7vhx&amp;dl=0","Click to download Image")</f>
      </c>
      <c r="B2796" s="0">
        <f>HYPERLINK("https://dl.dropboxusercontent.com/scl/fi/rd4yv2tqs2hsseow8dul5/womens-tank-top-size-chartswren.jpg?rlkey=mfhga5jybzawfwr62kazv3716&amp;dl=0","Click to download SizeChart")</f>
      </c>
      <c r="C2796" s="0" t="inlineStr">
        <is>
          <t>Wren Women's Tank Top</t>
        </is>
      </c>
      <c r="D2796" s="0" t="inlineStr">
        <is>
          <t>'109547</t>
        </is>
      </c>
      <c r="E2796" s="0" t="inlineStr">
        <is>
          <t>IOWA WREN:109547F-3XL</t>
        </is>
      </c>
      <c r="F2796" s="0" t="inlineStr">
        <is>
          <t>'800109547068</t>
        </is>
      </c>
      <c r="G2796" s="0" t="inlineStr">
        <is>
          <t>WOMENS</t>
        </is>
      </c>
      <c r="H2796" s="0" t="inlineStr">
        <is>
          <t>3XL</t>
        </is>
      </c>
      <c r="I2796" s="0">
        <v>34.99</v>
      </c>
      <c r="J2796" s="0">
        <v>0</v>
      </c>
    </row>
    <row r="2797" spans="1:10" customHeight="0">
      <c r="A2797" s="0">
        <f>HYPERLINK("https://dl.dropboxusercontent.com/scl/fi/1jk4hsgubfzkj1y24baa4/wreniafb.jpg?rlkey=s3gpwob48itg6gyoqsrsz7vhx&amp;dl=0","Click to download Image")</f>
      </c>
      <c r="B2797" s="0">
        <f>HYPERLINK("https://dl.dropboxusercontent.com/scl/fi/rd4yv2tqs2hsseow8dul5/womens-tank-top-size-chartswren.jpg?rlkey=mfhga5jybzawfwr62kazv3716&amp;dl=0","Click to download SizeChart")</f>
      </c>
      <c r="C2797" s="0" t="inlineStr">
        <is>
          <t>Wren Women's Tank Top</t>
        </is>
      </c>
      <c r="D2797" s="0" t="inlineStr">
        <is>
          <t>'109547</t>
        </is>
      </c>
      <c r="E2797" s="0" t="inlineStr">
        <is>
          <t>IOWA WREN 12 PACK:109547Z-12PK</t>
        </is>
      </c>
      <c r="F2797" s="0" t="inlineStr">
        <is>
          <t>'800109547105</t>
        </is>
      </c>
      <c r="G2797" s="0" t="inlineStr">
        <is>
          <t>WOMENS</t>
        </is>
      </c>
      <c r="H2797" s="0" t="inlineStr">
        <is>
          <t>12 PACK</t>
        </is>
      </c>
      <c r="I2797" s="0">
        <v>371.88</v>
      </c>
      <c r="J2797" s="0">
        <v>0</v>
      </c>
    </row>
    <row r="2798" spans="1:10" customHeight="0">
      <c r="A2798" s="0">
        <f>HYPERLINK("https://dl.dropboxusercontent.com/scl/fi/8zwtbq610kpkchlfmyq5n/wren37819.jpg?rlkey=xq5mja2dk6gqyaz2vnattz0sj&amp;dl=0","Click to download Image")</f>
      </c>
      <c r="B2798" s="0">
        <f>HYPERLINK("https://dl.dropboxusercontent.com/scl/fi/rd4yv2tqs2hsseow8dul5/womens-tank-top-size-chartswren.jpg?rlkey=mfhga5jybzawfwr62kazv3716&amp;dl=0","Click to download SizeChart")</f>
      </c>
      <c r="C2798" s="0" t="inlineStr">
        <is>
          <t>Wren Women's Tank Top</t>
        </is>
      </c>
      <c r="D2798" s="0" t="inlineStr">
        <is>
          <t>'111415</t>
        </is>
      </c>
      <c r="E2798" s="0" t="inlineStr">
        <is>
          <t>ISU WREN:111415A-S</t>
        </is>
      </c>
      <c r="F2798" s="0" t="inlineStr">
        <is>
          <t>'801111415048</t>
        </is>
      </c>
      <c r="G2798" s="0" t="inlineStr">
        <is>
          <t>WOMENS</t>
        </is>
      </c>
      <c r="H2798" s="0" t="inlineStr">
        <is>
          <t>S</t>
        </is>
      </c>
      <c r="I2798" s="0">
        <v>32.99</v>
      </c>
      <c r="J2798" s="0">
        <v>9</v>
      </c>
    </row>
    <row r="2799" spans="1:10" customHeight="0">
      <c r="A2799" s="0">
        <f>HYPERLINK("https://dl.dropboxusercontent.com/scl/fi/8zwtbq610kpkchlfmyq5n/wren37819.jpg?rlkey=xq5mja2dk6gqyaz2vnattz0sj&amp;dl=0","Click to download Image")</f>
      </c>
      <c r="B2799" s="0">
        <f>HYPERLINK("https://dl.dropboxusercontent.com/scl/fi/rd4yv2tqs2hsseow8dul5/womens-tank-top-size-chartswren.jpg?rlkey=mfhga5jybzawfwr62kazv3716&amp;dl=0","Click to download SizeChart")</f>
      </c>
      <c r="C2799" s="0" t="inlineStr">
        <is>
          <t>Wren Women's Tank Top</t>
        </is>
      </c>
      <c r="D2799" s="0" t="inlineStr">
        <is>
          <t>'111415</t>
        </is>
      </c>
      <c r="E2799" s="0" t="inlineStr">
        <is>
          <t>ISU WREN:111415B-M</t>
        </is>
      </c>
      <c r="F2799" s="0" t="inlineStr">
        <is>
          <t>'801111415055</t>
        </is>
      </c>
      <c r="G2799" s="0" t="inlineStr">
        <is>
          <t>WOMENS</t>
        </is>
      </c>
      <c r="H2799" s="0" t="inlineStr">
        <is>
          <t>M</t>
        </is>
      </c>
      <c r="I2799" s="0">
        <v>32.99</v>
      </c>
      <c r="J2799" s="0">
        <v>26</v>
      </c>
    </row>
    <row r="2800" spans="1:10" customHeight="0">
      <c r="A2800" s="0">
        <f>HYPERLINK("https://dl.dropboxusercontent.com/scl/fi/8zwtbq610kpkchlfmyq5n/wren37819.jpg?rlkey=xq5mja2dk6gqyaz2vnattz0sj&amp;dl=0","Click to download Image")</f>
      </c>
      <c r="B2800" s="0">
        <f>HYPERLINK("https://dl.dropboxusercontent.com/scl/fi/rd4yv2tqs2hsseow8dul5/womens-tank-top-size-chartswren.jpg?rlkey=mfhga5jybzawfwr62kazv3716&amp;dl=0","Click to download SizeChart")</f>
      </c>
      <c r="C2800" s="0" t="inlineStr">
        <is>
          <t>Wren Women's Tank Top</t>
        </is>
      </c>
      <c r="D2800" s="0" t="inlineStr">
        <is>
          <t>'111415</t>
        </is>
      </c>
      <c r="E2800" s="0" t="inlineStr">
        <is>
          <t>ISU WREN:111415C-L</t>
        </is>
      </c>
      <c r="F2800" s="0" t="inlineStr">
        <is>
          <t>'801111415062</t>
        </is>
      </c>
      <c r="G2800" s="0" t="inlineStr">
        <is>
          <t>WOMENS</t>
        </is>
      </c>
      <c r="H2800" s="0" t="inlineStr">
        <is>
          <t>L</t>
        </is>
      </c>
      <c r="I2800" s="0">
        <v>32.99</v>
      </c>
      <c r="J2800" s="0">
        <v>27</v>
      </c>
    </row>
    <row r="2801" spans="1:10" customHeight="0">
      <c r="A2801" s="0">
        <f>HYPERLINK("https://dl.dropboxusercontent.com/scl/fi/8zwtbq610kpkchlfmyq5n/wren37819.jpg?rlkey=xq5mja2dk6gqyaz2vnattz0sj&amp;dl=0","Click to download Image")</f>
      </c>
      <c r="B2801" s="0">
        <f>HYPERLINK("https://dl.dropboxusercontent.com/scl/fi/rd4yv2tqs2hsseow8dul5/womens-tank-top-size-chartswren.jpg?rlkey=mfhga5jybzawfwr62kazv3716&amp;dl=0","Click to download SizeChart")</f>
      </c>
      <c r="C2801" s="0" t="inlineStr">
        <is>
          <t>Wren Women's Tank Top</t>
        </is>
      </c>
      <c r="D2801" s="0" t="inlineStr">
        <is>
          <t>'111415</t>
        </is>
      </c>
      <c r="E2801" s="0" t="inlineStr">
        <is>
          <t>ISU WREN:111415D-XL</t>
        </is>
      </c>
      <c r="F2801" s="0" t="inlineStr">
        <is>
          <t>'801111415079</t>
        </is>
      </c>
      <c r="G2801" s="0" t="inlineStr">
        <is>
          <t>WOMENS</t>
        </is>
      </c>
      <c r="H2801" s="0" t="inlineStr">
        <is>
          <t>XL</t>
        </is>
      </c>
      <c r="I2801" s="0">
        <v>32.99</v>
      </c>
      <c r="J2801" s="0">
        <v>12</v>
      </c>
    </row>
    <row r="2802" spans="1:10" customHeight="0">
      <c r="A2802" s="0">
        <f>HYPERLINK("https://dl.dropboxusercontent.com/scl/fi/8zwtbq610kpkchlfmyq5n/wren37819.jpg?rlkey=xq5mja2dk6gqyaz2vnattz0sj&amp;dl=0","Click to download Image")</f>
      </c>
      <c r="B2802" s="0">
        <f>HYPERLINK("https://dl.dropboxusercontent.com/scl/fi/rd4yv2tqs2hsseow8dul5/womens-tank-top-size-chartswren.jpg?rlkey=mfhga5jybzawfwr62kazv3716&amp;dl=0","Click to download SizeChart")</f>
      </c>
      <c r="C2802" s="0" t="inlineStr">
        <is>
          <t>Wren Women's Tank Top</t>
        </is>
      </c>
      <c r="D2802" s="0" t="inlineStr">
        <is>
          <t>'111415</t>
        </is>
      </c>
      <c r="E2802" s="0" t="inlineStr">
        <is>
          <t>ISU WREN:111415E-2XL</t>
        </is>
      </c>
      <c r="F2802" s="0" t="inlineStr">
        <is>
          <t>'801111415086</t>
        </is>
      </c>
      <c r="G2802" s="0" t="inlineStr">
        <is>
          <t>WOMENS</t>
        </is>
      </c>
      <c r="H2802" s="0" t="inlineStr">
        <is>
          <t>2XL</t>
        </is>
      </c>
      <c r="I2802" s="0">
        <v>34.99</v>
      </c>
      <c r="J2802" s="0">
        <v>4</v>
      </c>
    </row>
    <row r="2803" spans="1:10" customHeight="0">
      <c r="A2803" s="0">
        <f>HYPERLINK("https://dl.dropboxusercontent.com/scl/fi/8zwtbq610kpkchlfmyq5n/wren37819.jpg?rlkey=xq5mja2dk6gqyaz2vnattz0sj&amp;dl=0","Click to download Image")</f>
      </c>
      <c r="B2803" s="0">
        <f>HYPERLINK("https://dl.dropboxusercontent.com/scl/fi/rd4yv2tqs2hsseow8dul5/womens-tank-top-size-chartswren.jpg?rlkey=mfhga5jybzawfwr62kazv3716&amp;dl=0","Click to download SizeChart")</f>
      </c>
      <c r="C2803" s="0" t="inlineStr">
        <is>
          <t>Wren Women's Tank Top</t>
        </is>
      </c>
      <c r="D2803" s="0" t="inlineStr">
        <is>
          <t>'111415</t>
        </is>
      </c>
      <c r="E2803" s="0" t="inlineStr">
        <is>
          <t>ISU WREN:111415F-3XL</t>
        </is>
      </c>
      <c r="F2803" s="0" t="inlineStr">
        <is>
          <t>'801111415093</t>
        </is>
      </c>
      <c r="G2803" s="0" t="inlineStr">
        <is>
          <t>WOMENS</t>
        </is>
      </c>
      <c r="H2803" s="0" t="inlineStr">
        <is>
          <t>3XL</t>
        </is>
      </c>
      <c r="I2803" s="0">
        <v>34.99</v>
      </c>
      <c r="J2803" s="0">
        <v>2</v>
      </c>
    </row>
    <row r="2804" spans="1:10" customHeight="0">
      <c r="A2804" s="0">
        <f>HYPERLINK("https://dl.dropboxusercontent.com/scl/fi/8zwtbq610kpkchlfmyq5n/wren37819.jpg?rlkey=xq5mja2dk6gqyaz2vnattz0sj&amp;dl=0","Click to download Image")</f>
      </c>
      <c r="B2804" s="0">
        <f>HYPERLINK("https://dl.dropboxusercontent.com/scl/fi/rd4yv2tqs2hsseow8dul5/womens-tank-top-size-chartswren.jpg?rlkey=mfhga5jybzawfwr62kazv3716&amp;dl=0","Click to download SizeChart")</f>
      </c>
      <c r="C2804" s="0" t="inlineStr">
        <is>
          <t>Wren Women's Tank Top</t>
        </is>
      </c>
      <c r="D2804" s="0" t="inlineStr">
        <is>
          <t>'111415</t>
        </is>
      </c>
      <c r="E2804" s="0" t="inlineStr">
        <is>
          <t>ISU WREN 12 PACK:111415Z-12PK</t>
        </is>
      </c>
      <c r="F2804" s="0" t="inlineStr">
        <is>
          <t>'801111415994</t>
        </is>
      </c>
      <c r="G2804" s="0" t="inlineStr">
        <is>
          <t>WOMENS</t>
        </is>
      </c>
      <c r="H2804" s="0" t="inlineStr">
        <is>
          <t>12 PACK</t>
        </is>
      </c>
      <c r="I2804" s="0">
        <v>371.88</v>
      </c>
      <c r="J2804" s="0">
        <v>0</v>
      </c>
    </row>
    <row r="2805" spans="1:10" customHeight="0">
      <c r="A2805" s="0">
        <f>HYPERLINK("https://dl.dropboxusercontent.com/scl/fi/bwuqlayvs60dcv2qr7m2w/116497-f.jpg?rlkey=uh3ahwepneb563r9dt7g0c5ba&amp;dl=0","Click to download Image")</f>
      </c>
      <c r="B2805" s="0">
        <f>HYPERLINK("https://dl.dropboxusercontent.com/scl/fi/jiexy74t0tqem99wn5l3p/graphic-update22022-infant.jpg?rlkey=cs3drdfylamp26tsxdn2z14vw&amp;dl=0","Click to download SizeChart")</f>
      </c>
      <c r="C2805" s="0" t="inlineStr">
        <is>
          <t>Marcy Infant Flutter Romper</t>
        </is>
      </c>
      <c r="D2805" s="0" t="inlineStr">
        <is>
          <t>'116497</t>
        </is>
      </c>
      <c r="E2805" s="0" t="inlineStr">
        <is>
          <t>ISU MARCY I GOLD:116497A-0-3M</t>
        </is>
      </c>
      <c r="F2805" s="0" t="inlineStr">
        <is>
          <t>'801116497001</t>
        </is>
      </c>
      <c r="G2805" s="0" t="inlineStr">
        <is>
          <t>INFANT</t>
        </is>
      </c>
      <c r="H2805" s="0" t="inlineStr">
        <is>
          <t>0-3M</t>
        </is>
      </c>
      <c r="I2805" s="0">
        <v>29.99</v>
      </c>
      <c r="J2805" s="0">
        <v>10</v>
      </c>
    </row>
    <row r="2806" spans="1:10" customHeight="0">
      <c r="A2806" s="0">
        <f>HYPERLINK("https://dl.dropboxusercontent.com/scl/fi/bwuqlayvs60dcv2qr7m2w/116497-f.jpg?rlkey=uh3ahwepneb563r9dt7g0c5ba&amp;dl=0","Click to download Image")</f>
      </c>
      <c r="B2806" s="0">
        <f>HYPERLINK("https://dl.dropboxusercontent.com/scl/fi/jiexy74t0tqem99wn5l3p/graphic-update22022-infant.jpg?rlkey=cs3drdfylamp26tsxdn2z14vw&amp;dl=0","Click to download SizeChart")</f>
      </c>
      <c r="C2806" s="0" t="inlineStr">
        <is>
          <t>Marcy Infant Flutter Romper</t>
        </is>
      </c>
      <c r="D2806" s="0" t="inlineStr">
        <is>
          <t>'116497</t>
        </is>
      </c>
      <c r="E2806" s="0" t="inlineStr">
        <is>
          <t>ISU MARCY I GOLD:116497B-3-6M</t>
        </is>
      </c>
      <c r="F2806" s="0" t="inlineStr">
        <is>
          <t>'801116497018</t>
        </is>
      </c>
      <c r="G2806" s="0" t="inlineStr">
        <is>
          <t>INFANT</t>
        </is>
      </c>
      <c r="H2806" s="0" t="inlineStr">
        <is>
          <t>3-6M</t>
        </is>
      </c>
      <c r="I2806" s="0">
        <v>29.99</v>
      </c>
      <c r="J2806" s="0">
        <v>7</v>
      </c>
    </row>
    <row r="2807" spans="1:10" customHeight="0">
      <c r="A2807" s="0">
        <f>HYPERLINK("https://dl.dropboxusercontent.com/scl/fi/bwuqlayvs60dcv2qr7m2w/116497-f.jpg?rlkey=uh3ahwepneb563r9dt7g0c5ba&amp;dl=0","Click to download Image")</f>
      </c>
      <c r="B2807" s="0">
        <f>HYPERLINK("https://dl.dropboxusercontent.com/scl/fi/jiexy74t0tqem99wn5l3p/graphic-update22022-infant.jpg?rlkey=cs3drdfylamp26tsxdn2z14vw&amp;dl=0","Click to download SizeChart")</f>
      </c>
      <c r="C2807" s="0" t="inlineStr">
        <is>
          <t>Marcy Infant Flutter Romper</t>
        </is>
      </c>
      <c r="D2807" s="0" t="inlineStr">
        <is>
          <t>'116497</t>
        </is>
      </c>
      <c r="E2807" s="0" t="inlineStr">
        <is>
          <t>ISU MARCY I GOLD:116497C-6-9M</t>
        </is>
      </c>
      <c r="F2807" s="0" t="inlineStr">
        <is>
          <t>'801116497025</t>
        </is>
      </c>
      <c r="G2807" s="0" t="inlineStr">
        <is>
          <t>INFANT</t>
        </is>
      </c>
      <c r="H2807" s="0" t="inlineStr">
        <is>
          <t>6-9M</t>
        </is>
      </c>
      <c r="I2807" s="0">
        <v>29.99</v>
      </c>
      <c r="J2807" s="0">
        <v>11</v>
      </c>
    </row>
    <row r="2808" spans="1:10" customHeight="0">
      <c r="A2808" s="0">
        <f>HYPERLINK("https://dl.dropboxusercontent.com/scl/fi/bwuqlayvs60dcv2qr7m2w/116497-f.jpg?rlkey=uh3ahwepneb563r9dt7g0c5ba&amp;dl=0","Click to download Image")</f>
      </c>
      <c r="B2808" s="0">
        <f>HYPERLINK("https://dl.dropboxusercontent.com/scl/fi/jiexy74t0tqem99wn5l3p/graphic-update22022-infant.jpg?rlkey=cs3drdfylamp26tsxdn2z14vw&amp;dl=0","Click to download SizeChart")</f>
      </c>
      <c r="C2808" s="0" t="inlineStr">
        <is>
          <t>Marcy Infant Flutter Romper</t>
        </is>
      </c>
      <c r="D2808" s="0" t="inlineStr">
        <is>
          <t>'116497</t>
        </is>
      </c>
      <c r="E2808" s="0" t="inlineStr">
        <is>
          <t>ISU MARCY I GOLD:116497F-12M</t>
        </is>
      </c>
      <c r="F2808" s="0" t="inlineStr">
        <is>
          <t>'801116497032</t>
        </is>
      </c>
      <c r="G2808" s="0" t="inlineStr">
        <is>
          <t>INFANT</t>
        </is>
      </c>
      <c r="H2808" s="0" t="inlineStr">
        <is>
          <t>12M</t>
        </is>
      </c>
      <c r="I2808" s="0">
        <v>29.99</v>
      </c>
      <c r="J2808" s="0">
        <v>8</v>
      </c>
    </row>
    <row r="2809" spans="1:10" customHeight="0">
      <c r="A2809" s="0">
        <f>HYPERLINK("https://dl.dropboxusercontent.com/scl/fi/bwuqlayvs60dcv2qr7m2w/116497-f.jpg?rlkey=uh3ahwepneb563r9dt7g0c5ba&amp;dl=0","Click to download Image")</f>
      </c>
      <c r="B2809" s="0">
        <f>HYPERLINK("https://dl.dropboxusercontent.com/scl/fi/jiexy74t0tqem99wn5l3p/graphic-update22022-infant.jpg?rlkey=cs3drdfylamp26tsxdn2z14vw&amp;dl=0","Click to download SizeChart")</f>
      </c>
      <c r="C2809" s="0" t="inlineStr">
        <is>
          <t>Marcy Infant Flutter Romper</t>
        </is>
      </c>
      <c r="D2809" s="0" t="inlineStr">
        <is>
          <t>'116497</t>
        </is>
      </c>
      <c r="E2809" s="0" t="inlineStr">
        <is>
          <t>ISU MARCY I GOLD 12 PACK:116497Z-12PK</t>
        </is>
      </c>
      <c r="F2809" s="0" t="inlineStr">
        <is>
          <t>'801116497995</t>
        </is>
      </c>
      <c r="G2809" s="0" t="inlineStr">
        <is>
          <t>INFANT</t>
        </is>
      </c>
      <c r="H2809" s="0" t="inlineStr">
        <is>
          <t>12 PACK</t>
        </is>
      </c>
      <c r="I2809" s="0">
        <v>311.76</v>
      </c>
      <c r="J2809" s="0">
        <v>3</v>
      </c>
    </row>
    <row r="2810" spans="1:10" customHeight="0">
      <c r="A2810" s="0">
        <f>HYPERLINK("https://dl.dropboxusercontent.com/scl/fi/7ytb51dws59j2jtzb94xi/115365-af.jpg?rlkey=3ccnd8jphsrpejvs68kle688z&amp;dl=0","Click to download Image")</f>
      </c>
      <c r="C2810" s="0" t="inlineStr">
        <is>
          <t>Voight Mens Cap</t>
        </is>
      </c>
      <c r="D2810" s="0" t="inlineStr">
        <is>
          <t>'115365</t>
        </is>
      </c>
      <c r="E2810" s="0" t="inlineStr">
        <is>
          <t>UNI VOIGHT A GREY:115365</t>
        </is>
      </c>
      <c r="F2810" s="0" t="inlineStr">
        <is>
          <t>'702115365004</t>
        </is>
      </c>
      <c r="G2810" s="0" t="inlineStr">
        <is>
          <t>MENS</t>
        </is>
      </c>
      <c r="H2810" s="0" t="inlineStr">
        <is>
          <t>STANDARD MENS</t>
        </is>
      </c>
      <c r="I2810" s="0">
        <v>24.99</v>
      </c>
      <c r="J2810" s="0">
        <v>14</v>
      </c>
    </row>
    <row r="2811" spans="1:10" customHeight="0">
      <c r="A2811" s="0">
        <f>HYPERLINK("https://dl.dropboxusercontent.com/scl/fi/9g1ckbokslk0k5d51l7it/115364-af.jpg?rlkey=t55etq12url8j3d3cg441pech&amp;dl=0","Click to download Image")</f>
      </c>
      <c r="C2811" s="0" t="inlineStr">
        <is>
          <t>Voight Mens Cap</t>
        </is>
      </c>
      <c r="D2811" s="0" t="inlineStr">
        <is>
          <t>'115364</t>
        </is>
      </c>
      <c r="E2811" s="0" t="inlineStr">
        <is>
          <t>ISU VOIGHT A GREY:115364</t>
        </is>
      </c>
      <c r="F2811" s="0" t="inlineStr">
        <is>
          <t>'701115364000</t>
        </is>
      </c>
      <c r="G2811" s="0" t="inlineStr">
        <is>
          <t>MENS</t>
        </is>
      </c>
      <c r="H2811" s="0" t="inlineStr">
        <is>
          <t>STANDARD MENS</t>
        </is>
      </c>
      <c r="I2811" s="0">
        <v>24.99</v>
      </c>
      <c r="J2811" s="0">
        <v>82</v>
      </c>
    </row>
    <row r="2812" spans="1:10" customHeight="0">
      <c r="A2812" s="0">
        <f>HYPERLINK("https://dl.dropboxusercontent.com/scl/fi/q78vnu3wrfrszp2cs75ih/120547-af.jpg?rlkey=yw6kqohjize0aq3m6h3dvbb5b&amp;dl=0","Click to download Image")</f>
      </c>
      <c r="C2812" s="0" t="inlineStr">
        <is>
          <t>Voight Mens Cap</t>
        </is>
      </c>
      <c r="D2812" s="0" t="inlineStr">
        <is>
          <t>'120547</t>
        </is>
      </c>
      <c r="E2812" s="0" t="inlineStr">
        <is>
          <t>KSU A VOIGHT:120547</t>
        </is>
      </c>
      <c r="F2812" s="0" t="inlineStr">
        <is>
          <t>'000000000000</t>
        </is>
      </c>
      <c r="G2812" s="0" t="inlineStr">
        <is>
          <t>MENS</t>
        </is>
      </c>
      <c r="H2812" s="0" t="inlineStr">
        <is>
          <t>STANDARD MENS</t>
        </is>
      </c>
      <c r="I2812" s="0">
        <v>24.99</v>
      </c>
      <c r="J2812" s="0">
        <v>135</v>
      </c>
    </row>
    <row r="2813" spans="1:10" customHeight="0">
      <c r="A2813" s="0">
        <f>HYPERLINK("https://dl.dropboxusercontent.com/scl/fi/aeikjyln84sgq1x62tpgf/126071-af.jpg?rlkey=ne4qymj4yiocq6qcbj2brpdrw&amp;dl=0","Click to download Image")</f>
      </c>
      <c r="C2813" s="0" t="inlineStr">
        <is>
          <t>Voight Mens Cap</t>
        </is>
      </c>
      <c r="D2813" s="0" t="inlineStr">
        <is>
          <t>'126071</t>
        </is>
      </c>
      <c r="E2813" s="0" t="inlineStr">
        <is>
          <t>MU VOIGHT A GY:126071</t>
        </is>
      </c>
      <c r="F2813" s="0" t="inlineStr">
        <is>
          <t>'703126071007</t>
        </is>
      </c>
      <c r="G2813" s="0" t="inlineStr">
        <is>
          <t>MENS</t>
        </is>
      </c>
      <c r="H2813" s="0" t="inlineStr">
        <is>
          <t>STANDARD MENS</t>
        </is>
      </c>
      <c r="I2813" s="0">
        <v>24.99</v>
      </c>
      <c r="J2813" s="0">
        <v>55</v>
      </c>
    </row>
    <row r="2814" spans="1:10" customHeight="0">
      <c r="A2814" s="0">
        <f>HYPERLINK("https://dl.dropboxusercontent.com/scl/fi/cec321rhe4dwv7c2q6suz/121641-af.jpg?rlkey=qe3j86eym3zjt4nbqgwmnc20t&amp;dl=0","Click to download Image")</f>
      </c>
      <c r="B2814" s="0">
        <f>HYPERLINK("https://dl.dropboxusercontent.com/scl/fi/l91j9b4v907wi3bsfp8xc/mens-t-shirt-size-chartsorlando.jpg?rlkey=5aymuq5m4v2k1okf93ok8amfj&amp;dl=0","Click to download SizeChart")</f>
      </c>
      <c r="C2814" s="0" t="inlineStr">
        <is>
          <t>Roosevelt Men's Camo Short Sleeve Shirt</t>
        </is>
      </c>
      <c r="D2814" s="0" t="inlineStr">
        <is>
          <t>'121641</t>
        </is>
      </c>
      <c r="E2814" s="0" t="inlineStr">
        <is>
          <t>UNI ROOSEV M CO:121641A-S</t>
        </is>
      </c>
      <c r="F2814" s="0" t="inlineStr">
        <is>
          <t>'802121641045</t>
        </is>
      </c>
      <c r="G2814" s="0" t="inlineStr">
        <is>
          <t>MENS</t>
        </is>
      </c>
      <c r="H2814" s="0" t="inlineStr">
        <is>
          <t>S</t>
        </is>
      </c>
      <c r="I2814" s="0">
        <v>29.99</v>
      </c>
      <c r="J2814" s="0">
        <v>2</v>
      </c>
    </row>
    <row r="2815" spans="1:10" customHeight="0">
      <c r="A2815" s="0">
        <f>HYPERLINK("https://dl.dropboxusercontent.com/scl/fi/cec321rhe4dwv7c2q6suz/121641-af.jpg?rlkey=qe3j86eym3zjt4nbqgwmnc20t&amp;dl=0","Click to download Image")</f>
      </c>
      <c r="B2815" s="0">
        <f>HYPERLINK("https://dl.dropboxusercontent.com/scl/fi/l91j9b4v907wi3bsfp8xc/mens-t-shirt-size-chartsorlando.jpg?rlkey=5aymuq5m4v2k1okf93ok8amfj&amp;dl=0","Click to download SizeChart")</f>
      </c>
      <c r="C2815" s="0" t="inlineStr">
        <is>
          <t>Roosevelt Men's Camo Short Sleeve Shirt</t>
        </is>
      </c>
      <c r="D2815" s="0" t="inlineStr">
        <is>
          <t>'121641</t>
        </is>
      </c>
      <c r="E2815" s="0" t="inlineStr">
        <is>
          <t>UNI ROOSEV M CO:121641B-M</t>
        </is>
      </c>
      <c r="F2815" s="0" t="inlineStr">
        <is>
          <t>'802121641052</t>
        </is>
      </c>
      <c r="G2815" s="0" t="inlineStr">
        <is>
          <t>MENS</t>
        </is>
      </c>
      <c r="H2815" s="0" t="inlineStr">
        <is>
          <t>M</t>
        </is>
      </c>
      <c r="I2815" s="0">
        <v>29.99</v>
      </c>
      <c r="J2815" s="0">
        <v>4</v>
      </c>
    </row>
    <row r="2816" spans="1:10" customHeight="0">
      <c r="A2816" s="0">
        <f>HYPERLINK("https://dl.dropboxusercontent.com/scl/fi/cec321rhe4dwv7c2q6suz/121641-af.jpg?rlkey=qe3j86eym3zjt4nbqgwmnc20t&amp;dl=0","Click to download Image")</f>
      </c>
      <c r="B2816" s="0">
        <f>HYPERLINK("https://dl.dropboxusercontent.com/scl/fi/l91j9b4v907wi3bsfp8xc/mens-t-shirt-size-chartsorlando.jpg?rlkey=5aymuq5m4v2k1okf93ok8amfj&amp;dl=0","Click to download SizeChart")</f>
      </c>
      <c r="C2816" s="0" t="inlineStr">
        <is>
          <t>Roosevelt Men's Camo Short Sleeve Shirt</t>
        </is>
      </c>
      <c r="D2816" s="0" t="inlineStr">
        <is>
          <t>'121641</t>
        </is>
      </c>
      <c r="E2816" s="0" t="inlineStr">
        <is>
          <t>UNI ROOSEV M CO:121641C-L</t>
        </is>
      </c>
      <c r="F2816" s="0" t="inlineStr">
        <is>
          <t>'802121641069</t>
        </is>
      </c>
      <c r="G2816" s="0" t="inlineStr">
        <is>
          <t>MENS</t>
        </is>
      </c>
      <c r="H2816" s="0" t="inlineStr">
        <is>
          <t>L</t>
        </is>
      </c>
      <c r="I2816" s="0">
        <v>29.99</v>
      </c>
      <c r="J2816" s="0">
        <v>6</v>
      </c>
    </row>
    <row r="2817" spans="1:10" customHeight="0">
      <c r="A2817" s="0">
        <f>HYPERLINK("https://dl.dropboxusercontent.com/scl/fi/cec321rhe4dwv7c2q6suz/121641-af.jpg?rlkey=qe3j86eym3zjt4nbqgwmnc20t&amp;dl=0","Click to download Image")</f>
      </c>
      <c r="B2817" s="0">
        <f>HYPERLINK("https://dl.dropboxusercontent.com/scl/fi/l91j9b4v907wi3bsfp8xc/mens-t-shirt-size-chartsorlando.jpg?rlkey=5aymuq5m4v2k1okf93ok8amfj&amp;dl=0","Click to download SizeChart")</f>
      </c>
      <c r="C2817" s="0" t="inlineStr">
        <is>
          <t>Roosevelt Men's Camo Short Sleeve Shirt</t>
        </is>
      </c>
      <c r="D2817" s="0" t="inlineStr">
        <is>
          <t>'121641</t>
        </is>
      </c>
      <c r="E2817" s="0" t="inlineStr">
        <is>
          <t>UNI ROOSEV M CO:121641D-XL</t>
        </is>
      </c>
      <c r="F2817" s="0" t="inlineStr">
        <is>
          <t>'802121641076</t>
        </is>
      </c>
      <c r="G2817" s="0" t="inlineStr">
        <is>
          <t>MENS</t>
        </is>
      </c>
      <c r="H2817" s="0" t="inlineStr">
        <is>
          <t>XL</t>
        </is>
      </c>
      <c r="I2817" s="0">
        <v>29.99</v>
      </c>
      <c r="J2817" s="0">
        <v>6</v>
      </c>
    </row>
    <row r="2818" spans="1:10" customHeight="0">
      <c r="A2818" s="0">
        <f>HYPERLINK("https://dl.dropboxusercontent.com/scl/fi/cec321rhe4dwv7c2q6suz/121641-af.jpg?rlkey=qe3j86eym3zjt4nbqgwmnc20t&amp;dl=0","Click to download Image")</f>
      </c>
      <c r="B2818" s="0">
        <f>HYPERLINK("https://dl.dropboxusercontent.com/scl/fi/l91j9b4v907wi3bsfp8xc/mens-t-shirt-size-chartsorlando.jpg?rlkey=5aymuq5m4v2k1okf93ok8amfj&amp;dl=0","Click to download SizeChart")</f>
      </c>
      <c r="C2818" s="0" t="inlineStr">
        <is>
          <t>Roosevelt Men's Camo Short Sleeve Shirt</t>
        </is>
      </c>
      <c r="D2818" s="0" t="inlineStr">
        <is>
          <t>'121641</t>
        </is>
      </c>
      <c r="E2818" s="0" t="inlineStr">
        <is>
          <t>UNI ROOSEV M CO:121641E-2XL</t>
        </is>
      </c>
      <c r="F2818" s="0" t="inlineStr">
        <is>
          <t>'802121641083</t>
        </is>
      </c>
      <c r="G2818" s="0" t="inlineStr">
        <is>
          <t>MENS</t>
        </is>
      </c>
      <c r="H2818" s="0" t="inlineStr">
        <is>
          <t>2XL</t>
        </is>
      </c>
      <c r="I2818" s="0">
        <v>31.99</v>
      </c>
      <c r="J2818" s="0">
        <v>3</v>
      </c>
    </row>
    <row r="2819" spans="1:10" customHeight="0">
      <c r="A2819" s="0">
        <f>HYPERLINK("https://dl.dropboxusercontent.com/scl/fi/cec321rhe4dwv7c2q6suz/121641-af.jpg?rlkey=qe3j86eym3zjt4nbqgwmnc20t&amp;dl=0","Click to download Image")</f>
      </c>
      <c r="B2819" s="0">
        <f>HYPERLINK("https://dl.dropboxusercontent.com/scl/fi/l91j9b4v907wi3bsfp8xc/mens-t-shirt-size-chartsorlando.jpg?rlkey=5aymuq5m4v2k1okf93ok8amfj&amp;dl=0","Click to download SizeChart")</f>
      </c>
      <c r="C2819" s="0" t="inlineStr">
        <is>
          <t>Roosevelt Men's Camo Short Sleeve Shirt</t>
        </is>
      </c>
      <c r="D2819" s="0" t="inlineStr">
        <is>
          <t>'121641</t>
        </is>
      </c>
      <c r="E2819" s="0" t="inlineStr">
        <is>
          <t>UNI ROOSEV M CO:121641F-3XL</t>
        </is>
      </c>
      <c r="F2819" s="0" t="inlineStr">
        <is>
          <t>'802121641090</t>
        </is>
      </c>
      <c r="G2819" s="0" t="inlineStr">
        <is>
          <t>MENS</t>
        </is>
      </c>
      <c r="H2819" s="0" t="inlineStr">
        <is>
          <t>3XL</t>
        </is>
      </c>
      <c r="I2819" s="0">
        <v>31.99</v>
      </c>
      <c r="J2819" s="0">
        <v>0</v>
      </c>
    </row>
    <row r="2820" spans="1:10" customHeight="0">
      <c r="A2820" s="0">
        <f>HYPERLINK("https://dl.dropboxusercontent.com/scl/fi/cec321rhe4dwv7c2q6suz/121641-af.jpg?rlkey=qe3j86eym3zjt4nbqgwmnc20t&amp;dl=0","Click to download Image")</f>
      </c>
      <c r="B2820" s="0">
        <f>HYPERLINK("https://dl.dropboxusercontent.com/scl/fi/l91j9b4v907wi3bsfp8xc/mens-t-shirt-size-chartsorlando.jpg?rlkey=5aymuq5m4v2k1okf93ok8amfj&amp;dl=0","Click to download SizeChart")</f>
      </c>
      <c r="C2820" s="0" t="inlineStr">
        <is>
          <t>Roosevelt Men's Camo Short Sleeve Shirt</t>
        </is>
      </c>
      <c r="D2820" s="0" t="inlineStr">
        <is>
          <t>'121641</t>
        </is>
      </c>
      <c r="E2820" s="0" t="inlineStr">
        <is>
          <t>UNI ROOSEV M CO 12PK:121641Z-12PK</t>
        </is>
      </c>
      <c r="F2820" s="0" t="inlineStr">
        <is>
          <t>'802121641991</t>
        </is>
      </c>
      <c r="G2820" s="0" t="inlineStr">
        <is>
          <t>MENS</t>
        </is>
      </c>
      <c r="H2820" s="0" t="inlineStr">
        <is>
          <t>12 PACK</t>
        </is>
      </c>
      <c r="I2820" s="0">
        <v>239.76</v>
      </c>
      <c r="J2820" s="0">
        <v>0</v>
      </c>
    </row>
    <row r="2821" spans="1:10" customHeight="0">
      <c r="A2821" s="0">
        <f>HYPERLINK("https://dl.dropboxusercontent.com/scl/fi/jvr12ma39cbm529ltcju2/121640-af.jpg?rlkey=bq5zvuett1f4kc0xapcjhu55d&amp;dl=0","Click to download Image")</f>
      </c>
      <c r="B2821" s="0">
        <f>HYPERLINK("https://dl.dropboxusercontent.com/scl/fi/l91j9b4v907wi3bsfp8xc/mens-t-shirt-size-chartsorlando.jpg?rlkey=5aymuq5m4v2k1okf93ok8amfj&amp;dl=0","Click to download SizeChart")</f>
      </c>
      <c r="C2821" s="0" t="inlineStr">
        <is>
          <t>Roosevelt Men's Camo Short Sleeve Shirt</t>
        </is>
      </c>
      <c r="D2821" s="0" t="inlineStr">
        <is>
          <t>'121640</t>
        </is>
      </c>
      <c r="E2821" s="0" t="inlineStr">
        <is>
          <t>ISU ROOSEV M CO:121640A-S</t>
        </is>
      </c>
      <c r="F2821" s="0" t="inlineStr">
        <is>
          <t>'801121640041</t>
        </is>
      </c>
      <c r="G2821" s="0" t="inlineStr">
        <is>
          <t>MENS</t>
        </is>
      </c>
      <c r="H2821" s="0" t="inlineStr">
        <is>
          <t>S</t>
        </is>
      </c>
      <c r="I2821" s="0">
        <v>29.99</v>
      </c>
      <c r="J2821" s="0">
        <v>2</v>
      </c>
    </row>
    <row r="2822" spans="1:10" customHeight="0">
      <c r="A2822" s="0">
        <f>HYPERLINK("https://dl.dropboxusercontent.com/scl/fi/jvr12ma39cbm529ltcju2/121640-af.jpg?rlkey=bq5zvuett1f4kc0xapcjhu55d&amp;dl=0","Click to download Image")</f>
      </c>
      <c r="B2822" s="0">
        <f>HYPERLINK("https://dl.dropboxusercontent.com/scl/fi/l91j9b4v907wi3bsfp8xc/mens-t-shirt-size-chartsorlando.jpg?rlkey=5aymuq5m4v2k1okf93ok8amfj&amp;dl=0","Click to download SizeChart")</f>
      </c>
      <c r="C2822" s="0" t="inlineStr">
        <is>
          <t>Roosevelt Men's Camo Short Sleeve Shirt</t>
        </is>
      </c>
      <c r="D2822" s="0" t="inlineStr">
        <is>
          <t>'121640</t>
        </is>
      </c>
      <c r="E2822" s="0" t="inlineStr">
        <is>
          <t>ISU ROOSEV M CO:121640B-M</t>
        </is>
      </c>
      <c r="F2822" s="0" t="inlineStr">
        <is>
          <t>'801121640058</t>
        </is>
      </c>
      <c r="G2822" s="0" t="inlineStr">
        <is>
          <t>MENS</t>
        </is>
      </c>
      <c r="H2822" s="0" t="inlineStr">
        <is>
          <t>M</t>
        </is>
      </c>
      <c r="I2822" s="0">
        <v>29.99</v>
      </c>
      <c r="J2822" s="0">
        <v>2</v>
      </c>
    </row>
    <row r="2823" spans="1:10" customHeight="0">
      <c r="A2823" s="0">
        <f>HYPERLINK("https://dl.dropboxusercontent.com/scl/fi/jvr12ma39cbm529ltcju2/121640-af.jpg?rlkey=bq5zvuett1f4kc0xapcjhu55d&amp;dl=0","Click to download Image")</f>
      </c>
      <c r="B2823" s="0">
        <f>HYPERLINK("https://dl.dropboxusercontent.com/scl/fi/l91j9b4v907wi3bsfp8xc/mens-t-shirt-size-chartsorlando.jpg?rlkey=5aymuq5m4v2k1okf93ok8amfj&amp;dl=0","Click to download SizeChart")</f>
      </c>
      <c r="C2823" s="0" t="inlineStr">
        <is>
          <t>Roosevelt Men's Camo Short Sleeve Shirt</t>
        </is>
      </c>
      <c r="D2823" s="0" t="inlineStr">
        <is>
          <t>'121640</t>
        </is>
      </c>
      <c r="E2823" s="0" t="inlineStr">
        <is>
          <t>ISU ROOSEV M CO:121640C-L</t>
        </is>
      </c>
      <c r="F2823" s="0" t="inlineStr">
        <is>
          <t>'801121640065</t>
        </is>
      </c>
      <c r="G2823" s="0" t="inlineStr">
        <is>
          <t>MENS</t>
        </is>
      </c>
      <c r="H2823" s="0" t="inlineStr">
        <is>
          <t>L</t>
        </is>
      </c>
      <c r="I2823" s="0">
        <v>29.99</v>
      </c>
      <c r="J2823" s="0">
        <v>6</v>
      </c>
    </row>
    <row r="2824" spans="1:10" customHeight="0">
      <c r="A2824" s="0">
        <f>HYPERLINK("https://dl.dropboxusercontent.com/scl/fi/jvr12ma39cbm529ltcju2/121640-af.jpg?rlkey=bq5zvuett1f4kc0xapcjhu55d&amp;dl=0","Click to download Image")</f>
      </c>
      <c r="B2824" s="0">
        <f>HYPERLINK("https://dl.dropboxusercontent.com/scl/fi/l91j9b4v907wi3bsfp8xc/mens-t-shirt-size-chartsorlando.jpg?rlkey=5aymuq5m4v2k1okf93ok8amfj&amp;dl=0","Click to download SizeChart")</f>
      </c>
      <c r="C2824" s="0" t="inlineStr">
        <is>
          <t>Roosevelt Men's Camo Short Sleeve Shirt</t>
        </is>
      </c>
      <c r="D2824" s="0" t="inlineStr">
        <is>
          <t>'121640</t>
        </is>
      </c>
      <c r="E2824" s="0" t="inlineStr">
        <is>
          <t>ISU ROOSEV M CO:121640D-XL</t>
        </is>
      </c>
      <c r="F2824" s="0" t="inlineStr">
        <is>
          <t>'801121640072</t>
        </is>
      </c>
      <c r="G2824" s="0" t="inlineStr">
        <is>
          <t>MENS</t>
        </is>
      </c>
      <c r="H2824" s="0" t="inlineStr">
        <is>
          <t>XL</t>
        </is>
      </c>
      <c r="I2824" s="0">
        <v>29.99</v>
      </c>
      <c r="J2824" s="0">
        <v>5</v>
      </c>
    </row>
    <row r="2825" spans="1:10" customHeight="0">
      <c r="A2825" s="0">
        <f>HYPERLINK("https://dl.dropboxusercontent.com/scl/fi/jvr12ma39cbm529ltcju2/121640-af.jpg?rlkey=bq5zvuett1f4kc0xapcjhu55d&amp;dl=0","Click to download Image")</f>
      </c>
      <c r="B2825" s="0">
        <f>HYPERLINK("https://dl.dropboxusercontent.com/scl/fi/l91j9b4v907wi3bsfp8xc/mens-t-shirt-size-chartsorlando.jpg?rlkey=5aymuq5m4v2k1okf93ok8amfj&amp;dl=0","Click to download SizeChart")</f>
      </c>
      <c r="C2825" s="0" t="inlineStr">
        <is>
          <t>Roosevelt Men's Camo Short Sleeve Shirt</t>
        </is>
      </c>
      <c r="D2825" s="0" t="inlineStr">
        <is>
          <t>'121640</t>
        </is>
      </c>
      <c r="E2825" s="0" t="inlineStr">
        <is>
          <t>ISU ROOSEV M CO:121640E-2XL</t>
        </is>
      </c>
      <c r="F2825" s="0" t="inlineStr">
        <is>
          <t>'801121640089</t>
        </is>
      </c>
      <c r="G2825" s="0" t="inlineStr">
        <is>
          <t>MENS</t>
        </is>
      </c>
      <c r="H2825" s="0" t="inlineStr">
        <is>
          <t>2XL</t>
        </is>
      </c>
      <c r="I2825" s="0">
        <v>31.99</v>
      </c>
      <c r="J2825" s="0">
        <v>1</v>
      </c>
    </row>
    <row r="2826" spans="1:10" customHeight="0">
      <c r="A2826" s="0">
        <f>HYPERLINK("https://dl.dropboxusercontent.com/scl/fi/jvr12ma39cbm529ltcju2/121640-af.jpg?rlkey=bq5zvuett1f4kc0xapcjhu55d&amp;dl=0","Click to download Image")</f>
      </c>
      <c r="B2826" s="0">
        <f>HYPERLINK("https://dl.dropboxusercontent.com/scl/fi/l91j9b4v907wi3bsfp8xc/mens-t-shirt-size-chartsorlando.jpg?rlkey=5aymuq5m4v2k1okf93ok8amfj&amp;dl=0","Click to download SizeChart")</f>
      </c>
      <c r="C2826" s="0" t="inlineStr">
        <is>
          <t>Roosevelt Men's Camo Short Sleeve Shirt</t>
        </is>
      </c>
      <c r="D2826" s="0" t="inlineStr">
        <is>
          <t>'121640</t>
        </is>
      </c>
      <c r="E2826" s="0" t="inlineStr">
        <is>
          <t>ISU ROOSEV M CO:121640F-3XL</t>
        </is>
      </c>
      <c r="F2826" s="0" t="inlineStr">
        <is>
          <t>'801121640096</t>
        </is>
      </c>
      <c r="G2826" s="0" t="inlineStr">
        <is>
          <t>MENS</t>
        </is>
      </c>
      <c r="H2826" s="0" t="inlineStr">
        <is>
          <t>3XL</t>
        </is>
      </c>
      <c r="I2826" s="0">
        <v>31.99</v>
      </c>
      <c r="J2826" s="0">
        <v>2</v>
      </c>
    </row>
    <row r="2827" spans="1:10" customHeight="0">
      <c r="A2827" s="0">
        <f>HYPERLINK("https://dl.dropboxusercontent.com/scl/fi/jvr12ma39cbm529ltcju2/121640-af.jpg?rlkey=bq5zvuett1f4kc0xapcjhu55d&amp;dl=0","Click to download Image")</f>
      </c>
      <c r="B2827" s="0">
        <f>HYPERLINK("https://dl.dropboxusercontent.com/scl/fi/l91j9b4v907wi3bsfp8xc/mens-t-shirt-size-chartsorlando.jpg?rlkey=5aymuq5m4v2k1okf93ok8amfj&amp;dl=0","Click to download SizeChart")</f>
      </c>
      <c r="C2827" s="0" t="inlineStr">
        <is>
          <t>Roosevelt Men's Camo Short Sleeve Shirt</t>
        </is>
      </c>
      <c r="D2827" s="0" t="inlineStr">
        <is>
          <t>'121640</t>
        </is>
      </c>
      <c r="E2827" s="0" t="inlineStr">
        <is>
          <t>ISU ROOSEV M CO 12PK:121640Z-12PK</t>
        </is>
      </c>
      <c r="F2827" s="0" t="inlineStr">
        <is>
          <t>'801121640997</t>
        </is>
      </c>
      <c r="G2827" s="0" t="inlineStr">
        <is>
          <t>MENS</t>
        </is>
      </c>
      <c r="H2827" s="0" t="inlineStr">
        <is>
          <t>12 PACK</t>
        </is>
      </c>
      <c r="I2827" s="0">
        <v>239.76</v>
      </c>
      <c r="J2827" s="0">
        <v>0</v>
      </c>
    </row>
    <row r="2828" spans="1:10" customHeight="0">
      <c r="A2828" s="0">
        <f>HYPERLINK("https://dl.dropboxusercontent.com/scl/fi/22jnjrajfuto68rnddusz/111380-af.jpg?rlkey=jayi1j0hee662o227ja75byes&amp;dl=0","Click to download Image")</f>
      </c>
      <c r="B2828" s="0">
        <f>HYPERLINK("https://dl.dropboxusercontent.com/scl/fi/ux39po5zh7rh2yvikdxwj/womens-tank-top-size-chartseva.jpg?rlkey=r6nru480b86dz0u9bf27aoswr&amp;dl=0","Click to download SizeChart")</f>
      </c>
      <c r="C2828" s="0" t="inlineStr">
        <is>
          <t>Eva Women's Sleeveless Blouse</t>
        </is>
      </c>
      <c r="D2828" s="0" t="inlineStr">
        <is>
          <t>'111380</t>
        </is>
      </c>
      <c r="E2828" s="0" t="inlineStr">
        <is>
          <t>IOWA EVA BLACK:111380AA-XS</t>
        </is>
      </c>
      <c r="F2828" s="0" t="inlineStr">
        <is>
          <t>'800111380035</t>
        </is>
      </c>
      <c r="G2828" s="0" t="inlineStr">
        <is>
          <t>WOMENS</t>
        </is>
      </c>
      <c r="H2828" s="0" t="inlineStr">
        <is>
          <t>XS</t>
        </is>
      </c>
      <c r="I2828" s="0">
        <v>49.99</v>
      </c>
      <c r="J2828" s="0">
        <v>40</v>
      </c>
    </row>
    <row r="2829" spans="1:10" customHeight="0">
      <c r="A2829" s="0">
        <f>HYPERLINK("https://dl.dropboxusercontent.com/scl/fi/22jnjrajfuto68rnddusz/111380-af.jpg?rlkey=jayi1j0hee662o227ja75byes&amp;dl=0","Click to download Image")</f>
      </c>
      <c r="B2829" s="0">
        <f>HYPERLINK("https://dl.dropboxusercontent.com/scl/fi/ux39po5zh7rh2yvikdxwj/womens-tank-top-size-chartseva.jpg?rlkey=r6nru480b86dz0u9bf27aoswr&amp;dl=0","Click to download SizeChart")</f>
      </c>
      <c r="C2829" s="0" t="inlineStr">
        <is>
          <t>Eva Women's Sleeveless Blouse</t>
        </is>
      </c>
      <c r="D2829" s="0" t="inlineStr">
        <is>
          <t>'111380</t>
        </is>
      </c>
      <c r="E2829" s="0" t="inlineStr">
        <is>
          <t>IOWA EVA BLACK:111380A-S</t>
        </is>
      </c>
      <c r="F2829" s="0" t="inlineStr">
        <is>
          <t>'800111380042</t>
        </is>
      </c>
      <c r="G2829" s="0" t="inlineStr">
        <is>
          <t>WOMENS</t>
        </is>
      </c>
      <c r="H2829" s="0" t="inlineStr">
        <is>
          <t>S</t>
        </is>
      </c>
      <c r="I2829" s="0">
        <v>49.99</v>
      </c>
      <c r="J2829" s="0">
        <v>63</v>
      </c>
    </row>
    <row r="2830" spans="1:10" customHeight="0">
      <c r="A2830" s="0">
        <f>HYPERLINK("https://dl.dropboxusercontent.com/scl/fi/22jnjrajfuto68rnddusz/111380-af.jpg?rlkey=jayi1j0hee662o227ja75byes&amp;dl=0","Click to download Image")</f>
      </c>
      <c r="B2830" s="0">
        <f>HYPERLINK("https://dl.dropboxusercontent.com/scl/fi/ux39po5zh7rh2yvikdxwj/womens-tank-top-size-chartseva.jpg?rlkey=r6nru480b86dz0u9bf27aoswr&amp;dl=0","Click to download SizeChart")</f>
      </c>
      <c r="C2830" s="0" t="inlineStr">
        <is>
          <t>Eva Women's Sleeveless Blouse</t>
        </is>
      </c>
      <c r="D2830" s="0" t="inlineStr">
        <is>
          <t>'111380</t>
        </is>
      </c>
      <c r="E2830" s="0" t="inlineStr">
        <is>
          <t>IOWA EVA BLACK:111380B-M</t>
        </is>
      </c>
      <c r="F2830" s="0" t="inlineStr">
        <is>
          <t>'800111380059</t>
        </is>
      </c>
      <c r="G2830" s="0" t="inlineStr">
        <is>
          <t>WOMENS</t>
        </is>
      </c>
      <c r="H2830" s="0" t="inlineStr">
        <is>
          <t>M</t>
        </is>
      </c>
      <c r="I2830" s="0">
        <v>49.99</v>
      </c>
      <c r="J2830" s="0">
        <v>63</v>
      </c>
    </row>
    <row r="2831" spans="1:10" customHeight="0">
      <c r="A2831" s="0">
        <f>HYPERLINK("https://dl.dropboxusercontent.com/scl/fi/22jnjrajfuto68rnddusz/111380-af.jpg?rlkey=jayi1j0hee662o227ja75byes&amp;dl=0","Click to download Image")</f>
      </c>
      <c r="B2831" s="0">
        <f>HYPERLINK("https://dl.dropboxusercontent.com/scl/fi/ux39po5zh7rh2yvikdxwj/womens-tank-top-size-chartseva.jpg?rlkey=r6nru480b86dz0u9bf27aoswr&amp;dl=0","Click to download SizeChart")</f>
      </c>
      <c r="C2831" s="0" t="inlineStr">
        <is>
          <t>Eva Women's Sleeveless Blouse</t>
        </is>
      </c>
      <c r="D2831" s="0" t="inlineStr">
        <is>
          <t>'111380</t>
        </is>
      </c>
      <c r="E2831" s="0" t="inlineStr">
        <is>
          <t>IOWA EVA BLACK:111380C-L</t>
        </is>
      </c>
      <c r="F2831" s="0" t="inlineStr">
        <is>
          <t>'800111380066</t>
        </is>
      </c>
      <c r="G2831" s="0" t="inlineStr">
        <is>
          <t>WOMENS</t>
        </is>
      </c>
      <c r="H2831" s="0" t="inlineStr">
        <is>
          <t>L</t>
        </is>
      </c>
      <c r="I2831" s="0">
        <v>49.99</v>
      </c>
      <c r="J2831" s="0">
        <v>41</v>
      </c>
    </row>
    <row r="2832" spans="1:10" customHeight="0">
      <c r="A2832" s="0">
        <f>HYPERLINK("https://dl.dropboxusercontent.com/scl/fi/22jnjrajfuto68rnddusz/111380-af.jpg?rlkey=jayi1j0hee662o227ja75byes&amp;dl=0","Click to download Image")</f>
      </c>
      <c r="B2832" s="0">
        <f>HYPERLINK("https://dl.dropboxusercontent.com/scl/fi/ux39po5zh7rh2yvikdxwj/womens-tank-top-size-chartseva.jpg?rlkey=r6nru480b86dz0u9bf27aoswr&amp;dl=0","Click to download SizeChart")</f>
      </c>
      <c r="C2832" s="0" t="inlineStr">
        <is>
          <t>Eva Women's Sleeveless Blouse</t>
        </is>
      </c>
      <c r="D2832" s="0" t="inlineStr">
        <is>
          <t>'111380</t>
        </is>
      </c>
      <c r="E2832" s="0" t="inlineStr">
        <is>
          <t>IOWA EVA BLACK:111380D-XL</t>
        </is>
      </c>
      <c r="F2832" s="0" t="inlineStr">
        <is>
          <t>'800111380073</t>
        </is>
      </c>
      <c r="G2832" s="0" t="inlineStr">
        <is>
          <t>WOMENS</t>
        </is>
      </c>
      <c r="H2832" s="0" t="inlineStr">
        <is>
          <t>XL</t>
        </is>
      </c>
      <c r="I2832" s="0">
        <v>49.99</v>
      </c>
      <c r="J2832" s="0">
        <v>42</v>
      </c>
    </row>
    <row r="2833" spans="1:10" customHeight="0">
      <c r="A2833" s="0">
        <f>HYPERLINK("https://dl.dropboxusercontent.com/scl/fi/22jnjrajfuto68rnddusz/111380-af.jpg?rlkey=jayi1j0hee662o227ja75byes&amp;dl=0","Click to download Image")</f>
      </c>
      <c r="B2833" s="0">
        <f>HYPERLINK("https://dl.dropboxusercontent.com/scl/fi/ux39po5zh7rh2yvikdxwj/womens-tank-top-size-chartseva.jpg?rlkey=r6nru480b86dz0u9bf27aoswr&amp;dl=0","Click to download SizeChart")</f>
      </c>
      <c r="C2833" s="0" t="inlineStr">
        <is>
          <t>Eva Women's Sleeveless Blouse</t>
        </is>
      </c>
      <c r="D2833" s="0" t="inlineStr">
        <is>
          <t>'111380</t>
        </is>
      </c>
      <c r="E2833" s="0" t="inlineStr">
        <is>
          <t>IOWA EVA BLACK:111380E-2XL</t>
        </is>
      </c>
      <c r="F2833" s="0" t="inlineStr">
        <is>
          <t>'800111380080</t>
        </is>
      </c>
      <c r="G2833" s="0" t="inlineStr">
        <is>
          <t>WOMENS</t>
        </is>
      </c>
      <c r="H2833" s="0" t="inlineStr">
        <is>
          <t>2XL</t>
        </is>
      </c>
      <c r="I2833" s="0">
        <v>51.99</v>
      </c>
      <c r="J2833" s="0">
        <v>24</v>
      </c>
    </row>
    <row r="2834" spans="1:10" customHeight="0">
      <c r="A2834" s="0">
        <f>HYPERLINK("https://dl.dropboxusercontent.com/scl/fi/22jnjrajfuto68rnddusz/111380-af.jpg?rlkey=jayi1j0hee662o227ja75byes&amp;dl=0","Click to download Image")</f>
      </c>
      <c r="B2834" s="0">
        <f>HYPERLINK("https://dl.dropboxusercontent.com/scl/fi/ux39po5zh7rh2yvikdxwj/womens-tank-top-size-chartseva.jpg?rlkey=r6nru480b86dz0u9bf27aoswr&amp;dl=0","Click to download SizeChart")</f>
      </c>
      <c r="C2834" s="0" t="inlineStr">
        <is>
          <t>Eva Women's Sleeveless Blouse</t>
        </is>
      </c>
      <c r="D2834" s="0" t="inlineStr">
        <is>
          <t>'111380</t>
        </is>
      </c>
      <c r="E2834" s="0" t="inlineStr">
        <is>
          <t>IOWA EVA BLACK:111380F-3XL</t>
        </is>
      </c>
      <c r="F2834" s="0" t="inlineStr">
        <is>
          <t>'800111380097</t>
        </is>
      </c>
      <c r="G2834" s="0" t="inlineStr">
        <is>
          <t>WOMENS</t>
        </is>
      </c>
      <c r="H2834" s="0" t="inlineStr">
        <is>
          <t>3XL</t>
        </is>
      </c>
      <c r="I2834" s="0">
        <v>51.99</v>
      </c>
      <c r="J2834" s="0">
        <v>24</v>
      </c>
    </row>
    <row r="2835" spans="1:10" customHeight="0">
      <c r="A2835" s="0">
        <f>HYPERLINK("https://dl.dropboxusercontent.com/scl/fi/22jnjrajfuto68rnddusz/111380-af.jpg?rlkey=jayi1j0hee662o227ja75byes&amp;dl=0","Click to download Image")</f>
      </c>
      <c r="B2835" s="0">
        <f>HYPERLINK("https://dl.dropboxusercontent.com/scl/fi/ux39po5zh7rh2yvikdxwj/womens-tank-top-size-chartseva.jpg?rlkey=r6nru480b86dz0u9bf27aoswr&amp;dl=0","Click to download SizeChart")</f>
      </c>
      <c r="C2835" s="0" t="inlineStr">
        <is>
          <t>Eva Women's Sleeveless Blouse</t>
        </is>
      </c>
      <c r="D2835" s="0" t="inlineStr">
        <is>
          <t>'111380</t>
        </is>
      </c>
      <c r="E2835" s="0" t="inlineStr">
        <is>
          <t>IOWA EVA BLACK 12 PACK:111380Z-12PK</t>
        </is>
      </c>
      <c r="F2835" s="0" t="inlineStr">
        <is>
          <t>'800111380998</t>
        </is>
      </c>
      <c r="G2835" s="0" t="inlineStr">
        <is>
          <t>WOMENS</t>
        </is>
      </c>
      <c r="H2835" s="0" t="inlineStr">
        <is>
          <t>12 PACK</t>
        </is>
      </c>
      <c r="I2835" s="0">
        <v>480</v>
      </c>
      <c r="J2835" s="0">
        <v>0</v>
      </c>
    </row>
    <row r="2836" spans="1:10" customHeight="0">
      <c r="A2836" s="0">
        <f>HYPERLINK("https://dl.dropboxusercontent.com/scl/fi/ujts5tkw4tlstnonta7qs/img0681bc.jpg?rlkey=4u7qqd7m2cc2s3gg5p3tqcx29&amp;dl=0","Click to download Image")</f>
      </c>
      <c r="B2836" s="0">
        <f>HYPERLINK("https://dl.dropboxusercontent.com/scl/fi/ux39po5zh7rh2yvikdxwj/womens-tank-top-size-chartseva.jpg?rlkey=r6nru480b86dz0u9bf27aoswr&amp;dl=0","Click to download SizeChart")</f>
      </c>
      <c r="C2836" s="0" t="inlineStr">
        <is>
          <t>Eva Women's Sleeveless Blouse</t>
        </is>
      </c>
      <c r="D2836" s="0" t="inlineStr">
        <is>
          <t>'110810</t>
        </is>
      </c>
      <c r="E2836" s="0" t="inlineStr">
        <is>
          <t>IOWA EVA WHITE:110810AA-XS</t>
        </is>
      </c>
      <c r="F2836" s="0" t="inlineStr">
        <is>
          <t>'800110810038</t>
        </is>
      </c>
      <c r="G2836" s="0" t="inlineStr">
        <is>
          <t>WOMENS</t>
        </is>
      </c>
      <c r="H2836" s="0" t="inlineStr">
        <is>
          <t>XS</t>
        </is>
      </c>
      <c r="I2836" s="0">
        <v>49.99</v>
      </c>
      <c r="J2836" s="0">
        <v>41</v>
      </c>
    </row>
    <row r="2837" spans="1:10" customHeight="0">
      <c r="A2837" s="0">
        <f>HYPERLINK("https://dl.dropboxusercontent.com/scl/fi/ujts5tkw4tlstnonta7qs/img0681bc.jpg?rlkey=4u7qqd7m2cc2s3gg5p3tqcx29&amp;dl=0","Click to download Image")</f>
      </c>
      <c r="B2837" s="0">
        <f>HYPERLINK("https://dl.dropboxusercontent.com/scl/fi/ux39po5zh7rh2yvikdxwj/womens-tank-top-size-chartseva.jpg?rlkey=r6nru480b86dz0u9bf27aoswr&amp;dl=0","Click to download SizeChart")</f>
      </c>
      <c r="C2837" s="0" t="inlineStr">
        <is>
          <t>Eva Women's Sleeveless Blouse</t>
        </is>
      </c>
      <c r="D2837" s="0" t="inlineStr">
        <is>
          <t>'110810</t>
        </is>
      </c>
      <c r="E2837" s="0" t="inlineStr">
        <is>
          <t>IOWA EVA WHITE:110810A-S</t>
        </is>
      </c>
      <c r="F2837" s="0" t="inlineStr">
        <is>
          <t>'800110810045</t>
        </is>
      </c>
      <c r="G2837" s="0" t="inlineStr">
        <is>
          <t>WOMENS</t>
        </is>
      </c>
      <c r="H2837" s="0" t="inlineStr">
        <is>
          <t>S</t>
        </is>
      </c>
      <c r="I2837" s="0">
        <v>49.99</v>
      </c>
      <c r="J2837" s="0">
        <v>40</v>
      </c>
    </row>
    <row r="2838" spans="1:10" customHeight="0">
      <c r="A2838" s="0">
        <f>HYPERLINK("https://dl.dropboxusercontent.com/scl/fi/ujts5tkw4tlstnonta7qs/img0681bc.jpg?rlkey=4u7qqd7m2cc2s3gg5p3tqcx29&amp;dl=0","Click to download Image")</f>
      </c>
      <c r="B2838" s="0">
        <f>HYPERLINK("https://dl.dropboxusercontent.com/scl/fi/ux39po5zh7rh2yvikdxwj/womens-tank-top-size-chartseva.jpg?rlkey=r6nru480b86dz0u9bf27aoswr&amp;dl=0","Click to download SizeChart")</f>
      </c>
      <c r="C2838" s="0" t="inlineStr">
        <is>
          <t>Eva Women's Sleeveless Blouse</t>
        </is>
      </c>
      <c r="D2838" s="0" t="inlineStr">
        <is>
          <t>'110810</t>
        </is>
      </c>
      <c r="E2838" s="0" t="inlineStr">
        <is>
          <t>IOWA EVA WHITE:110810B-M</t>
        </is>
      </c>
      <c r="F2838" s="0" t="inlineStr">
        <is>
          <t>'800110810052</t>
        </is>
      </c>
      <c r="G2838" s="0" t="inlineStr">
        <is>
          <t>WOMENS</t>
        </is>
      </c>
      <c r="H2838" s="0" t="inlineStr">
        <is>
          <t>M</t>
        </is>
      </c>
      <c r="I2838" s="0">
        <v>49.99</v>
      </c>
      <c r="J2838" s="0">
        <v>55</v>
      </c>
    </row>
    <row r="2839" spans="1:10" customHeight="0">
      <c r="A2839" s="0">
        <f>HYPERLINK("https://dl.dropboxusercontent.com/scl/fi/ujts5tkw4tlstnonta7qs/img0681bc.jpg?rlkey=4u7qqd7m2cc2s3gg5p3tqcx29&amp;dl=0","Click to download Image")</f>
      </c>
      <c r="B2839" s="0">
        <f>HYPERLINK("https://dl.dropboxusercontent.com/scl/fi/ux39po5zh7rh2yvikdxwj/womens-tank-top-size-chartseva.jpg?rlkey=r6nru480b86dz0u9bf27aoswr&amp;dl=0","Click to download SizeChart")</f>
      </c>
      <c r="C2839" s="0" t="inlineStr">
        <is>
          <t>Eva Women's Sleeveless Blouse</t>
        </is>
      </c>
      <c r="D2839" s="0" t="inlineStr">
        <is>
          <t>'110810</t>
        </is>
      </c>
      <c r="E2839" s="0" t="inlineStr">
        <is>
          <t>IOWA EVA WHITE:110810C-L</t>
        </is>
      </c>
      <c r="F2839" s="0" t="inlineStr">
        <is>
          <t>'800110810069</t>
        </is>
      </c>
      <c r="G2839" s="0" t="inlineStr">
        <is>
          <t>WOMENS</t>
        </is>
      </c>
      <c r="H2839" s="0" t="inlineStr">
        <is>
          <t>L</t>
        </is>
      </c>
      <c r="I2839" s="0">
        <v>49.99</v>
      </c>
      <c r="J2839" s="0">
        <v>36</v>
      </c>
    </row>
    <row r="2840" spans="1:10" customHeight="0">
      <c r="A2840" s="0">
        <f>HYPERLINK("https://dl.dropboxusercontent.com/scl/fi/ujts5tkw4tlstnonta7qs/img0681bc.jpg?rlkey=4u7qqd7m2cc2s3gg5p3tqcx29&amp;dl=0","Click to download Image")</f>
      </c>
      <c r="B2840" s="0">
        <f>HYPERLINK("https://dl.dropboxusercontent.com/scl/fi/ux39po5zh7rh2yvikdxwj/womens-tank-top-size-chartseva.jpg?rlkey=r6nru480b86dz0u9bf27aoswr&amp;dl=0","Click to download SizeChart")</f>
      </c>
      <c r="C2840" s="0" t="inlineStr">
        <is>
          <t>Eva Women's Sleeveless Blouse</t>
        </is>
      </c>
      <c r="D2840" s="0" t="inlineStr">
        <is>
          <t>'110810</t>
        </is>
      </c>
      <c r="E2840" s="0" t="inlineStr">
        <is>
          <t>IOWA EVA WHITE:110810D-XL</t>
        </is>
      </c>
      <c r="F2840" s="0" t="inlineStr">
        <is>
          <t>'800110810076</t>
        </is>
      </c>
      <c r="G2840" s="0" t="inlineStr">
        <is>
          <t>WOMENS</t>
        </is>
      </c>
      <c r="H2840" s="0" t="inlineStr">
        <is>
          <t>XL</t>
        </is>
      </c>
      <c r="I2840" s="0">
        <v>49.99</v>
      </c>
      <c r="J2840" s="0">
        <v>39</v>
      </c>
    </row>
    <row r="2841" spans="1:10" customHeight="0">
      <c r="A2841" s="0">
        <f>HYPERLINK("https://dl.dropboxusercontent.com/scl/fi/ujts5tkw4tlstnonta7qs/img0681bc.jpg?rlkey=4u7qqd7m2cc2s3gg5p3tqcx29&amp;dl=0","Click to download Image")</f>
      </c>
      <c r="B2841" s="0">
        <f>HYPERLINK("https://dl.dropboxusercontent.com/scl/fi/ux39po5zh7rh2yvikdxwj/womens-tank-top-size-chartseva.jpg?rlkey=r6nru480b86dz0u9bf27aoswr&amp;dl=0","Click to download SizeChart")</f>
      </c>
      <c r="C2841" s="0" t="inlineStr">
        <is>
          <t>Eva Women's Sleeveless Blouse</t>
        </is>
      </c>
      <c r="D2841" s="0" t="inlineStr">
        <is>
          <t>'110810</t>
        </is>
      </c>
      <c r="E2841" s="0" t="inlineStr">
        <is>
          <t>IOWA EVA WHITE:110810E-2XL</t>
        </is>
      </c>
      <c r="F2841" s="0" t="inlineStr">
        <is>
          <t>'800110810083</t>
        </is>
      </c>
      <c r="G2841" s="0" t="inlineStr">
        <is>
          <t>WOMENS</t>
        </is>
      </c>
      <c r="H2841" s="0" t="inlineStr">
        <is>
          <t>2XL</t>
        </is>
      </c>
      <c r="I2841" s="0">
        <v>51.99</v>
      </c>
      <c r="J2841" s="0">
        <v>23</v>
      </c>
    </row>
    <row r="2842" spans="1:10" customHeight="0">
      <c r="A2842" s="0">
        <f>HYPERLINK("https://dl.dropboxusercontent.com/scl/fi/ujts5tkw4tlstnonta7qs/img0681bc.jpg?rlkey=4u7qqd7m2cc2s3gg5p3tqcx29&amp;dl=0","Click to download Image")</f>
      </c>
      <c r="B2842" s="0">
        <f>HYPERLINK("https://dl.dropboxusercontent.com/scl/fi/ux39po5zh7rh2yvikdxwj/womens-tank-top-size-chartseva.jpg?rlkey=r6nru480b86dz0u9bf27aoswr&amp;dl=0","Click to download SizeChart")</f>
      </c>
      <c r="C2842" s="0" t="inlineStr">
        <is>
          <t>Eva Women's Sleeveless Blouse</t>
        </is>
      </c>
      <c r="D2842" s="0" t="inlineStr">
        <is>
          <t>'110810</t>
        </is>
      </c>
      <c r="E2842" s="0" t="inlineStr">
        <is>
          <t>IOWA EVA WHITE:110810F-3XL</t>
        </is>
      </c>
      <c r="F2842" s="0" t="inlineStr">
        <is>
          <t>'800110810090</t>
        </is>
      </c>
      <c r="G2842" s="0" t="inlineStr">
        <is>
          <t>WOMENS</t>
        </is>
      </c>
      <c r="H2842" s="0" t="inlineStr">
        <is>
          <t>3XL</t>
        </is>
      </c>
      <c r="I2842" s="0">
        <v>51.99</v>
      </c>
      <c r="J2842" s="0">
        <v>23</v>
      </c>
    </row>
    <row r="2843" spans="1:10" customHeight="0">
      <c r="A2843" s="0">
        <f>HYPERLINK("https://dl.dropboxusercontent.com/scl/fi/ujts5tkw4tlstnonta7qs/img0681bc.jpg?rlkey=4u7qqd7m2cc2s3gg5p3tqcx29&amp;dl=0","Click to download Image")</f>
      </c>
      <c r="B2843" s="0">
        <f>HYPERLINK("https://dl.dropboxusercontent.com/scl/fi/ux39po5zh7rh2yvikdxwj/womens-tank-top-size-chartseva.jpg?rlkey=r6nru480b86dz0u9bf27aoswr&amp;dl=0","Click to download SizeChart")</f>
      </c>
      <c r="C2843" s="0" t="inlineStr">
        <is>
          <t>Eva Women's Sleeveless Blouse</t>
        </is>
      </c>
      <c r="D2843" s="0" t="inlineStr">
        <is>
          <t>'110810</t>
        </is>
      </c>
      <c r="E2843" s="0" t="inlineStr">
        <is>
          <t>IOWA EVA WHITE 12 PACK:110810Z-12PK</t>
        </is>
      </c>
      <c r="F2843" s="0" t="inlineStr">
        <is>
          <t>'800110810991</t>
        </is>
      </c>
      <c r="G2843" s="0" t="inlineStr">
        <is>
          <t>WOMENS</t>
        </is>
      </c>
      <c r="H2843" s="0" t="inlineStr">
        <is>
          <t>12 PACK</t>
        </is>
      </c>
      <c r="I2843" s="0">
        <v>480</v>
      </c>
      <c r="J2843" s="0">
        <v>0</v>
      </c>
    </row>
    <row r="2844" spans="1:10" customHeight="0">
      <c r="A2844" s="0">
        <f>HYPERLINK("https://dl.dropboxusercontent.com/scl/fi/8iy4p9r83w2yxjd29d2hq/123014-af.jpg?rlkey=2mjs4z922sf63uuf9c8y3tcx5&amp;dl=0","Click to download Image")</f>
      </c>
      <c r="B2844" s="0">
        <f>HYPERLINK("https://dl.dropboxusercontent.com/scl/fi/lm1wwl3vo5b107vn77r4j/graphic-update2022-mens.jpg?rlkey=aogspl8txeq5jg4gvo2iht7y2&amp;dl=0","Click to download SizeChart")</f>
      </c>
      <c r="C2844" s="0" t="inlineStr">
        <is>
          <t>May Men's Long Sleeve Shirt</t>
        </is>
      </c>
      <c r="D2844" s="0" t="inlineStr">
        <is>
          <t>'123014</t>
        </is>
      </c>
      <c r="E2844" s="0" t="inlineStr">
        <is>
          <t>UNI MAY M PK:123014A-S</t>
        </is>
      </c>
      <c r="F2844" s="0" t="inlineStr">
        <is>
          <t>'802123014045</t>
        </is>
      </c>
      <c r="G2844" s="0" t="inlineStr">
        <is>
          <t>MENS</t>
        </is>
      </c>
      <c r="H2844" s="0" t="inlineStr">
        <is>
          <t>S</t>
        </is>
      </c>
      <c r="I2844" s="0">
        <v>29.99</v>
      </c>
      <c r="J2844" s="0">
        <v>77</v>
      </c>
    </row>
    <row r="2845" spans="1:10" customHeight="0">
      <c r="A2845" s="0">
        <f>HYPERLINK("https://dl.dropboxusercontent.com/scl/fi/8iy4p9r83w2yxjd29d2hq/123014-af.jpg?rlkey=2mjs4z922sf63uuf9c8y3tcx5&amp;dl=0","Click to download Image")</f>
      </c>
      <c r="B2845" s="0">
        <f>HYPERLINK("https://dl.dropboxusercontent.com/scl/fi/lm1wwl3vo5b107vn77r4j/graphic-update2022-mens.jpg?rlkey=aogspl8txeq5jg4gvo2iht7y2&amp;dl=0","Click to download SizeChart")</f>
      </c>
      <c r="C2845" s="0" t="inlineStr">
        <is>
          <t>May Men's Long Sleeve Shirt</t>
        </is>
      </c>
      <c r="D2845" s="0" t="inlineStr">
        <is>
          <t>'123014</t>
        </is>
      </c>
      <c r="E2845" s="0" t="inlineStr">
        <is>
          <t>UNI MAY M PK:123014B-M</t>
        </is>
      </c>
      <c r="F2845" s="0" t="inlineStr">
        <is>
          <t>'802123014052</t>
        </is>
      </c>
      <c r="G2845" s="0" t="inlineStr">
        <is>
          <t>MENS</t>
        </is>
      </c>
      <c r="H2845" s="0" t="inlineStr">
        <is>
          <t>M</t>
        </is>
      </c>
      <c r="I2845" s="0">
        <v>29.99</v>
      </c>
      <c r="J2845" s="0">
        <v>149</v>
      </c>
    </row>
    <row r="2846" spans="1:10" customHeight="0">
      <c r="A2846" s="0">
        <f>HYPERLINK("https://dl.dropboxusercontent.com/scl/fi/8iy4p9r83w2yxjd29d2hq/123014-af.jpg?rlkey=2mjs4z922sf63uuf9c8y3tcx5&amp;dl=0","Click to download Image")</f>
      </c>
      <c r="B2846" s="0">
        <f>HYPERLINK("https://dl.dropboxusercontent.com/scl/fi/lm1wwl3vo5b107vn77r4j/graphic-update2022-mens.jpg?rlkey=aogspl8txeq5jg4gvo2iht7y2&amp;dl=0","Click to download SizeChart")</f>
      </c>
      <c r="C2846" s="0" t="inlineStr">
        <is>
          <t>May Men's Long Sleeve Shirt</t>
        </is>
      </c>
      <c r="D2846" s="0" t="inlineStr">
        <is>
          <t>'123014</t>
        </is>
      </c>
      <c r="E2846" s="0" t="inlineStr">
        <is>
          <t>UNI MAY M PK:123014C-L</t>
        </is>
      </c>
      <c r="F2846" s="0" t="inlineStr">
        <is>
          <t>'802123014069</t>
        </is>
      </c>
      <c r="G2846" s="0" t="inlineStr">
        <is>
          <t>MENS</t>
        </is>
      </c>
      <c r="H2846" s="0" t="inlineStr">
        <is>
          <t>L</t>
        </is>
      </c>
      <c r="I2846" s="0">
        <v>29.99</v>
      </c>
      <c r="J2846" s="0">
        <v>237</v>
      </c>
    </row>
    <row r="2847" spans="1:10" customHeight="0">
      <c r="A2847" s="0">
        <f>HYPERLINK("https://dl.dropboxusercontent.com/scl/fi/8iy4p9r83w2yxjd29d2hq/123014-af.jpg?rlkey=2mjs4z922sf63uuf9c8y3tcx5&amp;dl=0","Click to download Image")</f>
      </c>
      <c r="B2847" s="0">
        <f>HYPERLINK("https://dl.dropboxusercontent.com/scl/fi/lm1wwl3vo5b107vn77r4j/graphic-update2022-mens.jpg?rlkey=aogspl8txeq5jg4gvo2iht7y2&amp;dl=0","Click to download SizeChart")</f>
      </c>
      <c r="C2847" s="0" t="inlineStr">
        <is>
          <t>May Men's Long Sleeve Shirt</t>
        </is>
      </c>
      <c r="D2847" s="0" t="inlineStr">
        <is>
          <t>'123014</t>
        </is>
      </c>
      <c r="E2847" s="0" t="inlineStr">
        <is>
          <t>UNI MAY M PK:123014D-XL</t>
        </is>
      </c>
      <c r="F2847" s="0" t="inlineStr">
        <is>
          <t>'802123014076</t>
        </is>
      </c>
      <c r="G2847" s="0" t="inlineStr">
        <is>
          <t>MENS</t>
        </is>
      </c>
      <c r="H2847" s="0" t="inlineStr">
        <is>
          <t>XL</t>
        </is>
      </c>
      <c r="I2847" s="0">
        <v>29.99</v>
      </c>
      <c r="J2847" s="0">
        <v>246</v>
      </c>
    </row>
    <row r="2848" spans="1:10" customHeight="0">
      <c r="A2848" s="0">
        <f>HYPERLINK("https://dl.dropboxusercontent.com/scl/fi/8iy4p9r83w2yxjd29d2hq/123014-af.jpg?rlkey=2mjs4z922sf63uuf9c8y3tcx5&amp;dl=0","Click to download Image")</f>
      </c>
      <c r="B2848" s="0">
        <f>HYPERLINK("https://dl.dropboxusercontent.com/scl/fi/lm1wwl3vo5b107vn77r4j/graphic-update2022-mens.jpg?rlkey=aogspl8txeq5jg4gvo2iht7y2&amp;dl=0","Click to download SizeChart")</f>
      </c>
      <c r="C2848" s="0" t="inlineStr">
        <is>
          <t>May Men's Long Sleeve Shirt</t>
        </is>
      </c>
      <c r="D2848" s="0" t="inlineStr">
        <is>
          <t>'123014</t>
        </is>
      </c>
      <c r="E2848" s="0" t="inlineStr">
        <is>
          <t>UNI MAY M PK:123014E-2XL</t>
        </is>
      </c>
      <c r="F2848" s="0" t="inlineStr">
        <is>
          <t>'802123014083</t>
        </is>
      </c>
      <c r="G2848" s="0" t="inlineStr">
        <is>
          <t>MENS</t>
        </is>
      </c>
      <c r="H2848" s="0" t="inlineStr">
        <is>
          <t>2XL</t>
        </is>
      </c>
      <c r="I2848" s="0">
        <v>31.99</v>
      </c>
      <c r="J2848" s="0">
        <v>160</v>
      </c>
    </row>
    <row r="2849" spans="1:10" customHeight="0">
      <c r="A2849" s="0">
        <f>HYPERLINK("https://dl.dropboxusercontent.com/scl/fi/8iy4p9r83w2yxjd29d2hq/123014-af.jpg?rlkey=2mjs4z922sf63uuf9c8y3tcx5&amp;dl=0","Click to download Image")</f>
      </c>
      <c r="B2849" s="0">
        <f>HYPERLINK("https://dl.dropboxusercontent.com/scl/fi/lm1wwl3vo5b107vn77r4j/graphic-update2022-mens.jpg?rlkey=aogspl8txeq5jg4gvo2iht7y2&amp;dl=0","Click to download SizeChart")</f>
      </c>
      <c r="C2849" s="0" t="inlineStr">
        <is>
          <t>May Men's Long Sleeve Shirt</t>
        </is>
      </c>
      <c r="D2849" s="0" t="inlineStr">
        <is>
          <t>'123014</t>
        </is>
      </c>
      <c r="E2849" s="0" t="inlineStr">
        <is>
          <t>UNI MAY M PK:123014F-3XL</t>
        </is>
      </c>
      <c r="F2849" s="0" t="inlineStr">
        <is>
          <t>'802123014090</t>
        </is>
      </c>
      <c r="G2849" s="0" t="inlineStr">
        <is>
          <t>MENS</t>
        </is>
      </c>
      <c r="H2849" s="0" t="inlineStr">
        <is>
          <t>3XL</t>
        </is>
      </c>
      <c r="I2849" s="0">
        <v>31.99</v>
      </c>
      <c r="J2849" s="0">
        <v>80</v>
      </c>
    </row>
    <row r="2850" spans="1:10" customHeight="0">
      <c r="A2850" s="0">
        <f>HYPERLINK("https://dl.dropboxusercontent.com/scl/fi/6l1k8k41s25zo247u2m9b/107224-af.jpg?rlkey=pzagxr4yjgb3qjlxeav4vosx5&amp;dl=0","Click to download Image")</f>
      </c>
      <c r="C2850" s="0" t="inlineStr">
        <is>
          <t>Iowa Everlee Realtree Cap</t>
        </is>
      </c>
      <c r="D2850" s="0" t="inlineStr">
        <is>
          <t>'107224</t>
        </is>
      </c>
      <c r="E2850" s="0" t="inlineStr">
        <is>
          <t>EVERLEE:107224</t>
        </is>
      </c>
      <c r="F2850" s="0" t="inlineStr">
        <is>
          <t>'700107224018</t>
        </is>
      </c>
      <c r="G2850" s="0" t="inlineStr">
        <is>
          <t>WOMENS</t>
        </is>
      </c>
      <c r="H2850" s="0" t="inlineStr">
        <is>
          <t>WOMENS</t>
        </is>
      </c>
      <c r="I2850" s="0">
        <v>21.99</v>
      </c>
      <c r="J2850" s="0">
        <v>29</v>
      </c>
    </row>
    <row r="2851" spans="1:10" customHeight="0">
      <c r="A2851" s="0">
        <f>HYPERLINK("https://dl.dropboxusercontent.com/scl/fi/w0ojndrfhpyphx0dz0662/frannie.jpg?rlkey=1xh4265f9ol0hzxv2n5hhsb5q&amp;dl=0","Click to download Image")</f>
      </c>
      <c r="B2851" s="0">
        <f>HYPERLINK("https://dl.dropboxusercontent.com/scl/fi/8avcyqknsplu8xc2he65e/graphic-update22022-infant.jpg?rlkey=9wfbmll1y1hx3qtg7bsnbagmd&amp;dl=0","Click to download SizeChart")</f>
      </c>
      <c r="C2851" s="0" t="inlineStr">
        <is>
          <t>Fannie Infant Swim Set</t>
        </is>
      </c>
      <c r="D2851" s="0" t="inlineStr">
        <is>
          <t>'103644</t>
        </is>
      </c>
      <c r="E2851" s="0" t="inlineStr">
        <is>
          <t>FRANNIE:103644A-0-3M</t>
        </is>
      </c>
      <c r="F2851" s="0" t="inlineStr">
        <is>
          <t>'000000000000</t>
        </is>
      </c>
      <c r="G2851" s="0" t="inlineStr">
        <is>
          <t>INFANT</t>
        </is>
      </c>
      <c r="H2851" s="0" t="inlineStr">
        <is>
          <t>0-3M</t>
        </is>
      </c>
      <c r="I2851" s="0">
        <v>24.99</v>
      </c>
      <c r="J2851" s="0">
        <v>105</v>
      </c>
    </row>
    <row r="2852" spans="1:10" customHeight="0">
      <c r="A2852" s="0">
        <f>HYPERLINK("https://dl.dropboxusercontent.com/scl/fi/w0ojndrfhpyphx0dz0662/frannie.jpg?rlkey=1xh4265f9ol0hzxv2n5hhsb5q&amp;dl=0","Click to download Image")</f>
      </c>
      <c r="B2852" s="0">
        <f>HYPERLINK("https://dl.dropboxusercontent.com/scl/fi/8avcyqknsplu8xc2he65e/graphic-update22022-infant.jpg?rlkey=9wfbmll1y1hx3qtg7bsnbagmd&amp;dl=0","Click to download SizeChart")</f>
      </c>
      <c r="C2852" s="0" t="inlineStr">
        <is>
          <t>Fannie Infant Swim Set</t>
        </is>
      </c>
      <c r="D2852" s="0" t="inlineStr">
        <is>
          <t>'103644</t>
        </is>
      </c>
      <c r="E2852" s="0" t="inlineStr">
        <is>
          <t>FRANNIE:103644B-3-6M</t>
        </is>
      </c>
      <c r="F2852" s="0" t="inlineStr">
        <is>
          <t>'000000000000</t>
        </is>
      </c>
      <c r="G2852" s="0" t="inlineStr">
        <is>
          <t>INFANT</t>
        </is>
      </c>
      <c r="H2852" s="0" t="inlineStr">
        <is>
          <t>3-6M</t>
        </is>
      </c>
      <c r="I2852" s="0">
        <v>24.99</v>
      </c>
      <c r="J2852" s="0">
        <v>105</v>
      </c>
    </row>
    <row r="2853" spans="1:10" customHeight="0">
      <c r="A2853" s="0">
        <f>HYPERLINK("https://dl.dropboxusercontent.com/scl/fi/w0ojndrfhpyphx0dz0662/frannie.jpg?rlkey=1xh4265f9ol0hzxv2n5hhsb5q&amp;dl=0","Click to download Image")</f>
      </c>
      <c r="B2853" s="0">
        <f>HYPERLINK("https://dl.dropboxusercontent.com/scl/fi/8avcyqknsplu8xc2he65e/graphic-update22022-infant.jpg?rlkey=9wfbmll1y1hx3qtg7bsnbagmd&amp;dl=0","Click to download SizeChart")</f>
      </c>
      <c r="C2853" s="0" t="inlineStr">
        <is>
          <t>Fannie Infant Swim Set</t>
        </is>
      </c>
      <c r="D2853" s="0" t="inlineStr">
        <is>
          <t>'103644</t>
        </is>
      </c>
      <c r="E2853" s="0" t="inlineStr">
        <is>
          <t>FRANNIE:103644C-6-9M</t>
        </is>
      </c>
      <c r="F2853" s="0" t="inlineStr">
        <is>
          <t>'000000000000</t>
        </is>
      </c>
      <c r="G2853" s="0" t="inlineStr">
        <is>
          <t>INFANT</t>
        </is>
      </c>
      <c r="H2853" s="0" t="inlineStr">
        <is>
          <t>6-9M</t>
        </is>
      </c>
      <c r="I2853" s="0">
        <v>24.99</v>
      </c>
      <c r="J2853" s="0">
        <v>101</v>
      </c>
    </row>
    <row r="2854" spans="1:10" customHeight="0">
      <c r="A2854" s="0">
        <f>HYPERLINK("https://dl.dropboxusercontent.com/scl/fi/w0ojndrfhpyphx0dz0662/frannie.jpg?rlkey=1xh4265f9ol0hzxv2n5hhsb5q&amp;dl=0","Click to download Image")</f>
      </c>
      <c r="B2854" s="0">
        <f>HYPERLINK("https://dl.dropboxusercontent.com/scl/fi/8avcyqknsplu8xc2he65e/graphic-update22022-infant.jpg?rlkey=9wfbmll1y1hx3qtg7bsnbagmd&amp;dl=0","Click to download SizeChart")</f>
      </c>
      <c r="C2854" s="0" t="inlineStr">
        <is>
          <t>Fannie Infant Swim Set</t>
        </is>
      </c>
      <c r="D2854" s="0" t="inlineStr">
        <is>
          <t>'103644</t>
        </is>
      </c>
      <c r="E2854" s="0" t="inlineStr">
        <is>
          <t>FRANNIE:103644D-12M</t>
        </is>
      </c>
      <c r="F2854" s="0" t="inlineStr">
        <is>
          <t>'000000000000</t>
        </is>
      </c>
      <c r="G2854" s="0" t="inlineStr">
        <is>
          <t>INFANT</t>
        </is>
      </c>
      <c r="H2854" s="0" t="inlineStr">
        <is>
          <t>12M</t>
        </is>
      </c>
      <c r="I2854" s="0">
        <v>24.99</v>
      </c>
      <c r="J2854" s="0">
        <v>98</v>
      </c>
    </row>
    <row r="2855" spans="1:10" customHeight="0">
      <c r="A2855" s="0">
        <f>HYPERLINK("https://dl.dropboxusercontent.com/scl/fi/f79irpixh69rp79mjofbn/frannie.jpg?rlkey=1on2jbgawxm6aj5zleopq3pt1&amp;dl=0","Click to download Image")</f>
      </c>
      <c r="B2855" s="0">
        <f>HYPERLINK("https://dl.dropboxusercontent.com/scl/fi/8avcyqknsplu8xc2he65e/graphic-update22022-infant.jpg?rlkey=9wfbmll1y1hx3qtg7bsnbagmd&amp;dl=0","Click to download SizeChart")</f>
      </c>
      <c r="C2855" s="0" t="inlineStr">
        <is>
          <t>Fannie Infant Swim Set</t>
        </is>
      </c>
      <c r="D2855" s="0" t="inlineStr">
        <is>
          <t>'104501</t>
        </is>
      </c>
      <c r="E2855" s="0" t="inlineStr">
        <is>
          <t>FRANNIE:104501A- 0-3M</t>
        </is>
      </c>
      <c r="F2855" s="0" t="inlineStr">
        <is>
          <t>'000000000000</t>
        </is>
      </c>
      <c r="G2855" s="0" t="inlineStr">
        <is>
          <t>INFANT</t>
        </is>
      </c>
      <c r="H2855" s="0" t="inlineStr">
        <is>
          <t>0-3M</t>
        </is>
      </c>
      <c r="I2855" s="0">
        <v>24.99</v>
      </c>
      <c r="J2855" s="0">
        <v>49</v>
      </c>
    </row>
    <row r="2856" spans="1:10" customHeight="0">
      <c r="A2856" s="0">
        <f>HYPERLINK("https://dl.dropboxusercontent.com/scl/fi/f79irpixh69rp79mjofbn/frannie.jpg?rlkey=1on2jbgawxm6aj5zleopq3pt1&amp;dl=0","Click to download Image")</f>
      </c>
      <c r="B2856" s="0">
        <f>HYPERLINK("https://dl.dropboxusercontent.com/scl/fi/8avcyqknsplu8xc2he65e/graphic-update22022-infant.jpg?rlkey=9wfbmll1y1hx3qtg7bsnbagmd&amp;dl=0","Click to download SizeChart")</f>
      </c>
      <c r="C2856" s="0" t="inlineStr">
        <is>
          <t>Fannie Infant Swim Set</t>
        </is>
      </c>
      <c r="D2856" s="0" t="inlineStr">
        <is>
          <t>'104501</t>
        </is>
      </c>
      <c r="E2856" s="0" t="inlineStr">
        <is>
          <t>FRANNIE:104501B- 3-6M</t>
        </is>
      </c>
      <c r="F2856" s="0" t="inlineStr">
        <is>
          <t>'000000000000</t>
        </is>
      </c>
      <c r="G2856" s="0" t="inlineStr">
        <is>
          <t>INFANT</t>
        </is>
      </c>
      <c r="H2856" s="0" t="inlineStr">
        <is>
          <t>3-6M</t>
        </is>
      </c>
      <c r="I2856" s="0">
        <v>24.99</v>
      </c>
      <c r="J2856" s="0">
        <v>49</v>
      </c>
    </row>
    <row r="2857" spans="1:10" customHeight="0">
      <c r="A2857" s="0">
        <f>HYPERLINK("https://dl.dropboxusercontent.com/scl/fi/f79irpixh69rp79mjofbn/frannie.jpg?rlkey=1on2jbgawxm6aj5zleopq3pt1&amp;dl=0","Click to download Image")</f>
      </c>
      <c r="B2857" s="0">
        <f>HYPERLINK("https://dl.dropboxusercontent.com/scl/fi/8avcyqknsplu8xc2he65e/graphic-update22022-infant.jpg?rlkey=9wfbmll1y1hx3qtg7bsnbagmd&amp;dl=0","Click to download SizeChart")</f>
      </c>
      <c r="C2857" s="0" t="inlineStr">
        <is>
          <t>Fannie Infant Swim Set</t>
        </is>
      </c>
      <c r="D2857" s="0" t="inlineStr">
        <is>
          <t>'104501</t>
        </is>
      </c>
      <c r="E2857" s="0" t="inlineStr">
        <is>
          <t>FRANNIE:104501C- 6-9M</t>
        </is>
      </c>
      <c r="F2857" s="0" t="inlineStr">
        <is>
          <t>'000000000000</t>
        </is>
      </c>
      <c r="G2857" s="0" t="inlineStr">
        <is>
          <t>INFANT</t>
        </is>
      </c>
      <c r="H2857" s="0" t="inlineStr">
        <is>
          <t>6-9M</t>
        </is>
      </c>
      <c r="I2857" s="0">
        <v>24.99</v>
      </c>
      <c r="J2857" s="0">
        <v>48</v>
      </c>
    </row>
    <row r="2858" spans="1:10" customHeight="0">
      <c r="A2858" s="0">
        <f>HYPERLINK("https://dl.dropboxusercontent.com/scl/fi/f79irpixh69rp79mjofbn/frannie.jpg?rlkey=1on2jbgawxm6aj5zleopq3pt1&amp;dl=0","Click to download Image")</f>
      </c>
      <c r="B2858" s="0">
        <f>HYPERLINK("https://dl.dropboxusercontent.com/scl/fi/8avcyqknsplu8xc2he65e/graphic-update22022-infant.jpg?rlkey=9wfbmll1y1hx3qtg7bsnbagmd&amp;dl=0","Click to download SizeChart")</f>
      </c>
      <c r="C2858" s="0" t="inlineStr">
        <is>
          <t>Fannie Infant Swim Set</t>
        </is>
      </c>
      <c r="D2858" s="0" t="inlineStr">
        <is>
          <t>'104501</t>
        </is>
      </c>
      <c r="E2858" s="0" t="inlineStr">
        <is>
          <t>FRANNIE:104501D- 12M</t>
        </is>
      </c>
      <c r="F2858" s="0" t="inlineStr">
        <is>
          <t>'000000000000</t>
        </is>
      </c>
      <c r="G2858" s="0" t="inlineStr">
        <is>
          <t>INFANT</t>
        </is>
      </c>
      <c r="H2858" s="0" t="inlineStr">
        <is>
          <t>12M</t>
        </is>
      </c>
      <c r="I2858" s="0">
        <v>24.99</v>
      </c>
      <c r="J2858" s="0">
        <v>49</v>
      </c>
    </row>
    <row r="2859" spans="1:10" customHeight="0">
      <c r="A2859" s="0">
        <f>HYPERLINK("https://dl.dropboxusercontent.com/scl/fi/5g3jw6cfrasf1hy5mv27q/126070-af.jpg?rlkey=y8bfkevj830p760xs76wkvkub&amp;dl=0","Click to download Image")</f>
      </c>
      <c r="C2859" s="0" t="inlineStr">
        <is>
          <t>Gunner Men's Cap</t>
        </is>
      </c>
      <c r="D2859" s="0" t="inlineStr">
        <is>
          <t>'126070</t>
        </is>
      </c>
      <c r="E2859" s="0" t="inlineStr">
        <is>
          <t>MU GUNNER ALT:126070</t>
        </is>
      </c>
      <c r="F2859" s="0" t="inlineStr">
        <is>
          <t>'703126070000</t>
        </is>
      </c>
      <c r="G2859" s="0" t="inlineStr">
        <is>
          <t>MENS</t>
        </is>
      </c>
      <c r="H2859" s="0" t="inlineStr">
        <is>
          <t>STANDARD MENS</t>
        </is>
      </c>
      <c r="I2859" s="0">
        <v>19.99</v>
      </c>
      <c r="J2859" s="0">
        <v>107</v>
      </c>
    </row>
    <row r="2860" spans="1:10" customHeight="0">
      <c r="A2860" s="0">
        <f>HYPERLINK("https://dl.dropboxusercontent.com/scl/fi/c6ubfadt9lw4flkzakc72/125677-af.jpg?rlkey=zyuhsud2pr2cnep96u7vrb6j4&amp;dl=0","Click to download Image")</f>
      </c>
      <c r="C2860" s="0" t="inlineStr">
        <is>
          <t>Gunner Men's Cap</t>
        </is>
      </c>
      <c r="D2860" s="0" t="inlineStr">
        <is>
          <t>'125677</t>
        </is>
      </c>
      <c r="E2860" s="0" t="inlineStr">
        <is>
          <t>UWY GUNNER A BN:125677</t>
        </is>
      </c>
      <c r="F2860" s="0" t="inlineStr">
        <is>
          <t>'712125677004</t>
        </is>
      </c>
      <c r="G2860" s="0" t="inlineStr">
        <is>
          <t>MENS</t>
        </is>
      </c>
      <c r="H2860" s="0" t="inlineStr">
        <is>
          <t>STANDARD MENS</t>
        </is>
      </c>
      <c r="I2860" s="0">
        <v>19.99</v>
      </c>
      <c r="J2860" s="0">
        <v>48</v>
      </c>
    </row>
    <row r="2861" spans="1:10" customHeight="0">
      <c r="A2861" s="0">
        <f>HYPERLINK("https://dl.dropboxusercontent.com/scl/fi/3r3aa9zm4iu1q39wxggsz/104270af.jpg?rlkey=hqsyp362i3b8pa8edycmj5ynz&amp;dl=0","Click to download Image")</f>
      </c>
      <c r="C2861" s="0" t="inlineStr">
        <is>
          <t>Gunner Men's Cap</t>
        </is>
      </c>
      <c r="D2861" s="0" t="inlineStr">
        <is>
          <t>'104270</t>
        </is>
      </c>
      <c r="E2861" s="0" t="inlineStr">
        <is>
          <t>GUNNER:104270</t>
        </is>
      </c>
      <c r="F2861" s="0" t="inlineStr">
        <is>
          <t>'000000000000</t>
        </is>
      </c>
      <c r="G2861" s="0" t="inlineStr">
        <is>
          <t>MENS</t>
        </is>
      </c>
      <c r="H2861" s="0" t="inlineStr">
        <is>
          <t>STANDARD MENS</t>
        </is>
      </c>
      <c r="I2861" s="0">
        <v>19.99</v>
      </c>
      <c r="J2861" s="0">
        <v>63</v>
      </c>
    </row>
    <row r="2862" spans="1:10" customHeight="0">
      <c r="A2862" s="0">
        <f>HYPERLINK("https://dl.dropboxusercontent.com/scl/fi/61dddz6it3d6gfw1bath6/104274-af.jpg?rlkey=18jc22zmwt71igyhkznyo1kci&amp;dl=0","Click to download Image")</f>
      </c>
      <c r="C2862" s="0" t="inlineStr">
        <is>
          <t>Gunner Men's Cap</t>
        </is>
      </c>
      <c r="D2862" s="0" t="inlineStr">
        <is>
          <t>'104274</t>
        </is>
      </c>
      <c r="E2862" s="0" t="inlineStr">
        <is>
          <t>GUNNER:104274</t>
        </is>
      </c>
      <c r="F2862" s="0" t="inlineStr">
        <is>
          <t>'000000000000</t>
        </is>
      </c>
      <c r="G2862" s="0" t="inlineStr">
        <is>
          <t>MENS</t>
        </is>
      </c>
      <c r="H2862" s="0" t="inlineStr">
        <is>
          <t>STANDARD MENS</t>
        </is>
      </c>
      <c r="I2862" s="0">
        <v>19.99</v>
      </c>
      <c r="J2862" s="0">
        <v>102</v>
      </c>
    </row>
    <row r="2863" spans="1:10" customHeight="0">
      <c r="A2863" s="0">
        <f>HYPERLINK("https://dl.dropboxusercontent.com/scl/fi/u4b2uk35czoid1aear123/104273-af.jpg?rlkey=r65538qeiuu3353odpiupmar8&amp;dl=0","Click to download Image")</f>
      </c>
      <c r="C2863" s="0" t="inlineStr">
        <is>
          <t>Gunner Men's Cap</t>
        </is>
      </c>
      <c r="D2863" s="0" t="inlineStr">
        <is>
          <t>'104273</t>
        </is>
      </c>
      <c r="E2863" s="0" t="inlineStr">
        <is>
          <t>GUNNER:104273</t>
        </is>
      </c>
      <c r="F2863" s="0" t="inlineStr">
        <is>
          <t>'000000000000</t>
        </is>
      </c>
      <c r="G2863" s="0" t="inlineStr">
        <is>
          <t>MENS</t>
        </is>
      </c>
      <c r="H2863" s="0" t="inlineStr">
        <is>
          <t>STANDARD MENS</t>
        </is>
      </c>
      <c r="I2863" s="0">
        <v>19.99</v>
      </c>
      <c r="J2863" s="0">
        <v>56</v>
      </c>
    </row>
    <row r="2864" spans="1:10" customHeight="0">
      <c r="A2864" s="0">
        <f>HYPERLINK("https://dl.dropboxusercontent.com/scl/fi/y2zqpro5vlb8ksa1zagza/104276-af.jpg?rlkey=7e2snem1zxbppgs4du1g1su3k&amp;dl=0","Click to download Image")</f>
      </c>
      <c r="C2864" s="0" t="inlineStr">
        <is>
          <t>Gunner Men's Cap</t>
        </is>
      </c>
      <c r="D2864" s="0" t="inlineStr">
        <is>
          <t>'104276</t>
        </is>
      </c>
      <c r="E2864" s="0" t="inlineStr">
        <is>
          <t>GUNNER:104276</t>
        </is>
      </c>
      <c r="F2864" s="0" t="inlineStr">
        <is>
          <t>'000000000000</t>
        </is>
      </c>
      <c r="G2864" s="0" t="inlineStr">
        <is>
          <t>MENS</t>
        </is>
      </c>
      <c r="H2864" s="0" t="inlineStr">
        <is>
          <t>STANDARD MENS</t>
        </is>
      </c>
      <c r="I2864" s="0">
        <v>19.99</v>
      </c>
      <c r="J2864" s="0">
        <v>8</v>
      </c>
    </row>
    <row r="2865" spans="1:10" customHeight="0">
      <c r="A2865" s="0">
        <f>HYPERLINK("https://dl.dropboxusercontent.com/scl/fi/33id3e14jhrpqxkzxgxl8/104275-af.jpg?rlkey=p5d02v4hnj1eber7iw4dkknub&amp;dl=0","Click to download Image")</f>
      </c>
      <c r="C2865" s="0" t="inlineStr">
        <is>
          <t>Gunner Men's Cap</t>
        </is>
      </c>
      <c r="D2865" s="0" t="inlineStr">
        <is>
          <t>'104275</t>
        </is>
      </c>
      <c r="E2865" s="0" t="inlineStr">
        <is>
          <t>GUNNER:104275</t>
        </is>
      </c>
      <c r="F2865" s="0" t="inlineStr">
        <is>
          <t>'000000000000</t>
        </is>
      </c>
      <c r="G2865" s="0" t="inlineStr">
        <is>
          <t>MENS</t>
        </is>
      </c>
      <c r="H2865" s="0" t="inlineStr">
        <is>
          <t>STANDARD MENS</t>
        </is>
      </c>
      <c r="I2865" s="0">
        <v>19.99</v>
      </c>
      <c r="J2865" s="0">
        <v>15</v>
      </c>
    </row>
    <row r="2866" spans="1:10" customHeight="0">
      <c r="A2866" s="0">
        <f>HYPERLINK("https://dl.dropboxusercontent.com/scl/fi/vn3i8z8uf0xuyrf1mjnf8/101193af.jpg?rlkey=uj8e9i2g3tqzgv5bd34y1i0fm&amp;dl=0","Click to download Image")</f>
      </c>
      <c r="C2866" s="0" t="inlineStr">
        <is>
          <t>Farrah Women's Cap</t>
        </is>
      </c>
      <c r="D2866" s="0" t="inlineStr">
        <is>
          <t>'101193</t>
        </is>
      </c>
      <c r="E2866" s="0" t="inlineStr">
        <is>
          <t>FARRAH:101193</t>
        </is>
      </c>
      <c r="F2866" s="0" t="inlineStr">
        <is>
          <t>'000000000000</t>
        </is>
      </c>
      <c r="G2866" s="0" t="inlineStr">
        <is>
          <t>WOMENS</t>
        </is>
      </c>
      <c r="H2866" s="0" t="inlineStr">
        <is>
          <t>WOMENS</t>
        </is>
      </c>
      <c r="I2866" s="0">
        <v>19.99</v>
      </c>
      <c r="J2866" s="0">
        <v>82</v>
      </c>
    </row>
    <row r="2867" spans="1:10" customHeight="0">
      <c r="A2867" s="0">
        <f>HYPERLINK("https://dl.dropboxusercontent.com/scl/fi/qc7hyn3crxep0b9wkmigw/104301-af.jpg?rlkey=7ek6tl2605bo89m7n16a5sv04&amp;dl=0","Click to download Image")</f>
      </c>
      <c r="C2867" s="0" t="inlineStr">
        <is>
          <t>Farrah Women's Cap</t>
        </is>
      </c>
      <c r="D2867" s="0" t="inlineStr">
        <is>
          <t>'104301</t>
        </is>
      </c>
      <c r="E2867" s="0" t="inlineStr">
        <is>
          <t>FARRAH:104301</t>
        </is>
      </c>
      <c r="F2867" s="0" t="inlineStr">
        <is>
          <t>'000000000000</t>
        </is>
      </c>
      <c r="G2867" s="0" t="inlineStr">
        <is>
          <t>WOMENS</t>
        </is>
      </c>
      <c r="H2867" s="0" t="inlineStr">
        <is>
          <t>WOMENS</t>
        </is>
      </c>
      <c r="I2867" s="0">
        <v>19.99</v>
      </c>
      <c r="J2867" s="0">
        <v>19</v>
      </c>
    </row>
    <row r="2868" spans="1:10" customHeight="0">
      <c r="A2868" s="0">
        <f>HYPERLINK("https://dl.dropboxusercontent.com/scl/fi/7r7w318dzw6hov8p7im1r/104292-af.jpg?rlkey=35z2hhkn5bd8l0mgrljk0n1zz&amp;dl=0","Click to download Image")</f>
      </c>
      <c r="C2868" s="0" t="inlineStr">
        <is>
          <t>Farrah Women's Cap</t>
        </is>
      </c>
      <c r="D2868" s="0" t="inlineStr">
        <is>
          <t>'104294</t>
        </is>
      </c>
      <c r="E2868" s="0" t="inlineStr">
        <is>
          <t>FARRAH:104294</t>
        </is>
      </c>
      <c r="F2868" s="0" t="inlineStr">
        <is>
          <t>'700104294014</t>
        </is>
      </c>
      <c r="G2868" s="0" t="inlineStr">
        <is>
          <t>WOMENS</t>
        </is>
      </c>
      <c r="H2868" s="0" t="inlineStr">
        <is>
          <t>WOMENS</t>
        </is>
      </c>
      <c r="I2868" s="0">
        <v>19.99</v>
      </c>
      <c r="J2868" s="0">
        <v>19</v>
      </c>
    </row>
    <row r="2869" spans="1:10" customHeight="0">
      <c r="A2869" s="0">
        <f>HYPERLINK("https://dl.dropboxusercontent.com/scl/fi/sq837x8gfrq36d10j7ev6/104297af.jpg?rlkey=ndz1sv3co52m0v8yheyx3rcii&amp;dl=0","Click to download Image")</f>
      </c>
      <c r="C2869" s="0" t="inlineStr">
        <is>
          <t>Farrah Women's Cap</t>
        </is>
      </c>
      <c r="D2869" s="0" t="inlineStr">
        <is>
          <t>'104297</t>
        </is>
      </c>
      <c r="E2869" s="0" t="inlineStr">
        <is>
          <t>FARRAH:104297</t>
        </is>
      </c>
      <c r="F2869" s="0" t="inlineStr">
        <is>
          <t>'000000000000</t>
        </is>
      </c>
      <c r="G2869" s="0" t="inlineStr">
        <is>
          <t>WOMENS</t>
        </is>
      </c>
      <c r="H2869" s="0" t="inlineStr">
        <is>
          <t>WOMENS</t>
        </is>
      </c>
      <c r="I2869" s="0">
        <v>19.99</v>
      </c>
      <c r="J2869" s="0">
        <v>19</v>
      </c>
    </row>
    <row r="2870" spans="1:10" customHeight="0">
      <c r="A2870" s="0">
        <f>HYPERLINK("https://dl.dropboxusercontent.com/scl/fi/zfv283ntzdfvysan8wz4l/104292-af.jpg?rlkey=yohpls4rpqkroiyyjkmyqbzfv&amp;dl=0","Click to download Image")</f>
      </c>
      <c r="C2870" s="0" t="inlineStr">
        <is>
          <t>Farrah Women's Cap</t>
        </is>
      </c>
      <c r="D2870" s="0" t="inlineStr">
        <is>
          <t>'104293</t>
        </is>
      </c>
      <c r="E2870" s="0" t="inlineStr">
        <is>
          <t>FARRAH:104293</t>
        </is>
      </c>
      <c r="F2870" s="0" t="inlineStr">
        <is>
          <t>'000000000000</t>
        </is>
      </c>
      <c r="G2870" s="0" t="inlineStr">
        <is>
          <t>WOMENS</t>
        </is>
      </c>
      <c r="H2870" s="0" t="inlineStr">
        <is>
          <t>WOMENS</t>
        </is>
      </c>
      <c r="I2870" s="0">
        <v>19.99</v>
      </c>
      <c r="J2870" s="0">
        <v>24</v>
      </c>
    </row>
    <row r="2871" spans="1:10" customHeight="0">
      <c r="A2871" s="0">
        <f>HYPERLINK("https://dl.dropboxusercontent.com/scl/fi/pbrs35c7q6zhak381rx1u/104292af.jpg?rlkey=cd6jt2c16pc4ziuhctr8n0phc&amp;dl=0","Click to download Image")</f>
      </c>
      <c r="C2871" s="0" t="inlineStr">
        <is>
          <t>Farrah Women's Cap</t>
        </is>
      </c>
      <c r="D2871" s="0" t="inlineStr">
        <is>
          <t>'04292</t>
        </is>
      </c>
      <c r="E2871" s="0" t="inlineStr">
        <is>
          <t>FARRAH:104292</t>
        </is>
      </c>
      <c r="F2871" s="0" t="inlineStr">
        <is>
          <t>'000000000000</t>
        </is>
      </c>
      <c r="G2871" s="0" t="inlineStr">
        <is>
          <t>WOMENS</t>
        </is>
      </c>
      <c r="H2871" s="0" t="inlineStr">
        <is>
          <t>WOMENS</t>
        </is>
      </c>
      <c r="I2871" s="0">
        <v>19.99</v>
      </c>
      <c r="J2871" s="0">
        <v>21</v>
      </c>
    </row>
    <row r="2872" spans="1:10" customHeight="0">
      <c r="A2872" s="0">
        <f>HYPERLINK("https://dl.dropboxusercontent.com/scl/fi/phmox1j3uu53y51g7a7vd/104292-af.jpg?rlkey=ul0nrzkloe7h692y8thr7tf9d&amp;dl=0","Click to download Image")</f>
      </c>
      <c r="C2872" s="0" t="inlineStr">
        <is>
          <t>Farrah Women's Cap</t>
        </is>
      </c>
      <c r="D2872" s="0" t="inlineStr">
        <is>
          <t>'104298</t>
        </is>
      </c>
      <c r="E2872" s="0" t="inlineStr">
        <is>
          <t>FARRAH:104298</t>
        </is>
      </c>
      <c r="F2872" s="0" t="inlineStr">
        <is>
          <t>'000000000000</t>
        </is>
      </c>
      <c r="G2872" s="0" t="inlineStr">
        <is>
          <t>WOMENS</t>
        </is>
      </c>
      <c r="H2872" s="0" t="inlineStr">
        <is>
          <t>WOMENS</t>
        </is>
      </c>
      <c r="I2872" s="0">
        <v>19.99</v>
      </c>
      <c r="J2872" s="0">
        <v>24</v>
      </c>
    </row>
    <row r="2873" spans="1:10" customHeight="0">
      <c r="A2873" s="0">
        <f>HYPERLINK("https://dl.dropboxusercontent.com/scl/fi/8c24fv6owmnmxpwddajmz/106987-af.jpg?rlkey=t8ru3ccouksp9qx5axddk5j3i&amp;dl=0","Click to download Image")</f>
      </c>
      <c r="B2873" s="0">
        <f>HYPERLINK("https://dl.dropboxusercontent.com/scl/fi/7uz37gdukjub0rfanayhz/graphic-update22022-youth.jpg?rlkey=z51cg15qxn67mf0mzmzo38ade&amp;dl=0","Click to download SizeChart")</f>
      </c>
      <c r="C2873" s="0" t="inlineStr">
        <is>
          <t>Gail Youth Ruffled Long Sleeve</t>
        </is>
      </c>
      <c r="D2873" s="0" t="inlineStr">
        <is>
          <t>'106987</t>
        </is>
      </c>
      <c r="E2873" s="0" t="inlineStr">
        <is>
          <t>IOWA GAIL:106987B-YS</t>
        </is>
      </c>
      <c r="F2873" s="0" t="inlineStr">
        <is>
          <t>'800106987010</t>
        </is>
      </c>
      <c r="G2873" s="0" t="inlineStr">
        <is>
          <t>YOUTH</t>
        </is>
      </c>
      <c r="H2873" s="0" t="inlineStr">
        <is>
          <t>YS</t>
        </is>
      </c>
      <c r="I2873" s="0">
        <v>42.99</v>
      </c>
      <c r="J2873" s="0">
        <v>31</v>
      </c>
    </row>
    <row r="2874" spans="1:10" customHeight="0">
      <c r="A2874" s="0">
        <f>HYPERLINK("https://dl.dropboxusercontent.com/scl/fi/8c24fv6owmnmxpwddajmz/106987-af.jpg?rlkey=t8ru3ccouksp9qx5axddk5j3i&amp;dl=0","Click to download Image")</f>
      </c>
      <c r="B2874" s="0">
        <f>HYPERLINK("https://dl.dropboxusercontent.com/scl/fi/7uz37gdukjub0rfanayhz/graphic-update22022-youth.jpg?rlkey=z51cg15qxn67mf0mzmzo38ade&amp;dl=0","Click to download SizeChart")</f>
      </c>
      <c r="C2874" s="0" t="inlineStr">
        <is>
          <t>Gail Youth Ruffled Long Sleeve</t>
        </is>
      </c>
      <c r="D2874" s="0" t="inlineStr">
        <is>
          <t>'106987</t>
        </is>
      </c>
      <c r="E2874" s="0" t="inlineStr">
        <is>
          <t>IOWA GAIL:106987C-YM</t>
        </is>
      </c>
      <c r="F2874" s="0" t="inlineStr">
        <is>
          <t>'800106987027</t>
        </is>
      </c>
      <c r="G2874" s="0" t="inlineStr">
        <is>
          <t>YOUTH</t>
        </is>
      </c>
      <c r="H2874" s="0" t="inlineStr">
        <is>
          <t>YM</t>
        </is>
      </c>
      <c r="I2874" s="0">
        <v>42.99</v>
      </c>
      <c r="J2874" s="0">
        <v>28</v>
      </c>
    </row>
    <row r="2875" spans="1:10" customHeight="0">
      <c r="A2875" s="0">
        <f>HYPERLINK("https://dl.dropboxusercontent.com/scl/fi/8c24fv6owmnmxpwddajmz/106987-af.jpg?rlkey=t8ru3ccouksp9qx5axddk5j3i&amp;dl=0","Click to download Image")</f>
      </c>
      <c r="B2875" s="0">
        <f>HYPERLINK("https://dl.dropboxusercontent.com/scl/fi/7uz37gdukjub0rfanayhz/graphic-update22022-youth.jpg?rlkey=z51cg15qxn67mf0mzmzo38ade&amp;dl=0","Click to download SizeChart")</f>
      </c>
      <c r="C2875" s="0" t="inlineStr">
        <is>
          <t>Gail Youth Ruffled Long Sleeve</t>
        </is>
      </c>
      <c r="D2875" s="0" t="inlineStr">
        <is>
          <t>'106987</t>
        </is>
      </c>
      <c r="E2875" s="0" t="inlineStr">
        <is>
          <t>IOWA GAIL:106987D-YL</t>
        </is>
      </c>
      <c r="F2875" s="0" t="inlineStr">
        <is>
          <t>'800106987034</t>
        </is>
      </c>
      <c r="G2875" s="0" t="inlineStr">
        <is>
          <t>YOUTH</t>
        </is>
      </c>
      <c r="H2875" s="0" t="inlineStr">
        <is>
          <t>YL</t>
        </is>
      </c>
      <c r="I2875" s="0">
        <v>42.99</v>
      </c>
      <c r="J2875" s="0">
        <v>34</v>
      </c>
    </row>
    <row r="2876" spans="1:10" customHeight="0">
      <c r="A2876" s="0">
        <f>HYPERLINK("https://dl.dropboxusercontent.com/scl/fi/8c24fv6owmnmxpwddajmz/106987-af.jpg?rlkey=t8ru3ccouksp9qx5axddk5j3i&amp;dl=0","Click to download Image")</f>
      </c>
      <c r="B2876" s="0">
        <f>HYPERLINK("https://dl.dropboxusercontent.com/scl/fi/7uz37gdukjub0rfanayhz/graphic-update22022-youth.jpg?rlkey=z51cg15qxn67mf0mzmzo38ade&amp;dl=0","Click to download SizeChart")</f>
      </c>
      <c r="C2876" s="0" t="inlineStr">
        <is>
          <t>Gail Youth Ruffled Long Sleeve</t>
        </is>
      </c>
      <c r="D2876" s="0" t="inlineStr">
        <is>
          <t>'106987</t>
        </is>
      </c>
      <c r="E2876" s="0" t="inlineStr">
        <is>
          <t>IOWA GAIL:106987E-YXL</t>
        </is>
      </c>
      <c r="F2876" s="0" t="inlineStr">
        <is>
          <t>'800106987041</t>
        </is>
      </c>
      <c r="G2876" s="0" t="inlineStr">
        <is>
          <t>YOUTH</t>
        </is>
      </c>
      <c r="H2876" s="0" t="inlineStr">
        <is>
          <t>YXL</t>
        </is>
      </c>
      <c r="I2876" s="0">
        <v>42.99</v>
      </c>
      <c r="J2876" s="0">
        <v>44</v>
      </c>
    </row>
    <row r="2877" spans="1:10" customHeight="0">
      <c r="A2877" s="0">
        <f>HYPERLINK("https://dl.dropboxusercontent.com/scl/fi/82ksnwlg1j2g7lfisnrqg/106988-af.jpg?rlkey=2lm2t5jygtvn24hvhnx4x2ta8&amp;dl=0","Click to download Image")</f>
      </c>
      <c r="B2877" s="0">
        <f>HYPERLINK("https://dl.dropboxusercontent.com/scl/fi/7uz37gdukjub0rfanayhz/graphic-update22022-youth.jpg?rlkey=z51cg15qxn67mf0mzmzo38ade&amp;dl=0","Click to download SizeChart")</f>
      </c>
      <c r="C2877" s="0" t="inlineStr">
        <is>
          <t>Gail Youth Ruffled Long Sleeve</t>
        </is>
      </c>
      <c r="D2877" s="0" t="inlineStr">
        <is>
          <t>'106988</t>
        </is>
      </c>
      <c r="E2877" s="0" t="inlineStr">
        <is>
          <t>ISU GAIL:106988B-YS</t>
        </is>
      </c>
      <c r="F2877" s="0" t="inlineStr">
        <is>
          <t>'800106988017</t>
        </is>
      </c>
      <c r="G2877" s="0" t="inlineStr">
        <is>
          <t>YOUTH</t>
        </is>
      </c>
      <c r="H2877" s="0" t="inlineStr">
        <is>
          <t>YS</t>
        </is>
      </c>
      <c r="I2877" s="0">
        <v>42.99</v>
      </c>
      <c r="J2877" s="0">
        <v>7</v>
      </c>
    </row>
    <row r="2878" spans="1:10" customHeight="0">
      <c r="A2878" s="0">
        <f>HYPERLINK("https://dl.dropboxusercontent.com/scl/fi/82ksnwlg1j2g7lfisnrqg/106988-af.jpg?rlkey=2lm2t5jygtvn24hvhnx4x2ta8&amp;dl=0","Click to download Image")</f>
      </c>
      <c r="B2878" s="0">
        <f>HYPERLINK("https://dl.dropboxusercontent.com/scl/fi/7uz37gdukjub0rfanayhz/graphic-update22022-youth.jpg?rlkey=z51cg15qxn67mf0mzmzo38ade&amp;dl=0","Click to download SizeChart")</f>
      </c>
      <c r="C2878" s="0" t="inlineStr">
        <is>
          <t>Gail Youth Ruffled Long Sleeve</t>
        </is>
      </c>
      <c r="D2878" s="0" t="inlineStr">
        <is>
          <t>'106988</t>
        </is>
      </c>
      <c r="E2878" s="0" t="inlineStr">
        <is>
          <t>ISU GAIL:106988C-YM</t>
        </is>
      </c>
      <c r="F2878" s="0" t="inlineStr">
        <is>
          <t>'800106988024</t>
        </is>
      </c>
      <c r="G2878" s="0" t="inlineStr">
        <is>
          <t>YOUTH</t>
        </is>
      </c>
      <c r="H2878" s="0" t="inlineStr">
        <is>
          <t>YM</t>
        </is>
      </c>
      <c r="I2878" s="0">
        <v>42.99</v>
      </c>
      <c r="J2878" s="0">
        <v>2</v>
      </c>
    </row>
    <row r="2879" spans="1:10" customHeight="0">
      <c r="A2879" s="0">
        <f>HYPERLINK("https://dl.dropboxusercontent.com/scl/fi/82ksnwlg1j2g7lfisnrqg/106988-af.jpg?rlkey=2lm2t5jygtvn24hvhnx4x2ta8&amp;dl=0","Click to download Image")</f>
      </c>
      <c r="B2879" s="0">
        <f>HYPERLINK("https://dl.dropboxusercontent.com/scl/fi/7uz37gdukjub0rfanayhz/graphic-update22022-youth.jpg?rlkey=z51cg15qxn67mf0mzmzo38ade&amp;dl=0","Click to download SizeChart")</f>
      </c>
      <c r="C2879" s="0" t="inlineStr">
        <is>
          <t>Gail Youth Ruffled Long Sleeve</t>
        </is>
      </c>
      <c r="D2879" s="0" t="inlineStr">
        <is>
          <t>'106988</t>
        </is>
      </c>
      <c r="E2879" s="0" t="inlineStr">
        <is>
          <t>ISU GAIL:106988D-YL</t>
        </is>
      </c>
      <c r="F2879" s="0" t="inlineStr">
        <is>
          <t>'800106988031</t>
        </is>
      </c>
      <c r="G2879" s="0" t="inlineStr">
        <is>
          <t>YOUTH</t>
        </is>
      </c>
      <c r="H2879" s="0" t="inlineStr">
        <is>
          <t>YL</t>
        </is>
      </c>
      <c r="I2879" s="0">
        <v>42.99</v>
      </c>
      <c r="J2879" s="0">
        <v>8</v>
      </c>
    </row>
    <row r="2880" spans="1:10" customHeight="0">
      <c r="A2880" s="0">
        <f>HYPERLINK("https://dl.dropboxusercontent.com/scl/fi/82ksnwlg1j2g7lfisnrqg/106988-af.jpg?rlkey=2lm2t5jygtvn24hvhnx4x2ta8&amp;dl=0","Click to download Image")</f>
      </c>
      <c r="B2880" s="0">
        <f>HYPERLINK("https://dl.dropboxusercontent.com/scl/fi/7uz37gdukjub0rfanayhz/graphic-update22022-youth.jpg?rlkey=z51cg15qxn67mf0mzmzo38ade&amp;dl=0","Click to download SizeChart")</f>
      </c>
      <c r="C2880" s="0" t="inlineStr">
        <is>
          <t>Gail Youth Ruffled Long Sleeve</t>
        </is>
      </c>
      <c r="D2880" s="0" t="inlineStr">
        <is>
          <t>'106988</t>
        </is>
      </c>
      <c r="E2880" s="0" t="inlineStr">
        <is>
          <t>ISU GAIL:106988E-YXL</t>
        </is>
      </c>
      <c r="F2880" s="0" t="inlineStr">
        <is>
          <t>'800106988048</t>
        </is>
      </c>
      <c r="G2880" s="0" t="inlineStr">
        <is>
          <t>YOUTH</t>
        </is>
      </c>
      <c r="H2880" s="0" t="inlineStr">
        <is>
          <t>YXL</t>
        </is>
      </c>
      <c r="I2880" s="0">
        <v>42.99</v>
      </c>
      <c r="J2880" s="0">
        <v>15</v>
      </c>
    </row>
    <row r="2881" spans="1:10" customHeight="0">
      <c r="A2881" s="0">
        <f>HYPERLINK("https://dl.dropboxusercontent.com/scl/fi/frj52yafvgcarrj5hn98a/109281-af.jpg?rlkey=hd6rdx3dq53flld60tp7fd1r3&amp;dl=0","Click to download Image")</f>
      </c>
      <c r="B2881" s="0">
        <f>HYPERLINK("https://dl.dropboxusercontent.com/scl/fi/7uz37gdukjub0rfanayhz/graphic-update22022-youth.jpg?rlkey=z51cg15qxn67mf0mzmzo38ade&amp;dl=0","Click to download SizeChart")</f>
      </c>
      <c r="C2881" s="0" t="inlineStr">
        <is>
          <t>Gail Youth Ruffled Long Sleeve</t>
        </is>
      </c>
      <c r="D2881" s="0" t="inlineStr">
        <is>
          <t>'109281</t>
        </is>
      </c>
      <c r="E2881" s="0" t="inlineStr">
        <is>
          <t>UNI GAIL:109281A - YS</t>
        </is>
      </c>
      <c r="F2881" s="0" t="inlineStr">
        <is>
          <t>'800109281047</t>
        </is>
      </c>
      <c r="G2881" s="0" t="inlineStr">
        <is>
          <t>YOUTH</t>
        </is>
      </c>
      <c r="H2881" s="0" t="inlineStr">
        <is>
          <t>YS</t>
        </is>
      </c>
      <c r="I2881" s="0">
        <v>42.99</v>
      </c>
      <c r="J2881" s="0">
        <v>0</v>
      </c>
    </row>
    <row r="2882" spans="1:10" customHeight="0">
      <c r="A2882" s="0">
        <f>HYPERLINK("https://dl.dropboxusercontent.com/scl/fi/frj52yafvgcarrj5hn98a/109281-af.jpg?rlkey=hd6rdx3dq53flld60tp7fd1r3&amp;dl=0","Click to download Image")</f>
      </c>
      <c r="B2882" s="0">
        <f>HYPERLINK("https://dl.dropboxusercontent.com/scl/fi/7uz37gdukjub0rfanayhz/graphic-update22022-youth.jpg?rlkey=z51cg15qxn67mf0mzmzo38ade&amp;dl=0","Click to download SizeChart")</f>
      </c>
      <c r="C2882" s="0" t="inlineStr">
        <is>
          <t>Gail Youth Ruffled Long Sleeve</t>
        </is>
      </c>
      <c r="D2882" s="0" t="inlineStr">
        <is>
          <t>'109281</t>
        </is>
      </c>
      <c r="E2882" s="0" t="inlineStr">
        <is>
          <t>UNI GAIL:109281C-YM</t>
        </is>
      </c>
      <c r="F2882" s="0" t="inlineStr">
        <is>
          <t>'800109281023</t>
        </is>
      </c>
      <c r="G2882" s="0" t="inlineStr">
        <is>
          <t>YOUTH</t>
        </is>
      </c>
      <c r="H2882" s="0" t="inlineStr">
        <is>
          <t>YM</t>
        </is>
      </c>
      <c r="I2882" s="0">
        <v>42.99</v>
      </c>
      <c r="J2882" s="0">
        <v>12</v>
      </c>
    </row>
    <row r="2883" spans="1:10" customHeight="0">
      <c r="A2883" s="0">
        <f>HYPERLINK("https://dl.dropboxusercontent.com/scl/fi/frj52yafvgcarrj5hn98a/109281-af.jpg?rlkey=hd6rdx3dq53flld60tp7fd1r3&amp;dl=0","Click to download Image")</f>
      </c>
      <c r="B2883" s="0">
        <f>HYPERLINK("https://dl.dropboxusercontent.com/scl/fi/7uz37gdukjub0rfanayhz/graphic-update22022-youth.jpg?rlkey=z51cg15qxn67mf0mzmzo38ade&amp;dl=0","Click to download SizeChart")</f>
      </c>
      <c r="C2883" s="0" t="inlineStr">
        <is>
          <t>Gail Youth Ruffled Long Sleeve</t>
        </is>
      </c>
      <c r="D2883" s="0" t="inlineStr">
        <is>
          <t>'109281</t>
        </is>
      </c>
      <c r="E2883" s="0" t="inlineStr">
        <is>
          <t>UNI GAIL:109281D-YL</t>
        </is>
      </c>
      <c r="F2883" s="0" t="inlineStr">
        <is>
          <t>'800109281030</t>
        </is>
      </c>
      <c r="G2883" s="0" t="inlineStr">
        <is>
          <t>YOUTH</t>
        </is>
      </c>
      <c r="H2883" s="0" t="inlineStr">
        <is>
          <t>YL</t>
        </is>
      </c>
      <c r="I2883" s="0">
        <v>42.99</v>
      </c>
      <c r="J2883" s="0">
        <v>12</v>
      </c>
    </row>
    <row r="2884" spans="1:10" customHeight="0">
      <c r="A2884" s="0">
        <f>HYPERLINK("https://dl.dropboxusercontent.com/scl/fi/frj52yafvgcarrj5hn98a/109281-af.jpg?rlkey=hd6rdx3dq53flld60tp7fd1r3&amp;dl=0","Click to download Image")</f>
      </c>
      <c r="B2884" s="0">
        <f>HYPERLINK("https://dl.dropboxusercontent.com/scl/fi/7uz37gdukjub0rfanayhz/graphic-update22022-youth.jpg?rlkey=z51cg15qxn67mf0mzmzo38ade&amp;dl=0","Click to download SizeChart")</f>
      </c>
      <c r="C2884" s="0" t="inlineStr">
        <is>
          <t>Gail Youth Ruffled Long Sleeve</t>
        </is>
      </c>
      <c r="D2884" s="0" t="inlineStr">
        <is>
          <t>'109281</t>
        </is>
      </c>
      <c r="E2884" s="0" t="inlineStr">
        <is>
          <t>UNI GAIL:109281E-YXL</t>
        </is>
      </c>
      <c r="F2884" s="0" t="inlineStr">
        <is>
          <t>'800109281047</t>
        </is>
      </c>
      <c r="G2884" s="0" t="inlineStr">
        <is>
          <t>YOUTH</t>
        </is>
      </c>
      <c r="H2884" s="0" t="inlineStr">
        <is>
          <t>YXL</t>
        </is>
      </c>
      <c r="I2884" s="0">
        <v>42.99</v>
      </c>
      <c r="J2884" s="0">
        <v>12</v>
      </c>
    </row>
    <row r="2885" spans="1:10" customHeight="0">
      <c r="A2885" s="0">
        <f>HYPERLINK("https://dl.dropboxusercontent.com/scl/fi/4dvnm20dp2mlrudg3qnew/109283af.jpg?rlkey=6dwb04uy6cmjdxqjn6w6pixz4&amp;dl=0","Click to download Image")</f>
      </c>
      <c r="B2885" s="0">
        <f>HYPERLINK("https://dl.dropboxusercontent.com/scl/fi/7uz37gdukjub0rfanayhz/graphic-update22022-youth.jpg?rlkey=z51cg15qxn67mf0mzmzo38ade&amp;dl=0","Click to download SizeChart")</f>
      </c>
      <c r="C2885" s="0" t="inlineStr">
        <is>
          <t>Gail Youth Ruffled Long Sleeve</t>
        </is>
      </c>
      <c r="D2885" s="0" t="inlineStr">
        <is>
          <t>'109283</t>
        </is>
      </c>
      <c r="E2885" s="0" t="inlineStr">
        <is>
          <t>MU GAIL:109283B-YS</t>
        </is>
      </c>
      <c r="F2885" s="0" t="inlineStr">
        <is>
          <t>'800109283010</t>
        </is>
      </c>
      <c r="G2885" s="0" t="inlineStr">
        <is>
          <t>YOUTH</t>
        </is>
      </c>
      <c r="H2885" s="0" t="inlineStr">
        <is>
          <t>YS</t>
        </is>
      </c>
      <c r="I2885" s="0">
        <v>42.99</v>
      </c>
      <c r="J2885" s="0">
        <v>8</v>
      </c>
    </row>
    <row r="2886" spans="1:10" customHeight="0">
      <c r="A2886" s="0">
        <f>HYPERLINK("https://dl.dropboxusercontent.com/scl/fi/4dvnm20dp2mlrudg3qnew/109283af.jpg?rlkey=6dwb04uy6cmjdxqjn6w6pixz4&amp;dl=0","Click to download Image")</f>
      </c>
      <c r="B2886" s="0">
        <f>HYPERLINK("https://dl.dropboxusercontent.com/scl/fi/7uz37gdukjub0rfanayhz/graphic-update22022-youth.jpg?rlkey=z51cg15qxn67mf0mzmzo38ade&amp;dl=0","Click to download SizeChart")</f>
      </c>
      <c r="C2886" s="0" t="inlineStr">
        <is>
          <t>Gail Youth Ruffled Long Sleeve</t>
        </is>
      </c>
      <c r="D2886" s="0" t="inlineStr">
        <is>
          <t>'109283</t>
        </is>
      </c>
      <c r="E2886" s="0" t="inlineStr">
        <is>
          <t>MU GAIL:109283C-YM</t>
        </is>
      </c>
      <c r="F2886" s="0" t="inlineStr">
        <is>
          <t>'800109283027</t>
        </is>
      </c>
      <c r="G2886" s="0" t="inlineStr">
        <is>
          <t>YOUTH</t>
        </is>
      </c>
      <c r="H2886" s="0" t="inlineStr">
        <is>
          <t>YM</t>
        </is>
      </c>
      <c r="I2886" s="0">
        <v>42.99</v>
      </c>
      <c r="J2886" s="0">
        <v>9</v>
      </c>
    </row>
    <row r="2887" spans="1:10" customHeight="0">
      <c r="A2887" s="0">
        <f>HYPERLINK("https://dl.dropboxusercontent.com/scl/fi/4dvnm20dp2mlrudg3qnew/109283af.jpg?rlkey=6dwb04uy6cmjdxqjn6w6pixz4&amp;dl=0","Click to download Image")</f>
      </c>
      <c r="B2887" s="0">
        <f>HYPERLINK("https://dl.dropboxusercontent.com/scl/fi/7uz37gdukjub0rfanayhz/graphic-update22022-youth.jpg?rlkey=z51cg15qxn67mf0mzmzo38ade&amp;dl=0","Click to download SizeChart")</f>
      </c>
      <c r="C2887" s="0" t="inlineStr">
        <is>
          <t>Gail Youth Ruffled Long Sleeve</t>
        </is>
      </c>
      <c r="D2887" s="0" t="inlineStr">
        <is>
          <t>'109283</t>
        </is>
      </c>
      <c r="E2887" s="0" t="inlineStr">
        <is>
          <t>MU GAIL:109283D-YL</t>
        </is>
      </c>
      <c r="F2887" s="0" t="inlineStr">
        <is>
          <t>'800109283034</t>
        </is>
      </c>
      <c r="G2887" s="0" t="inlineStr">
        <is>
          <t>YOUTH</t>
        </is>
      </c>
      <c r="H2887" s="0" t="inlineStr">
        <is>
          <t>YL</t>
        </is>
      </c>
      <c r="I2887" s="0">
        <v>42.99</v>
      </c>
      <c r="J2887" s="0">
        <v>9</v>
      </c>
    </row>
    <row r="2888" spans="1:10" customHeight="0">
      <c r="A2888" s="0">
        <f>HYPERLINK("https://dl.dropboxusercontent.com/scl/fi/4dvnm20dp2mlrudg3qnew/109283af.jpg?rlkey=6dwb04uy6cmjdxqjn6w6pixz4&amp;dl=0","Click to download Image")</f>
      </c>
      <c r="B2888" s="0">
        <f>HYPERLINK("https://dl.dropboxusercontent.com/scl/fi/7uz37gdukjub0rfanayhz/graphic-update22022-youth.jpg?rlkey=z51cg15qxn67mf0mzmzo38ade&amp;dl=0","Click to download SizeChart")</f>
      </c>
      <c r="C2888" s="0" t="inlineStr">
        <is>
          <t>Gail Youth Ruffled Long Sleeve</t>
        </is>
      </c>
      <c r="D2888" s="0" t="inlineStr">
        <is>
          <t>'109283</t>
        </is>
      </c>
      <c r="E2888" s="0" t="inlineStr">
        <is>
          <t>MU GAIL:109283E-YXL</t>
        </is>
      </c>
      <c r="F2888" s="0" t="inlineStr">
        <is>
          <t>'800109283041</t>
        </is>
      </c>
      <c r="G2888" s="0" t="inlineStr">
        <is>
          <t>YOUTH</t>
        </is>
      </c>
      <c r="H2888" s="0" t="inlineStr">
        <is>
          <t>YXL</t>
        </is>
      </c>
      <c r="I2888" s="0">
        <v>42.99</v>
      </c>
      <c r="J2888" s="0">
        <v>10</v>
      </c>
    </row>
    <row r="2889" spans="1:10" customHeight="0">
      <c r="A2889" s="0">
        <f>HYPERLINK("https://dl.dropboxusercontent.com/scl/fi/n9fh8cr2if866lzqobhi7/109282-af.jpg?rlkey=d00n3fvdxoi99ihdk62g5dgqu&amp;dl=0","Click to download Image")</f>
      </c>
      <c r="B2889" s="0">
        <f>HYPERLINK("https://dl.dropboxusercontent.com/scl/fi/7uz37gdukjub0rfanayhz/graphic-update22022-youth.jpg?rlkey=z51cg15qxn67mf0mzmzo38ade&amp;dl=0","Click to download SizeChart")</f>
      </c>
      <c r="C2889" s="0" t="inlineStr">
        <is>
          <t>Gail Youth Ruffled Long Sleeve</t>
        </is>
      </c>
      <c r="D2889" s="0" t="inlineStr">
        <is>
          <t>'109282</t>
        </is>
      </c>
      <c r="E2889" s="0" t="inlineStr">
        <is>
          <t>PURDUE GAIL:109282B-YS</t>
        </is>
      </c>
      <c r="F2889" s="0" t="inlineStr">
        <is>
          <t>'800109282013</t>
        </is>
      </c>
      <c r="G2889" s="0" t="inlineStr">
        <is>
          <t>YOUTH</t>
        </is>
      </c>
      <c r="H2889" s="0" t="inlineStr">
        <is>
          <t>YS</t>
        </is>
      </c>
      <c r="I2889" s="0">
        <v>42.99</v>
      </c>
      <c r="J2889" s="0">
        <v>6</v>
      </c>
    </row>
    <row r="2890" spans="1:10" customHeight="0">
      <c r="A2890" s="0">
        <f>HYPERLINK("https://dl.dropboxusercontent.com/scl/fi/n9fh8cr2if866lzqobhi7/109282-af.jpg?rlkey=d00n3fvdxoi99ihdk62g5dgqu&amp;dl=0","Click to download Image")</f>
      </c>
      <c r="B2890" s="0">
        <f>HYPERLINK("https://dl.dropboxusercontent.com/scl/fi/7uz37gdukjub0rfanayhz/graphic-update22022-youth.jpg?rlkey=z51cg15qxn67mf0mzmzo38ade&amp;dl=0","Click to download SizeChart")</f>
      </c>
      <c r="C2890" s="0" t="inlineStr">
        <is>
          <t>Gail Youth Ruffled Long Sleeve</t>
        </is>
      </c>
      <c r="D2890" s="0" t="inlineStr">
        <is>
          <t>'109282</t>
        </is>
      </c>
      <c r="E2890" s="0" t="inlineStr">
        <is>
          <t>PURDUE GAIL:109282C-YM</t>
        </is>
      </c>
      <c r="F2890" s="0" t="inlineStr">
        <is>
          <t>'800109282020</t>
        </is>
      </c>
      <c r="G2890" s="0" t="inlineStr">
        <is>
          <t>YOUTH</t>
        </is>
      </c>
      <c r="H2890" s="0" t="inlineStr">
        <is>
          <t>YM</t>
        </is>
      </c>
      <c r="I2890" s="0">
        <v>42.99</v>
      </c>
      <c r="J2890" s="0">
        <v>6</v>
      </c>
    </row>
    <row r="2891" spans="1:10" customHeight="0">
      <c r="A2891" s="0">
        <f>HYPERLINK("https://dl.dropboxusercontent.com/scl/fi/n9fh8cr2if866lzqobhi7/109282-af.jpg?rlkey=d00n3fvdxoi99ihdk62g5dgqu&amp;dl=0","Click to download Image")</f>
      </c>
      <c r="B2891" s="0">
        <f>HYPERLINK("https://dl.dropboxusercontent.com/scl/fi/7uz37gdukjub0rfanayhz/graphic-update22022-youth.jpg?rlkey=z51cg15qxn67mf0mzmzo38ade&amp;dl=0","Click to download SizeChart")</f>
      </c>
      <c r="C2891" s="0" t="inlineStr">
        <is>
          <t>Gail Youth Ruffled Long Sleeve</t>
        </is>
      </c>
      <c r="D2891" s="0" t="inlineStr">
        <is>
          <t>'109282</t>
        </is>
      </c>
      <c r="E2891" s="0" t="inlineStr">
        <is>
          <t>PURDUE GAIL:109282D-YL</t>
        </is>
      </c>
      <c r="F2891" s="0" t="inlineStr">
        <is>
          <t>'800109282037</t>
        </is>
      </c>
      <c r="G2891" s="0" t="inlineStr">
        <is>
          <t>YOUTH</t>
        </is>
      </c>
      <c r="H2891" s="0" t="inlineStr">
        <is>
          <t>YL</t>
        </is>
      </c>
      <c r="I2891" s="0">
        <v>42.99</v>
      </c>
      <c r="J2891" s="0">
        <v>6</v>
      </c>
    </row>
    <row r="2892" spans="1:10" customHeight="0">
      <c r="A2892" s="0">
        <f>HYPERLINK("https://dl.dropboxusercontent.com/scl/fi/n9fh8cr2if866lzqobhi7/109282-af.jpg?rlkey=d00n3fvdxoi99ihdk62g5dgqu&amp;dl=0","Click to download Image")</f>
      </c>
      <c r="B2892" s="0">
        <f>HYPERLINK("https://dl.dropboxusercontent.com/scl/fi/7uz37gdukjub0rfanayhz/graphic-update22022-youth.jpg?rlkey=z51cg15qxn67mf0mzmzo38ade&amp;dl=0","Click to download SizeChart")</f>
      </c>
      <c r="C2892" s="0" t="inlineStr">
        <is>
          <t>Gail Youth Ruffled Long Sleeve</t>
        </is>
      </c>
      <c r="D2892" s="0" t="inlineStr">
        <is>
          <t>'109282</t>
        </is>
      </c>
      <c r="E2892" s="0" t="inlineStr">
        <is>
          <t>PURDUE GAIL:109282E-YXL</t>
        </is>
      </c>
      <c r="F2892" s="0" t="inlineStr">
        <is>
          <t>'800109282044</t>
        </is>
      </c>
      <c r="G2892" s="0" t="inlineStr">
        <is>
          <t>YOUTH</t>
        </is>
      </c>
      <c r="H2892" s="0" t="inlineStr">
        <is>
          <t>YXL</t>
        </is>
      </c>
      <c r="I2892" s="0">
        <v>42.99</v>
      </c>
      <c r="J2892" s="0">
        <v>6</v>
      </c>
    </row>
    <row r="2893" spans="1:10" customHeight="0">
      <c r="A2893" s="0">
        <f>HYPERLINK("https://dl.dropboxusercontent.com/scl/fi/jzudyy1wkomf0uvyo5l6v/109299-af.jpg?rlkey=ps2tpbosmbqnjtjegb60zpwfm&amp;dl=0","Click to download Image")</f>
      </c>
      <c r="B2893" s="0">
        <f>HYPERLINK("https://dl.dropboxusercontent.com/scl/fi/7uz37gdukjub0rfanayhz/graphic-update22022-youth.jpg?rlkey=z51cg15qxn67mf0mzmzo38ade&amp;dl=0","Click to download SizeChart")</f>
      </c>
      <c r="C2893" s="0" t="inlineStr">
        <is>
          <t>Gail Youth Ruffled Long Sleeve</t>
        </is>
      </c>
      <c r="D2893" s="0" t="inlineStr">
        <is>
          <t>'109299</t>
        </is>
      </c>
      <c r="E2893" s="0" t="inlineStr">
        <is>
          <t>MARQ GAIL:109299A-S</t>
        </is>
      </c>
      <c r="F2893" s="0" t="inlineStr">
        <is>
          <t>'800109299011</t>
        </is>
      </c>
      <c r="G2893" s="0" t="inlineStr">
        <is>
          <t>YOUTH</t>
        </is>
      </c>
      <c r="I2893" s="0">
        <v>42.99</v>
      </c>
      <c r="J2893" s="0">
        <v>12</v>
      </c>
    </row>
    <row r="2894" spans="1:10" customHeight="0">
      <c r="A2894" s="0">
        <f>HYPERLINK("https://dl.dropboxusercontent.com/scl/fi/jzudyy1wkomf0uvyo5l6v/109299-af.jpg?rlkey=ps2tpbosmbqnjtjegb60zpwfm&amp;dl=0","Click to download Image")</f>
      </c>
      <c r="B2894" s="0">
        <f>HYPERLINK("https://dl.dropboxusercontent.com/scl/fi/7uz37gdukjub0rfanayhz/graphic-update22022-youth.jpg?rlkey=z51cg15qxn67mf0mzmzo38ade&amp;dl=0","Click to download SizeChart")</f>
      </c>
      <c r="C2894" s="0" t="inlineStr">
        <is>
          <t>Gail Youth Ruffled Long Sleeve</t>
        </is>
      </c>
      <c r="D2894" s="0" t="inlineStr">
        <is>
          <t>'109299</t>
        </is>
      </c>
      <c r="E2894" s="0" t="inlineStr">
        <is>
          <t>MARQ GAIL:109299B-M</t>
        </is>
      </c>
      <c r="F2894" s="0" t="inlineStr">
        <is>
          <t>'800109299028</t>
        </is>
      </c>
      <c r="G2894" s="0" t="inlineStr">
        <is>
          <t>YOUTH</t>
        </is>
      </c>
      <c r="I2894" s="0">
        <v>42.99</v>
      </c>
      <c r="J2894" s="0">
        <v>13</v>
      </c>
    </row>
    <row r="2895" spans="1:10" customHeight="0">
      <c r="A2895" s="0">
        <f>HYPERLINK("https://dl.dropboxusercontent.com/scl/fi/jzudyy1wkomf0uvyo5l6v/109299-af.jpg?rlkey=ps2tpbosmbqnjtjegb60zpwfm&amp;dl=0","Click to download Image")</f>
      </c>
      <c r="B2895" s="0">
        <f>HYPERLINK("https://dl.dropboxusercontent.com/scl/fi/7uz37gdukjub0rfanayhz/graphic-update22022-youth.jpg?rlkey=z51cg15qxn67mf0mzmzo38ade&amp;dl=0","Click to download SizeChart")</f>
      </c>
      <c r="C2895" s="0" t="inlineStr">
        <is>
          <t>Gail Youth Ruffled Long Sleeve</t>
        </is>
      </c>
      <c r="D2895" s="0" t="inlineStr">
        <is>
          <t>'109299</t>
        </is>
      </c>
      <c r="E2895" s="0" t="inlineStr">
        <is>
          <t>MARQ GAIL:109299C-L</t>
        </is>
      </c>
      <c r="F2895" s="0" t="inlineStr">
        <is>
          <t>'800109299035</t>
        </is>
      </c>
      <c r="G2895" s="0" t="inlineStr">
        <is>
          <t>YOUTH</t>
        </is>
      </c>
      <c r="I2895" s="0">
        <v>42.99</v>
      </c>
      <c r="J2895" s="0">
        <v>12</v>
      </c>
    </row>
    <row r="2896" spans="1:10" customHeight="0">
      <c r="A2896" s="0">
        <f>HYPERLINK("https://dl.dropboxusercontent.com/scl/fi/jzudyy1wkomf0uvyo5l6v/109299-af.jpg?rlkey=ps2tpbosmbqnjtjegb60zpwfm&amp;dl=0","Click to download Image")</f>
      </c>
      <c r="B2896" s="0">
        <f>HYPERLINK("https://dl.dropboxusercontent.com/scl/fi/7uz37gdukjub0rfanayhz/graphic-update22022-youth.jpg?rlkey=z51cg15qxn67mf0mzmzo38ade&amp;dl=0","Click to download SizeChart")</f>
      </c>
      <c r="C2896" s="0" t="inlineStr">
        <is>
          <t>Gail Youth Ruffled Long Sleeve</t>
        </is>
      </c>
      <c r="D2896" s="0" t="inlineStr">
        <is>
          <t>'109299</t>
        </is>
      </c>
      <c r="E2896" s="0" t="inlineStr">
        <is>
          <t>MARQ GAIL:109299D-XL</t>
        </is>
      </c>
      <c r="F2896" s="0" t="inlineStr">
        <is>
          <t>'800109299042</t>
        </is>
      </c>
      <c r="G2896" s="0" t="inlineStr">
        <is>
          <t>YOUTH</t>
        </is>
      </c>
      <c r="I2896" s="0">
        <v>42.99</v>
      </c>
      <c r="J2896" s="0">
        <v>13</v>
      </c>
    </row>
    <row r="2897" spans="1:10" customHeight="0">
      <c r="A2897" s="0">
        <f>HYPERLINK("https://dl.dropboxusercontent.com/scl/fi/x77u5hhog9ql1kiujjoks/109287-af.jpg?rlkey=ag8dm34mlhk82v9qh9tf3s5z5&amp;dl=0","Click to download Image")</f>
      </c>
      <c r="B2897" s="0">
        <f>HYPERLINK("https://dl.dropboxusercontent.com/scl/fi/7uz37gdukjub0rfanayhz/graphic-update22022-youth.jpg?rlkey=z51cg15qxn67mf0mzmzo38ade&amp;dl=0","Click to download SizeChart")</f>
      </c>
      <c r="C2897" s="0" t="inlineStr">
        <is>
          <t>Gail Youth Ruffled Long Sleeve</t>
        </is>
      </c>
      <c r="D2897" s="0" t="inlineStr">
        <is>
          <t>'109287</t>
        </is>
      </c>
      <c r="E2897" s="0" t="inlineStr">
        <is>
          <t>WICHITA GAIL:109287B-YS</t>
        </is>
      </c>
      <c r="F2897" s="0" t="inlineStr">
        <is>
          <t>'800109287018</t>
        </is>
      </c>
      <c r="G2897" s="0" t="inlineStr">
        <is>
          <t>YOUTH</t>
        </is>
      </c>
      <c r="H2897" s="0" t="inlineStr">
        <is>
          <t>YS</t>
        </is>
      </c>
      <c r="I2897" s="0">
        <v>42.99</v>
      </c>
      <c r="J2897" s="0">
        <v>6</v>
      </c>
    </row>
    <row r="2898" spans="1:10" customHeight="0">
      <c r="A2898" s="0">
        <f>HYPERLINK("https://dl.dropboxusercontent.com/scl/fi/x77u5hhog9ql1kiujjoks/109287-af.jpg?rlkey=ag8dm34mlhk82v9qh9tf3s5z5&amp;dl=0","Click to download Image")</f>
      </c>
      <c r="B2898" s="0">
        <f>HYPERLINK("https://dl.dropboxusercontent.com/scl/fi/7uz37gdukjub0rfanayhz/graphic-update22022-youth.jpg?rlkey=z51cg15qxn67mf0mzmzo38ade&amp;dl=0","Click to download SizeChart")</f>
      </c>
      <c r="C2898" s="0" t="inlineStr">
        <is>
          <t>Gail Youth Ruffled Long Sleeve</t>
        </is>
      </c>
      <c r="D2898" s="0" t="inlineStr">
        <is>
          <t>'109287</t>
        </is>
      </c>
      <c r="E2898" s="0" t="inlineStr">
        <is>
          <t>WICHITA GAIL:109287C-YM</t>
        </is>
      </c>
      <c r="F2898" s="0" t="inlineStr">
        <is>
          <t>'800109287025</t>
        </is>
      </c>
      <c r="G2898" s="0" t="inlineStr">
        <is>
          <t>YOUTH</t>
        </is>
      </c>
      <c r="H2898" s="0" t="inlineStr">
        <is>
          <t>YM</t>
        </is>
      </c>
      <c r="I2898" s="0">
        <v>42.99</v>
      </c>
      <c r="J2898" s="0">
        <v>10</v>
      </c>
    </row>
    <row r="2899" spans="1:10" customHeight="0">
      <c r="A2899" s="0">
        <f>HYPERLINK("https://dl.dropboxusercontent.com/scl/fi/x77u5hhog9ql1kiujjoks/109287-af.jpg?rlkey=ag8dm34mlhk82v9qh9tf3s5z5&amp;dl=0","Click to download Image")</f>
      </c>
      <c r="B2899" s="0">
        <f>HYPERLINK("https://dl.dropboxusercontent.com/scl/fi/7uz37gdukjub0rfanayhz/graphic-update22022-youth.jpg?rlkey=z51cg15qxn67mf0mzmzo38ade&amp;dl=0","Click to download SizeChart")</f>
      </c>
      <c r="C2899" s="0" t="inlineStr">
        <is>
          <t>Gail Youth Ruffled Long Sleeve</t>
        </is>
      </c>
      <c r="D2899" s="0" t="inlineStr">
        <is>
          <t>'109287</t>
        </is>
      </c>
      <c r="E2899" s="0" t="inlineStr">
        <is>
          <t>WICHITA GAIL:109287D-YL</t>
        </is>
      </c>
      <c r="F2899" s="0" t="inlineStr">
        <is>
          <t>'800109287032</t>
        </is>
      </c>
      <c r="G2899" s="0" t="inlineStr">
        <is>
          <t>YOUTH</t>
        </is>
      </c>
      <c r="H2899" s="0" t="inlineStr">
        <is>
          <t>YL</t>
        </is>
      </c>
      <c r="I2899" s="0">
        <v>42.99</v>
      </c>
      <c r="J2899" s="0">
        <v>9</v>
      </c>
    </row>
    <row r="2900" spans="1:10" customHeight="0">
      <c r="A2900" s="0">
        <f>HYPERLINK("https://dl.dropboxusercontent.com/scl/fi/x77u5hhog9ql1kiujjoks/109287-af.jpg?rlkey=ag8dm34mlhk82v9qh9tf3s5z5&amp;dl=0","Click to download Image")</f>
      </c>
      <c r="B2900" s="0">
        <f>HYPERLINK("https://dl.dropboxusercontent.com/scl/fi/7uz37gdukjub0rfanayhz/graphic-update22022-youth.jpg?rlkey=z51cg15qxn67mf0mzmzo38ade&amp;dl=0","Click to download SizeChart")</f>
      </c>
      <c r="C2900" s="0" t="inlineStr">
        <is>
          <t>Gail Youth Ruffled Long Sleeve</t>
        </is>
      </c>
      <c r="D2900" s="0" t="inlineStr">
        <is>
          <t>'109287</t>
        </is>
      </c>
      <c r="E2900" s="0" t="inlineStr">
        <is>
          <t>WICHITA GAIL:109287E-YXL</t>
        </is>
      </c>
      <c r="F2900" s="0" t="inlineStr">
        <is>
          <t>'800109287049</t>
        </is>
      </c>
      <c r="G2900" s="0" t="inlineStr">
        <is>
          <t>YOUTH</t>
        </is>
      </c>
      <c r="H2900" s="0" t="inlineStr">
        <is>
          <t>YXL</t>
        </is>
      </c>
      <c r="I2900" s="0">
        <v>42.99</v>
      </c>
      <c r="J2900" s="0">
        <v>10</v>
      </c>
    </row>
    <row r="2901" spans="1:10" customHeight="0">
      <c r="A2901" s="0">
        <f>HYPERLINK("https://dl.dropboxusercontent.com/scl/fi/yjid398o1haw92g2l8tjk/109284-af.jpg?rlkey=bb3gc6hbeyv6fkjf6ojt1b5hu&amp;dl=0","Click to download Image")</f>
      </c>
      <c r="B2901" s="0">
        <f>HYPERLINK("https://dl.dropboxusercontent.com/scl/fi/7uz37gdukjub0rfanayhz/graphic-update22022-youth.jpg?rlkey=z51cg15qxn67mf0mzmzo38ade&amp;dl=0","Click to download SizeChart")</f>
      </c>
      <c r="C2901" s="0" t="inlineStr">
        <is>
          <t>Gail Youth Ruffled Long Sleeve</t>
        </is>
      </c>
      <c r="D2901" s="0" t="inlineStr">
        <is>
          <t>'109284</t>
        </is>
      </c>
      <c r="E2901" s="0" t="inlineStr">
        <is>
          <t>UNO GAIL:109284B-YS</t>
        </is>
      </c>
      <c r="F2901" s="0" t="inlineStr">
        <is>
          <t>'800109284017</t>
        </is>
      </c>
      <c r="G2901" s="0" t="inlineStr">
        <is>
          <t>YOUTH</t>
        </is>
      </c>
      <c r="H2901" s="0" t="inlineStr">
        <is>
          <t>YS</t>
        </is>
      </c>
      <c r="I2901" s="0">
        <v>42.99</v>
      </c>
      <c r="J2901" s="0">
        <v>12</v>
      </c>
    </row>
    <row r="2902" spans="1:10" customHeight="0">
      <c r="A2902" s="0">
        <f>HYPERLINK("https://dl.dropboxusercontent.com/scl/fi/yjid398o1haw92g2l8tjk/109284-af.jpg?rlkey=bb3gc6hbeyv6fkjf6ojt1b5hu&amp;dl=0","Click to download Image")</f>
      </c>
      <c r="B2902" s="0">
        <f>HYPERLINK("https://dl.dropboxusercontent.com/scl/fi/7uz37gdukjub0rfanayhz/graphic-update22022-youth.jpg?rlkey=z51cg15qxn67mf0mzmzo38ade&amp;dl=0","Click to download SizeChart")</f>
      </c>
      <c r="C2902" s="0" t="inlineStr">
        <is>
          <t>Gail Youth Ruffled Long Sleeve</t>
        </is>
      </c>
      <c r="D2902" s="0" t="inlineStr">
        <is>
          <t>'109284</t>
        </is>
      </c>
      <c r="E2902" s="0" t="inlineStr">
        <is>
          <t>UNO GAIL:109284C-YM</t>
        </is>
      </c>
      <c r="F2902" s="0" t="inlineStr">
        <is>
          <t>'800109284024</t>
        </is>
      </c>
      <c r="G2902" s="0" t="inlineStr">
        <is>
          <t>YOUTH</t>
        </is>
      </c>
      <c r="H2902" s="0" t="inlineStr">
        <is>
          <t>YM</t>
        </is>
      </c>
      <c r="I2902" s="0">
        <v>42.99</v>
      </c>
      <c r="J2902" s="0">
        <v>12</v>
      </c>
    </row>
    <row r="2903" spans="1:10" customHeight="0">
      <c r="A2903" s="0">
        <f>HYPERLINK("https://dl.dropboxusercontent.com/scl/fi/yjid398o1haw92g2l8tjk/109284-af.jpg?rlkey=bb3gc6hbeyv6fkjf6ojt1b5hu&amp;dl=0","Click to download Image")</f>
      </c>
      <c r="B2903" s="0">
        <f>HYPERLINK("https://dl.dropboxusercontent.com/scl/fi/7uz37gdukjub0rfanayhz/graphic-update22022-youth.jpg?rlkey=z51cg15qxn67mf0mzmzo38ade&amp;dl=0","Click to download SizeChart")</f>
      </c>
      <c r="C2903" s="0" t="inlineStr">
        <is>
          <t>Gail Youth Ruffled Long Sleeve</t>
        </is>
      </c>
      <c r="D2903" s="0" t="inlineStr">
        <is>
          <t>'109284</t>
        </is>
      </c>
      <c r="E2903" s="0" t="inlineStr">
        <is>
          <t>UNO GAIL:109284D-YL</t>
        </is>
      </c>
      <c r="F2903" s="0" t="inlineStr">
        <is>
          <t>'800109284031</t>
        </is>
      </c>
      <c r="G2903" s="0" t="inlineStr">
        <is>
          <t>YOUTH</t>
        </is>
      </c>
      <c r="H2903" s="0" t="inlineStr">
        <is>
          <t>YL</t>
        </is>
      </c>
      <c r="I2903" s="0">
        <v>42.99</v>
      </c>
      <c r="J2903" s="0">
        <v>12</v>
      </c>
    </row>
    <row r="2904" spans="1:10" customHeight="0">
      <c r="A2904" s="0">
        <f>HYPERLINK("https://dl.dropboxusercontent.com/scl/fi/yjid398o1haw92g2l8tjk/109284-af.jpg?rlkey=bb3gc6hbeyv6fkjf6ojt1b5hu&amp;dl=0","Click to download Image")</f>
      </c>
      <c r="B2904" s="0">
        <f>HYPERLINK("https://dl.dropboxusercontent.com/scl/fi/7uz37gdukjub0rfanayhz/graphic-update22022-youth.jpg?rlkey=z51cg15qxn67mf0mzmzo38ade&amp;dl=0","Click to download SizeChart")</f>
      </c>
      <c r="C2904" s="0" t="inlineStr">
        <is>
          <t>Gail Youth Ruffled Long Sleeve</t>
        </is>
      </c>
      <c r="D2904" s="0" t="inlineStr">
        <is>
          <t>'109284</t>
        </is>
      </c>
      <c r="E2904" s="0" t="inlineStr">
        <is>
          <t>UNO GAIL:109284E-YXL</t>
        </is>
      </c>
      <c r="F2904" s="0" t="inlineStr">
        <is>
          <t>'800109284048</t>
        </is>
      </c>
      <c r="G2904" s="0" t="inlineStr">
        <is>
          <t>YOUTH</t>
        </is>
      </c>
      <c r="H2904" s="0" t="inlineStr">
        <is>
          <t>YXL</t>
        </is>
      </c>
      <c r="I2904" s="0">
        <v>42.99</v>
      </c>
      <c r="J2904" s="0">
        <v>12</v>
      </c>
    </row>
    <row r="2905" spans="1:10" customHeight="0">
      <c r="A2905" s="0">
        <f>HYPERLINK("https://dl.dropboxusercontent.com/scl/fi/kirmyjdyoeh1d5ft7ya68/109796-af.jpg?rlkey=c8mvtesv9rg6e6fmyacvdba4n&amp;dl=0","Click to download Image")</f>
      </c>
      <c r="C2905" s="0" t="inlineStr">
        <is>
          <t>Halifax Men's Cap</t>
        </is>
      </c>
      <c r="D2905" s="0" t="inlineStr">
        <is>
          <t>'109796</t>
        </is>
      </c>
      <c r="E2905" s="0" t="inlineStr">
        <is>
          <t>ISU HALIFAX:109796</t>
        </is>
      </c>
      <c r="F2905" s="0" t="inlineStr">
        <is>
          <t>'700109796018</t>
        </is>
      </c>
      <c r="G2905" s="0" t="inlineStr">
        <is>
          <t>MENS</t>
        </is>
      </c>
      <c r="H2905" s="0" t="inlineStr">
        <is>
          <t>STANDARD MENS</t>
        </is>
      </c>
      <c r="I2905" s="0">
        <v>19</v>
      </c>
      <c r="J2905" s="0">
        <v>35</v>
      </c>
    </row>
    <row r="2906" spans="1:10" customHeight="0">
      <c r="A2906" s="0">
        <f>HYPERLINK("https://dl.dropboxusercontent.com/scl/fi/7jfmpz1u3p6p4vuswolq4/101674af96641.jpg?rlkey=k0im9pje44dmkbiqau08uichy&amp;dl=0","Click to download Image")</f>
      </c>
      <c r="C2906" s="0" t="inlineStr">
        <is>
          <t>Pierce Men's Performance Cap</t>
        </is>
      </c>
      <c r="D2906" s="0" t="inlineStr">
        <is>
          <t>'101674</t>
        </is>
      </c>
      <c r="E2906" s="0" t="inlineStr">
        <is>
          <t>PIERCE:101674</t>
        </is>
      </c>
      <c r="F2906" s="0" t="inlineStr">
        <is>
          <t>'700101674017</t>
        </is>
      </c>
      <c r="G2906" s="0" t="inlineStr">
        <is>
          <t>MENS</t>
        </is>
      </c>
      <c r="H2906" s="0" t="inlineStr">
        <is>
          <t>STANDARD MENS</t>
        </is>
      </c>
      <c r="I2906" s="0">
        <v>23</v>
      </c>
      <c r="J2906" s="0">
        <v>42</v>
      </c>
    </row>
    <row r="2907" spans="1:10" customHeight="0">
      <c r="A2907" s="0">
        <f>HYPERLINK("https://dl.dropboxusercontent.com/scl/fi/ctxp6bkbengvc0618boh6/101675af48297.jpg?rlkey=ecosnhqjfnxwzm5jli9ktlyzg&amp;dl=0","Click to download Image")</f>
      </c>
      <c r="C2907" s="0" t="inlineStr">
        <is>
          <t>Pierce Men's Performance Cap</t>
        </is>
      </c>
      <c r="D2907" s="0" t="inlineStr">
        <is>
          <t>'101675</t>
        </is>
      </c>
      <c r="E2907" s="0" t="inlineStr">
        <is>
          <t>PIERCE:101675</t>
        </is>
      </c>
      <c r="F2907" s="0" t="inlineStr">
        <is>
          <t>'700101675014</t>
        </is>
      </c>
      <c r="G2907" s="0" t="inlineStr">
        <is>
          <t>MENS</t>
        </is>
      </c>
      <c r="H2907" s="0" t="inlineStr">
        <is>
          <t>STANDARD MENS</t>
        </is>
      </c>
      <c r="I2907" s="0">
        <v>23</v>
      </c>
      <c r="J2907" s="0">
        <v>90</v>
      </c>
    </row>
    <row r="2908" spans="1:10" customHeight="0">
      <c r="A2908" s="0">
        <f>HYPERLINK("https://dl.dropboxusercontent.com/scl/fi/xtxa6107wei3ftbletfwp/striped-cuffed-sl-110827-tn.jpg?rlkey=o8gij9jtomodbx3ddjre43769&amp;dl=0","Click to download Image")</f>
      </c>
      <c r="C2908" s="0" t="inlineStr">
        <is>
          <t>ISU Cyclones Beanie</t>
        </is>
      </c>
      <c r="D2908" s="0" t="inlineStr">
        <is>
          <t>'110827</t>
        </is>
      </c>
      <c r="E2908" s="0" t="inlineStr">
        <is>
          <t>ISU GOLD STRIPE:110827</t>
        </is>
      </c>
      <c r="F2908" s="0" t="inlineStr">
        <is>
          <t>'700110827015</t>
        </is>
      </c>
      <c r="G2908" s="0" t="inlineStr">
        <is>
          <t>MENS</t>
        </is>
      </c>
      <c r="H2908" s="0" t="inlineStr">
        <is>
          <t>ADULT</t>
        </is>
      </c>
      <c r="I2908" s="0">
        <v>14.99</v>
      </c>
      <c r="J2908" s="0">
        <v>29</v>
      </c>
    </row>
    <row r="2909" spans="1:10" customHeight="0">
      <c r="A2909" s="0">
        <f>HYPERLINK("https://dl.dropboxusercontent.com/scl/fi/m37yyoido5acjqi55f5gy/11082894265.jpg?rlkey=u375bzrngngz0si4h89c7fnop&amp;dl=0","Click to download Image")</f>
      </c>
      <c r="C2909" s="0" t="inlineStr">
        <is>
          <t>ISU Cyclones Beanie</t>
        </is>
      </c>
      <c r="D2909" s="0" t="inlineStr">
        <is>
          <t>'110828</t>
        </is>
      </c>
      <c r="E2909" s="0" t="inlineStr">
        <is>
          <t>ISU GOLD UNCUFFED:110828</t>
        </is>
      </c>
      <c r="F2909" s="0" t="inlineStr">
        <is>
          <t>'700110828012</t>
        </is>
      </c>
      <c r="G2909" s="0" t="inlineStr">
        <is>
          <t>MENS</t>
        </is>
      </c>
      <c r="H2909" s="0" t="inlineStr">
        <is>
          <t>ADULT</t>
        </is>
      </c>
      <c r="I2909" s="0">
        <v>14.99</v>
      </c>
      <c r="J2909" s="0">
        <v>60</v>
      </c>
    </row>
    <row r="2910" spans="1:10" customHeight="0">
      <c r="A2910" s="0">
        <f>HYPERLINK("https://dl.dropboxusercontent.com/scl/fi/jre6xrfgkfqxec4x7bg8n/113383-af.jpg?rlkey=13j0thfy6cclcyfdgv2de2g8w&amp;dl=0","Click to download Image")</f>
      </c>
      <c r="C2910" s="0" t="inlineStr">
        <is>
          <t>Darrell Men's Mesh Cap</t>
        </is>
      </c>
      <c r="D2910" s="0" t="inlineStr">
        <is>
          <t>'113384</t>
        </is>
      </c>
      <c r="E2910" s="0" t="inlineStr">
        <is>
          <t>IOWA DARRELL:113384</t>
        </is>
      </c>
      <c r="F2910" s="0" t="inlineStr">
        <is>
          <t>'700113384003</t>
        </is>
      </c>
      <c r="G2910" s="0" t="inlineStr">
        <is>
          <t>MENS</t>
        </is>
      </c>
      <c r="H2910" s="0" t="inlineStr">
        <is>
          <t>STANDARD MENS</t>
        </is>
      </c>
      <c r="I2910" s="0">
        <v>21</v>
      </c>
      <c r="J2910" s="0">
        <v>57</v>
      </c>
    </row>
    <row r="2911" spans="1:10" customHeight="0">
      <c r="A2911" s="0">
        <f>HYPERLINK("https://dl.dropboxusercontent.com/scl/fi/282i3pn692f77lsbdgqwv/91966af52157.jpg?rlkey=z53sq3b69kxj40rbpir81qbuu&amp;dl=0","Click to download Image")</f>
      </c>
      <c r="C2911" s="0" t="inlineStr">
        <is>
          <t>Chenille Men's Cap</t>
        </is>
      </c>
      <c r="D2911" s="0" t="inlineStr">
        <is>
          <t>'91966</t>
        </is>
      </c>
      <c r="E2911" s="0" t="inlineStr">
        <is>
          <t>CHENILLE:91966</t>
        </is>
      </c>
      <c r="F2911" s="0" t="inlineStr">
        <is>
          <t>'700091966017</t>
        </is>
      </c>
      <c r="G2911" s="0" t="inlineStr">
        <is>
          <t>MENS</t>
        </is>
      </c>
      <c r="H2911" s="0" t="inlineStr">
        <is>
          <t>STANDARD MENS</t>
        </is>
      </c>
      <c r="I2911" s="0">
        <v>8</v>
      </c>
      <c r="J2911" s="0">
        <v>26</v>
      </c>
    </row>
    <row r="2912" spans="1:10" customHeight="0">
      <c r="A2912" s="0">
        <f>HYPERLINK("https://dl.dropboxusercontent.com/scl/fi/yzoyx4qhnx8p13n8ywldx/106660af81354.jpg?rlkey=ous9w4m5glynamadmnr4scwji&amp;dl=0","Click to download Image")</f>
      </c>
      <c r="B2912" s="0">
        <f>HYPERLINK("https://dl.dropboxusercontent.com/scl/fi/z68anr4nv2e7t0yb7qkkm/graphic-update2022-womens.jpg?rlkey=bpnhnhn4pqgadtzdybn9odwep&amp;dl=0","Click to download SizeChart")</f>
      </c>
      <c r="C2912" s="0" t="inlineStr">
        <is>
          <t>Acadia Women's Hoodie</t>
        </is>
      </c>
      <c r="D2912" s="0" t="inlineStr">
        <is>
          <t>'106660</t>
        </is>
      </c>
      <c r="E2912" s="0" t="inlineStr">
        <is>
          <t>UNI ACADIA:106660A-S</t>
        </is>
      </c>
      <c r="F2912" s="0" t="inlineStr">
        <is>
          <t>'800106660012</t>
        </is>
      </c>
      <c r="G2912" s="0" t="inlineStr">
        <is>
          <t>WOMENS</t>
        </is>
      </c>
      <c r="H2912" s="0" t="inlineStr">
        <is>
          <t>S</t>
        </is>
      </c>
      <c r="I2912" s="0">
        <v>39.99</v>
      </c>
      <c r="J2912" s="0">
        <v>5</v>
      </c>
    </row>
    <row r="2913" spans="1:10" customHeight="0">
      <c r="A2913" s="0">
        <f>HYPERLINK("https://dl.dropboxusercontent.com/scl/fi/yzoyx4qhnx8p13n8ywldx/106660af81354.jpg?rlkey=ous9w4m5glynamadmnr4scwji&amp;dl=0","Click to download Image")</f>
      </c>
      <c r="B2913" s="0">
        <f>HYPERLINK("https://dl.dropboxusercontent.com/scl/fi/z68anr4nv2e7t0yb7qkkm/graphic-update2022-womens.jpg?rlkey=bpnhnhn4pqgadtzdybn9odwep&amp;dl=0","Click to download SizeChart")</f>
      </c>
      <c r="C2913" s="0" t="inlineStr">
        <is>
          <t>Acadia Women's Hoodie</t>
        </is>
      </c>
      <c r="D2913" s="0" t="inlineStr">
        <is>
          <t>'106660</t>
        </is>
      </c>
      <c r="E2913" s="0" t="inlineStr">
        <is>
          <t>UNI ACADIA:106660B-M</t>
        </is>
      </c>
      <c r="F2913" s="0" t="inlineStr">
        <is>
          <t>'800106660029</t>
        </is>
      </c>
      <c r="G2913" s="0" t="inlineStr">
        <is>
          <t>WOMENS</t>
        </is>
      </c>
      <c r="H2913" s="0" t="inlineStr">
        <is>
          <t>M</t>
        </is>
      </c>
      <c r="I2913" s="0">
        <v>39.99</v>
      </c>
      <c r="J2913" s="0">
        <v>13</v>
      </c>
    </row>
    <row r="2914" spans="1:10" customHeight="0">
      <c r="A2914" s="0">
        <f>HYPERLINK("https://dl.dropboxusercontent.com/scl/fi/yzoyx4qhnx8p13n8ywldx/106660af81354.jpg?rlkey=ous9w4m5glynamadmnr4scwji&amp;dl=0","Click to download Image")</f>
      </c>
      <c r="B2914" s="0">
        <f>HYPERLINK("https://dl.dropboxusercontent.com/scl/fi/z68anr4nv2e7t0yb7qkkm/graphic-update2022-womens.jpg?rlkey=bpnhnhn4pqgadtzdybn9odwep&amp;dl=0","Click to download SizeChart")</f>
      </c>
      <c r="C2914" s="0" t="inlineStr">
        <is>
          <t>Acadia Women's Hoodie</t>
        </is>
      </c>
      <c r="D2914" s="0" t="inlineStr">
        <is>
          <t>'106660</t>
        </is>
      </c>
      <c r="E2914" s="0" t="inlineStr">
        <is>
          <t>UNI ACADIA:106660C-L</t>
        </is>
      </c>
      <c r="F2914" s="0" t="inlineStr">
        <is>
          <t>'800106660036</t>
        </is>
      </c>
      <c r="G2914" s="0" t="inlineStr">
        <is>
          <t>WOMENS</t>
        </is>
      </c>
      <c r="H2914" s="0" t="inlineStr">
        <is>
          <t>L</t>
        </is>
      </c>
      <c r="I2914" s="0">
        <v>39.99</v>
      </c>
      <c r="J2914" s="0">
        <v>15</v>
      </c>
    </row>
    <row r="2915" spans="1:10" customHeight="0">
      <c r="A2915" s="0">
        <f>HYPERLINK("https://dl.dropboxusercontent.com/scl/fi/yzoyx4qhnx8p13n8ywldx/106660af81354.jpg?rlkey=ous9w4m5glynamadmnr4scwji&amp;dl=0","Click to download Image")</f>
      </c>
      <c r="B2915" s="0">
        <f>HYPERLINK("https://dl.dropboxusercontent.com/scl/fi/z68anr4nv2e7t0yb7qkkm/graphic-update2022-womens.jpg?rlkey=bpnhnhn4pqgadtzdybn9odwep&amp;dl=0","Click to download SizeChart")</f>
      </c>
      <c r="C2915" s="0" t="inlineStr">
        <is>
          <t>Acadia Women's Hoodie</t>
        </is>
      </c>
      <c r="D2915" s="0" t="inlineStr">
        <is>
          <t>'106660</t>
        </is>
      </c>
      <c r="E2915" s="0" t="inlineStr">
        <is>
          <t>UNI ACADIA:106660D-XL</t>
        </is>
      </c>
      <c r="F2915" s="0" t="inlineStr">
        <is>
          <t>'800106660043</t>
        </is>
      </c>
      <c r="G2915" s="0" t="inlineStr">
        <is>
          <t>WOMENS</t>
        </is>
      </c>
      <c r="H2915" s="0" t="inlineStr">
        <is>
          <t>XL</t>
        </is>
      </c>
      <c r="I2915" s="0">
        <v>39.99</v>
      </c>
      <c r="J2915" s="0">
        <v>4</v>
      </c>
    </row>
    <row r="2916" spans="1:10" customHeight="0">
      <c r="A2916" s="0">
        <f>HYPERLINK("https://dl.dropboxusercontent.com/scl/fi/yzoyx4qhnx8p13n8ywldx/106660af81354.jpg?rlkey=ous9w4m5glynamadmnr4scwji&amp;dl=0","Click to download Image")</f>
      </c>
      <c r="B2916" s="0">
        <f>HYPERLINK("https://dl.dropboxusercontent.com/scl/fi/z68anr4nv2e7t0yb7qkkm/graphic-update2022-womens.jpg?rlkey=bpnhnhn4pqgadtzdybn9odwep&amp;dl=0","Click to download SizeChart")</f>
      </c>
      <c r="C2916" s="0" t="inlineStr">
        <is>
          <t>Acadia Women's Hoodie</t>
        </is>
      </c>
      <c r="D2916" s="0" t="inlineStr">
        <is>
          <t>'106660</t>
        </is>
      </c>
      <c r="E2916" s="0" t="inlineStr">
        <is>
          <t>UNI ACADIA:106660E-2XL</t>
        </is>
      </c>
      <c r="F2916" s="0" t="inlineStr">
        <is>
          <t>'800106660050</t>
        </is>
      </c>
      <c r="G2916" s="0" t="inlineStr">
        <is>
          <t>WOMENS</t>
        </is>
      </c>
      <c r="H2916" s="0" t="inlineStr">
        <is>
          <t>2XL</t>
        </is>
      </c>
      <c r="I2916" s="0">
        <v>41.99</v>
      </c>
      <c r="J2916" s="0">
        <v>0</v>
      </c>
    </row>
    <row r="2917" spans="1:10" customHeight="0">
      <c r="A2917" s="0">
        <f>HYPERLINK("https://dl.dropboxusercontent.com/scl/fi/yzoyx4qhnx8p13n8ywldx/106660af81354.jpg?rlkey=ous9w4m5glynamadmnr4scwji&amp;dl=0","Click to download Image")</f>
      </c>
      <c r="B2917" s="0">
        <f>HYPERLINK("https://dl.dropboxusercontent.com/scl/fi/z68anr4nv2e7t0yb7qkkm/graphic-update2022-womens.jpg?rlkey=bpnhnhn4pqgadtzdybn9odwep&amp;dl=0","Click to download SizeChart")</f>
      </c>
      <c r="C2917" s="0" t="inlineStr">
        <is>
          <t>Acadia Women's Hoodie</t>
        </is>
      </c>
      <c r="D2917" s="0" t="inlineStr">
        <is>
          <t>'106660</t>
        </is>
      </c>
      <c r="E2917" s="0" t="inlineStr">
        <is>
          <t>UNI ACADIA:106660F-3XL</t>
        </is>
      </c>
      <c r="F2917" s="0" t="inlineStr">
        <is>
          <t>'800106660067</t>
        </is>
      </c>
      <c r="G2917" s="0" t="inlineStr">
        <is>
          <t>WOMENS</t>
        </is>
      </c>
      <c r="H2917" s="0" t="inlineStr">
        <is>
          <t>3XL</t>
        </is>
      </c>
      <c r="I2917" s="0">
        <v>41.99</v>
      </c>
      <c r="J2917" s="0">
        <v>1</v>
      </c>
    </row>
    <row r="2918" spans="1:10" customHeight="0">
      <c r="A2918" s="0">
        <f>HYPERLINK("https://dl.dropboxusercontent.com/scl/fi/w5zf0c0ymftfh95s3lqu0/108929-af.jpg?rlkey=lkqs31ds6nx1r6zh5qnwki97y&amp;dl=0","Click to download Image")</f>
      </c>
      <c r="B2918" s="0">
        <f>HYPERLINK("https://dl.dropboxusercontent.com/scl/fi/z68anr4nv2e7t0yb7qkkm/graphic-update2022-womens.jpg?rlkey=bpnhnhn4pqgadtzdybn9odwep&amp;dl=0","Click to download SizeChart")</f>
      </c>
      <c r="C2918" s="0" t="inlineStr">
        <is>
          <t>Acadia Women's Hoodie</t>
        </is>
      </c>
      <c r="D2918" s="0" t="inlineStr">
        <is>
          <t>'108929</t>
        </is>
      </c>
      <c r="E2918" s="0" t="inlineStr">
        <is>
          <t>INDIANA ACADIA:108929A-S</t>
        </is>
      </c>
      <c r="F2918" s="0" t="inlineStr">
        <is>
          <t>'800108929018</t>
        </is>
      </c>
      <c r="G2918" s="0" t="inlineStr">
        <is>
          <t>WOMENS</t>
        </is>
      </c>
      <c r="H2918" s="0" t="inlineStr">
        <is>
          <t>S</t>
        </is>
      </c>
      <c r="I2918" s="0">
        <v>39.99</v>
      </c>
      <c r="J2918" s="0">
        <v>10</v>
      </c>
    </row>
    <row r="2919" spans="1:10" customHeight="0">
      <c r="A2919" s="0">
        <f>HYPERLINK("https://dl.dropboxusercontent.com/scl/fi/w5zf0c0ymftfh95s3lqu0/108929-af.jpg?rlkey=lkqs31ds6nx1r6zh5qnwki97y&amp;dl=0","Click to download Image")</f>
      </c>
      <c r="B2919" s="0">
        <f>HYPERLINK("https://dl.dropboxusercontent.com/scl/fi/z68anr4nv2e7t0yb7qkkm/graphic-update2022-womens.jpg?rlkey=bpnhnhn4pqgadtzdybn9odwep&amp;dl=0","Click to download SizeChart")</f>
      </c>
      <c r="C2919" s="0" t="inlineStr">
        <is>
          <t>Acadia Women's Hoodie</t>
        </is>
      </c>
      <c r="D2919" s="0" t="inlineStr">
        <is>
          <t>'108929</t>
        </is>
      </c>
      <c r="E2919" s="0" t="inlineStr">
        <is>
          <t>INDIANA ACADIA:108929B-M</t>
        </is>
      </c>
      <c r="F2919" s="0" t="inlineStr">
        <is>
          <t>'800108929025</t>
        </is>
      </c>
      <c r="G2919" s="0" t="inlineStr">
        <is>
          <t>WOMENS</t>
        </is>
      </c>
      <c r="H2919" s="0" t="inlineStr">
        <is>
          <t>M</t>
        </is>
      </c>
      <c r="I2919" s="0">
        <v>39.99</v>
      </c>
      <c r="J2919" s="0">
        <v>20</v>
      </c>
    </row>
    <row r="2920" spans="1:10" customHeight="0">
      <c r="A2920" s="0">
        <f>HYPERLINK("https://dl.dropboxusercontent.com/scl/fi/w5zf0c0ymftfh95s3lqu0/108929-af.jpg?rlkey=lkqs31ds6nx1r6zh5qnwki97y&amp;dl=0","Click to download Image")</f>
      </c>
      <c r="B2920" s="0">
        <f>HYPERLINK("https://dl.dropboxusercontent.com/scl/fi/z68anr4nv2e7t0yb7qkkm/graphic-update2022-womens.jpg?rlkey=bpnhnhn4pqgadtzdybn9odwep&amp;dl=0","Click to download SizeChart")</f>
      </c>
      <c r="C2920" s="0" t="inlineStr">
        <is>
          <t>Acadia Women's Hoodie</t>
        </is>
      </c>
      <c r="D2920" s="0" t="inlineStr">
        <is>
          <t>'108929</t>
        </is>
      </c>
      <c r="E2920" s="0" t="inlineStr">
        <is>
          <t>INDIANA ACADIA:108929C-L</t>
        </is>
      </c>
      <c r="F2920" s="0" t="inlineStr">
        <is>
          <t>'800108929032</t>
        </is>
      </c>
      <c r="G2920" s="0" t="inlineStr">
        <is>
          <t>WOMENS</t>
        </is>
      </c>
      <c r="H2920" s="0" t="inlineStr">
        <is>
          <t>L</t>
        </is>
      </c>
      <c r="I2920" s="0">
        <v>39.99</v>
      </c>
      <c r="J2920" s="0">
        <v>21</v>
      </c>
    </row>
    <row r="2921" spans="1:10" customHeight="0">
      <c r="A2921" s="0">
        <f>HYPERLINK("https://dl.dropboxusercontent.com/scl/fi/w5zf0c0ymftfh95s3lqu0/108929-af.jpg?rlkey=lkqs31ds6nx1r6zh5qnwki97y&amp;dl=0","Click to download Image")</f>
      </c>
      <c r="B2921" s="0">
        <f>HYPERLINK("https://dl.dropboxusercontent.com/scl/fi/z68anr4nv2e7t0yb7qkkm/graphic-update2022-womens.jpg?rlkey=bpnhnhn4pqgadtzdybn9odwep&amp;dl=0","Click to download SizeChart")</f>
      </c>
      <c r="C2921" s="0" t="inlineStr">
        <is>
          <t>Acadia Women's Hoodie</t>
        </is>
      </c>
      <c r="D2921" s="0" t="inlineStr">
        <is>
          <t>'108929</t>
        </is>
      </c>
      <c r="E2921" s="0" t="inlineStr">
        <is>
          <t>INDIANA ACADIA:108929D-XL</t>
        </is>
      </c>
      <c r="F2921" s="0" t="inlineStr">
        <is>
          <t>'800108929049</t>
        </is>
      </c>
      <c r="G2921" s="0" t="inlineStr">
        <is>
          <t>WOMENS</t>
        </is>
      </c>
      <c r="H2921" s="0" t="inlineStr">
        <is>
          <t>XL</t>
        </is>
      </c>
      <c r="I2921" s="0">
        <v>39.99</v>
      </c>
      <c r="J2921" s="0">
        <v>10</v>
      </c>
    </row>
    <row r="2922" spans="1:10" customHeight="0">
      <c r="A2922" s="0">
        <f>HYPERLINK("https://dl.dropboxusercontent.com/scl/fi/w5zf0c0ymftfh95s3lqu0/108929-af.jpg?rlkey=lkqs31ds6nx1r6zh5qnwki97y&amp;dl=0","Click to download Image")</f>
      </c>
      <c r="B2922" s="0">
        <f>HYPERLINK("https://dl.dropboxusercontent.com/scl/fi/z68anr4nv2e7t0yb7qkkm/graphic-update2022-womens.jpg?rlkey=bpnhnhn4pqgadtzdybn9odwep&amp;dl=0","Click to download SizeChart")</f>
      </c>
      <c r="C2922" s="0" t="inlineStr">
        <is>
          <t>Acadia Women's Hoodie</t>
        </is>
      </c>
      <c r="D2922" s="0" t="inlineStr">
        <is>
          <t>'108929</t>
        </is>
      </c>
      <c r="E2922" s="0" t="inlineStr">
        <is>
          <t>INDIANA ACADIA:108929E-2XL</t>
        </is>
      </c>
      <c r="F2922" s="0" t="inlineStr">
        <is>
          <t>'800108929056</t>
        </is>
      </c>
      <c r="G2922" s="0" t="inlineStr">
        <is>
          <t>WOMENS</t>
        </is>
      </c>
      <c r="H2922" s="0" t="inlineStr">
        <is>
          <t>2XL</t>
        </is>
      </c>
      <c r="I2922" s="0">
        <v>41.99</v>
      </c>
      <c r="J2922" s="0">
        <v>2</v>
      </c>
    </row>
    <row r="2923" spans="1:10" customHeight="0">
      <c r="A2923" s="0">
        <f>HYPERLINK("https://dl.dropboxusercontent.com/scl/fi/w5zf0c0ymftfh95s3lqu0/108929-af.jpg?rlkey=lkqs31ds6nx1r6zh5qnwki97y&amp;dl=0","Click to download Image")</f>
      </c>
      <c r="B2923" s="0">
        <f>HYPERLINK("https://dl.dropboxusercontent.com/scl/fi/z68anr4nv2e7t0yb7qkkm/graphic-update2022-womens.jpg?rlkey=bpnhnhn4pqgadtzdybn9odwep&amp;dl=0","Click to download SizeChart")</f>
      </c>
      <c r="C2923" s="0" t="inlineStr">
        <is>
          <t>Acadia Women's Hoodie</t>
        </is>
      </c>
      <c r="D2923" s="0" t="inlineStr">
        <is>
          <t>'108929</t>
        </is>
      </c>
      <c r="E2923" s="0" t="inlineStr">
        <is>
          <t>INDIANA ACADIA:108929F-3XL</t>
        </is>
      </c>
      <c r="F2923" s="0" t="inlineStr">
        <is>
          <t>'800108929063</t>
        </is>
      </c>
      <c r="G2923" s="0" t="inlineStr">
        <is>
          <t>WOMENS</t>
        </is>
      </c>
      <c r="H2923" s="0" t="inlineStr">
        <is>
          <t>3XL</t>
        </is>
      </c>
      <c r="I2923" s="0">
        <v>41.99</v>
      </c>
      <c r="J2923" s="0">
        <v>3</v>
      </c>
    </row>
    <row r="2924" spans="1:10" customHeight="0">
      <c r="A2924" s="0">
        <f>HYPERLINK("https://dl.dropboxusercontent.com/scl/fi/satd828ymsukrceyto5kp/108925af.jpg?rlkey=zxey9jjub8e3yzpk2qnguef4f&amp;dl=0","Click to download Image")</f>
      </c>
      <c r="B2924" s="0">
        <f>HYPERLINK("https://dl.dropboxusercontent.com/scl/fi/z68anr4nv2e7t0yb7qkkm/graphic-update2022-womens.jpg?rlkey=bpnhnhn4pqgadtzdybn9odwep&amp;dl=0","Click to download SizeChart")</f>
      </c>
      <c r="C2924" s="0" t="inlineStr">
        <is>
          <t>Acadia Women's Hoodie</t>
        </is>
      </c>
      <c r="D2924" s="0" t="inlineStr">
        <is>
          <t>'108925</t>
        </is>
      </c>
      <c r="E2924" s="0" t="inlineStr">
        <is>
          <t>KSU ACADIA:108925A-S</t>
        </is>
      </c>
      <c r="F2924" s="0" t="inlineStr">
        <is>
          <t>'800108925010</t>
        </is>
      </c>
      <c r="G2924" s="0" t="inlineStr">
        <is>
          <t>WOMENS</t>
        </is>
      </c>
      <c r="H2924" s="0" t="inlineStr">
        <is>
          <t>S</t>
        </is>
      </c>
      <c r="I2924" s="0">
        <v>39.99</v>
      </c>
      <c r="J2924" s="0">
        <v>4</v>
      </c>
    </row>
    <row r="2925" spans="1:10" customHeight="0">
      <c r="A2925" s="0">
        <f>HYPERLINK("https://dl.dropboxusercontent.com/scl/fi/satd828ymsukrceyto5kp/108925af.jpg?rlkey=zxey9jjub8e3yzpk2qnguef4f&amp;dl=0","Click to download Image")</f>
      </c>
      <c r="B2925" s="0">
        <f>HYPERLINK("https://dl.dropboxusercontent.com/scl/fi/z68anr4nv2e7t0yb7qkkm/graphic-update2022-womens.jpg?rlkey=bpnhnhn4pqgadtzdybn9odwep&amp;dl=0","Click to download SizeChart")</f>
      </c>
      <c r="C2925" s="0" t="inlineStr">
        <is>
          <t>Acadia Women's Hoodie</t>
        </is>
      </c>
      <c r="D2925" s="0" t="inlineStr">
        <is>
          <t>'108925</t>
        </is>
      </c>
      <c r="E2925" s="0" t="inlineStr">
        <is>
          <t>KSU ACADIA:108925B-M</t>
        </is>
      </c>
      <c r="F2925" s="0" t="inlineStr">
        <is>
          <t>'800108925027</t>
        </is>
      </c>
      <c r="G2925" s="0" t="inlineStr">
        <is>
          <t>WOMENS</t>
        </is>
      </c>
      <c r="H2925" s="0" t="inlineStr">
        <is>
          <t>M</t>
        </is>
      </c>
      <c r="I2925" s="0">
        <v>39.99</v>
      </c>
      <c r="J2925" s="0">
        <v>14</v>
      </c>
    </row>
    <row r="2926" spans="1:10" customHeight="0">
      <c r="A2926" s="0">
        <f>HYPERLINK("https://dl.dropboxusercontent.com/scl/fi/satd828ymsukrceyto5kp/108925af.jpg?rlkey=zxey9jjub8e3yzpk2qnguef4f&amp;dl=0","Click to download Image")</f>
      </c>
      <c r="B2926" s="0">
        <f>HYPERLINK("https://dl.dropboxusercontent.com/scl/fi/z68anr4nv2e7t0yb7qkkm/graphic-update2022-womens.jpg?rlkey=bpnhnhn4pqgadtzdybn9odwep&amp;dl=0","Click to download SizeChart")</f>
      </c>
      <c r="C2926" s="0" t="inlineStr">
        <is>
          <t>Acadia Women's Hoodie</t>
        </is>
      </c>
      <c r="D2926" s="0" t="inlineStr">
        <is>
          <t>'108925</t>
        </is>
      </c>
      <c r="E2926" s="0" t="inlineStr">
        <is>
          <t>KSU ACADIA:108925C-L</t>
        </is>
      </c>
      <c r="F2926" s="0" t="inlineStr">
        <is>
          <t>'800108925034</t>
        </is>
      </c>
      <c r="G2926" s="0" t="inlineStr">
        <is>
          <t>WOMENS</t>
        </is>
      </c>
      <c r="H2926" s="0" t="inlineStr">
        <is>
          <t>L</t>
        </is>
      </c>
      <c r="I2926" s="0">
        <v>39.99</v>
      </c>
      <c r="J2926" s="0">
        <v>12</v>
      </c>
    </row>
    <row r="2927" spans="1:10" customHeight="0">
      <c r="A2927" s="0">
        <f>HYPERLINK("https://dl.dropboxusercontent.com/scl/fi/satd828ymsukrceyto5kp/108925af.jpg?rlkey=zxey9jjub8e3yzpk2qnguef4f&amp;dl=0","Click to download Image")</f>
      </c>
      <c r="B2927" s="0">
        <f>HYPERLINK("https://dl.dropboxusercontent.com/scl/fi/z68anr4nv2e7t0yb7qkkm/graphic-update2022-womens.jpg?rlkey=bpnhnhn4pqgadtzdybn9odwep&amp;dl=0","Click to download SizeChart")</f>
      </c>
      <c r="C2927" s="0" t="inlineStr">
        <is>
          <t>Acadia Women's Hoodie</t>
        </is>
      </c>
      <c r="D2927" s="0" t="inlineStr">
        <is>
          <t>'108925</t>
        </is>
      </c>
      <c r="E2927" s="0" t="inlineStr">
        <is>
          <t>KSU ACADIA:108925D-XL</t>
        </is>
      </c>
      <c r="F2927" s="0" t="inlineStr">
        <is>
          <t>'800108925041</t>
        </is>
      </c>
      <c r="G2927" s="0" t="inlineStr">
        <is>
          <t>WOMENS</t>
        </is>
      </c>
      <c r="H2927" s="0" t="inlineStr">
        <is>
          <t>XL</t>
        </is>
      </c>
      <c r="I2927" s="0">
        <v>39.99</v>
      </c>
      <c r="J2927" s="0">
        <v>2</v>
      </c>
    </row>
    <row r="2928" spans="1:10" customHeight="0">
      <c r="A2928" s="0">
        <f>HYPERLINK("https://dl.dropboxusercontent.com/scl/fi/satd828ymsukrceyto5kp/108925af.jpg?rlkey=zxey9jjub8e3yzpk2qnguef4f&amp;dl=0","Click to download Image")</f>
      </c>
      <c r="B2928" s="0">
        <f>HYPERLINK("https://dl.dropboxusercontent.com/scl/fi/z68anr4nv2e7t0yb7qkkm/graphic-update2022-womens.jpg?rlkey=bpnhnhn4pqgadtzdybn9odwep&amp;dl=0","Click to download SizeChart")</f>
      </c>
      <c r="C2928" s="0" t="inlineStr">
        <is>
          <t>Acadia Women's Hoodie</t>
        </is>
      </c>
      <c r="D2928" s="0" t="inlineStr">
        <is>
          <t>'108925</t>
        </is>
      </c>
      <c r="E2928" s="0" t="inlineStr">
        <is>
          <t>KSU ACADIA:108925E-2XL</t>
        </is>
      </c>
      <c r="F2928" s="0" t="inlineStr">
        <is>
          <t>'800108925058</t>
        </is>
      </c>
      <c r="G2928" s="0" t="inlineStr">
        <is>
          <t>WOMENS</t>
        </is>
      </c>
      <c r="H2928" s="0" t="inlineStr">
        <is>
          <t>2XL</t>
        </is>
      </c>
      <c r="I2928" s="0">
        <v>41.99</v>
      </c>
      <c r="J2928" s="0">
        <v>0</v>
      </c>
    </row>
    <row r="2929" spans="1:10" customHeight="0">
      <c r="A2929" s="0">
        <f>HYPERLINK("https://dl.dropboxusercontent.com/scl/fi/satd828ymsukrceyto5kp/108925af.jpg?rlkey=zxey9jjub8e3yzpk2qnguef4f&amp;dl=0","Click to download Image")</f>
      </c>
      <c r="B2929" s="0">
        <f>HYPERLINK("https://dl.dropboxusercontent.com/scl/fi/z68anr4nv2e7t0yb7qkkm/graphic-update2022-womens.jpg?rlkey=bpnhnhn4pqgadtzdybn9odwep&amp;dl=0","Click to download SizeChart")</f>
      </c>
      <c r="C2929" s="0" t="inlineStr">
        <is>
          <t>Acadia Women's Hoodie</t>
        </is>
      </c>
      <c r="D2929" s="0" t="inlineStr">
        <is>
          <t>'108925</t>
        </is>
      </c>
      <c r="E2929" s="0" t="inlineStr">
        <is>
          <t>KSU ACADIA:108925F-3XL</t>
        </is>
      </c>
      <c r="F2929" s="0" t="inlineStr">
        <is>
          <t>'800108925065</t>
        </is>
      </c>
      <c r="G2929" s="0" t="inlineStr">
        <is>
          <t>WOMENS</t>
        </is>
      </c>
      <c r="H2929" s="0" t="inlineStr">
        <is>
          <t>3XL</t>
        </is>
      </c>
      <c r="I2929" s="0">
        <v>41.99</v>
      </c>
      <c r="J2929" s="0">
        <v>2</v>
      </c>
    </row>
    <row r="2930" spans="1:10" customHeight="0">
      <c r="A2930" s="0">
        <f>HYPERLINK("https://dl.dropboxusercontent.com/scl/fi/sycih4awquzzauz66z7ph/108926-af.jpg?rlkey=xvf6sp95nfsq5a8c7hhrun3xe&amp;dl=0","Click to download Image")</f>
      </c>
      <c r="B2930" s="0">
        <f>HYPERLINK("https://dl.dropboxusercontent.com/scl/fi/z68anr4nv2e7t0yb7qkkm/graphic-update2022-womens.jpg?rlkey=bpnhnhn4pqgadtzdybn9odwep&amp;dl=0","Click to download SizeChart")</f>
      </c>
      <c r="C2930" s="0" t="inlineStr">
        <is>
          <t>Acadia Women's Hoodie</t>
        </is>
      </c>
      <c r="D2930" s="0" t="inlineStr">
        <is>
          <t>'108926</t>
        </is>
      </c>
      <c r="E2930" s="0" t="inlineStr">
        <is>
          <t>MU ACADIA:108926A-S</t>
        </is>
      </c>
      <c r="F2930" s="0" t="inlineStr">
        <is>
          <t>'800108926017</t>
        </is>
      </c>
      <c r="G2930" s="0" t="inlineStr">
        <is>
          <t>WOMENS</t>
        </is>
      </c>
      <c r="H2930" s="0" t="inlineStr">
        <is>
          <t>S</t>
        </is>
      </c>
      <c r="I2930" s="0">
        <v>39.99</v>
      </c>
      <c r="J2930" s="0">
        <v>5</v>
      </c>
    </row>
    <row r="2931" spans="1:10" customHeight="0">
      <c r="A2931" s="0">
        <f>HYPERLINK("https://dl.dropboxusercontent.com/scl/fi/sycih4awquzzauz66z7ph/108926-af.jpg?rlkey=xvf6sp95nfsq5a8c7hhrun3xe&amp;dl=0","Click to download Image")</f>
      </c>
      <c r="B2931" s="0">
        <f>HYPERLINK("https://dl.dropboxusercontent.com/scl/fi/z68anr4nv2e7t0yb7qkkm/graphic-update2022-womens.jpg?rlkey=bpnhnhn4pqgadtzdybn9odwep&amp;dl=0","Click to download SizeChart")</f>
      </c>
      <c r="C2931" s="0" t="inlineStr">
        <is>
          <t>Acadia Women's Hoodie</t>
        </is>
      </c>
      <c r="D2931" s="0" t="inlineStr">
        <is>
          <t>'108926</t>
        </is>
      </c>
      <c r="E2931" s="0" t="inlineStr">
        <is>
          <t>MU ACADIA:108926B-M</t>
        </is>
      </c>
      <c r="F2931" s="0" t="inlineStr">
        <is>
          <t>'800108926024</t>
        </is>
      </c>
      <c r="G2931" s="0" t="inlineStr">
        <is>
          <t>WOMENS</t>
        </is>
      </c>
      <c r="H2931" s="0" t="inlineStr">
        <is>
          <t>M</t>
        </is>
      </c>
      <c r="I2931" s="0">
        <v>39.99</v>
      </c>
      <c r="J2931" s="0">
        <v>14</v>
      </c>
    </row>
    <row r="2932" spans="1:10" customHeight="0">
      <c r="A2932" s="0">
        <f>HYPERLINK("https://dl.dropboxusercontent.com/scl/fi/sycih4awquzzauz66z7ph/108926-af.jpg?rlkey=xvf6sp95nfsq5a8c7hhrun3xe&amp;dl=0","Click to download Image")</f>
      </c>
      <c r="B2932" s="0">
        <f>HYPERLINK("https://dl.dropboxusercontent.com/scl/fi/z68anr4nv2e7t0yb7qkkm/graphic-update2022-womens.jpg?rlkey=bpnhnhn4pqgadtzdybn9odwep&amp;dl=0","Click to download SizeChart")</f>
      </c>
      <c r="C2932" s="0" t="inlineStr">
        <is>
          <t>Acadia Women's Hoodie</t>
        </is>
      </c>
      <c r="D2932" s="0" t="inlineStr">
        <is>
          <t>'108926</t>
        </is>
      </c>
      <c r="E2932" s="0" t="inlineStr">
        <is>
          <t>MU ACADIA:108926C-L</t>
        </is>
      </c>
      <c r="F2932" s="0" t="inlineStr">
        <is>
          <t>'800108926031</t>
        </is>
      </c>
      <c r="G2932" s="0" t="inlineStr">
        <is>
          <t>WOMENS</t>
        </is>
      </c>
      <c r="H2932" s="0" t="inlineStr">
        <is>
          <t>L</t>
        </is>
      </c>
      <c r="I2932" s="0">
        <v>39.99</v>
      </c>
      <c r="J2932" s="0">
        <v>15</v>
      </c>
    </row>
    <row r="2933" spans="1:10" customHeight="0">
      <c r="A2933" s="0">
        <f>HYPERLINK("https://dl.dropboxusercontent.com/scl/fi/sycih4awquzzauz66z7ph/108926-af.jpg?rlkey=xvf6sp95nfsq5a8c7hhrun3xe&amp;dl=0","Click to download Image")</f>
      </c>
      <c r="B2933" s="0">
        <f>HYPERLINK("https://dl.dropboxusercontent.com/scl/fi/z68anr4nv2e7t0yb7qkkm/graphic-update2022-womens.jpg?rlkey=bpnhnhn4pqgadtzdybn9odwep&amp;dl=0","Click to download SizeChart")</f>
      </c>
      <c r="C2933" s="0" t="inlineStr">
        <is>
          <t>Acadia Women's Hoodie</t>
        </is>
      </c>
      <c r="D2933" s="0" t="inlineStr">
        <is>
          <t>'108926</t>
        </is>
      </c>
      <c r="E2933" s="0" t="inlineStr">
        <is>
          <t>MU ACADIA:108926D-XL</t>
        </is>
      </c>
      <c r="F2933" s="0" t="inlineStr">
        <is>
          <t>'800108926048</t>
        </is>
      </c>
      <c r="G2933" s="0" t="inlineStr">
        <is>
          <t>WOMENS</t>
        </is>
      </c>
      <c r="H2933" s="0" t="inlineStr">
        <is>
          <t>XL</t>
        </is>
      </c>
      <c r="I2933" s="0">
        <v>39.99</v>
      </c>
      <c r="J2933" s="0">
        <v>7</v>
      </c>
    </row>
    <row r="2934" spans="1:10" customHeight="0">
      <c r="A2934" s="0">
        <f>HYPERLINK("https://dl.dropboxusercontent.com/scl/fi/sycih4awquzzauz66z7ph/108926-af.jpg?rlkey=xvf6sp95nfsq5a8c7hhrun3xe&amp;dl=0","Click to download Image")</f>
      </c>
      <c r="B2934" s="0">
        <f>HYPERLINK("https://dl.dropboxusercontent.com/scl/fi/z68anr4nv2e7t0yb7qkkm/graphic-update2022-womens.jpg?rlkey=bpnhnhn4pqgadtzdybn9odwep&amp;dl=0","Click to download SizeChart")</f>
      </c>
      <c r="C2934" s="0" t="inlineStr">
        <is>
          <t>Acadia Women's Hoodie</t>
        </is>
      </c>
      <c r="D2934" s="0" t="inlineStr">
        <is>
          <t>'108926</t>
        </is>
      </c>
      <c r="E2934" s="0" t="inlineStr">
        <is>
          <t>MU ACADIA:108926E-2XL</t>
        </is>
      </c>
      <c r="F2934" s="0" t="inlineStr">
        <is>
          <t>'800108926055</t>
        </is>
      </c>
      <c r="G2934" s="0" t="inlineStr">
        <is>
          <t>WOMENS</t>
        </is>
      </c>
      <c r="H2934" s="0" t="inlineStr">
        <is>
          <t>2XL</t>
        </is>
      </c>
      <c r="I2934" s="0">
        <v>41.99</v>
      </c>
      <c r="J2934" s="0">
        <v>1</v>
      </c>
    </row>
    <row r="2935" spans="1:10" customHeight="0">
      <c r="A2935" s="0">
        <f>HYPERLINK("https://dl.dropboxusercontent.com/scl/fi/sycih4awquzzauz66z7ph/108926-af.jpg?rlkey=xvf6sp95nfsq5a8c7hhrun3xe&amp;dl=0","Click to download Image")</f>
      </c>
      <c r="B2935" s="0">
        <f>HYPERLINK("https://dl.dropboxusercontent.com/scl/fi/z68anr4nv2e7t0yb7qkkm/graphic-update2022-womens.jpg?rlkey=bpnhnhn4pqgadtzdybn9odwep&amp;dl=0","Click to download SizeChart")</f>
      </c>
      <c r="C2935" s="0" t="inlineStr">
        <is>
          <t>Acadia Women's Hoodie</t>
        </is>
      </c>
      <c r="D2935" s="0" t="inlineStr">
        <is>
          <t>'108926</t>
        </is>
      </c>
      <c r="E2935" s="0" t="inlineStr">
        <is>
          <t>MU ACADIA:108926F-3XL</t>
        </is>
      </c>
      <c r="F2935" s="0" t="inlineStr">
        <is>
          <t>'800108926062</t>
        </is>
      </c>
      <c r="G2935" s="0" t="inlineStr">
        <is>
          <t>WOMENS</t>
        </is>
      </c>
      <c r="H2935" s="0" t="inlineStr">
        <is>
          <t>3XL</t>
        </is>
      </c>
      <c r="I2935" s="0">
        <v>41.99</v>
      </c>
      <c r="J2935" s="0">
        <v>2</v>
      </c>
    </row>
    <row r="2936" spans="1:10" customHeight="0">
      <c r="A2936" s="0">
        <f>HYPERLINK("https://dl.dropboxusercontent.com/scl/fi/1o3lr5ia671oe4o70dsvj/108921af.jpg?rlkey=54ayyspu8gacv9ag1ooblfk66&amp;dl=0","Click to download Image")</f>
      </c>
      <c r="B2936" s="0">
        <f>HYPERLINK("https://dl.dropboxusercontent.com/scl/fi/z68anr4nv2e7t0yb7qkkm/graphic-update2022-womens.jpg?rlkey=bpnhnhn4pqgadtzdybn9odwep&amp;dl=0","Click to download SizeChart")</f>
      </c>
      <c r="C2936" s="0" t="inlineStr">
        <is>
          <t>Acadia Women's Hoodie</t>
        </is>
      </c>
      <c r="D2936" s="0" t="inlineStr">
        <is>
          <t>'108921</t>
        </is>
      </c>
      <c r="E2936" s="0" t="inlineStr">
        <is>
          <t>MARQ ACADIA:108921A-S</t>
        </is>
      </c>
      <c r="F2936" s="0" t="inlineStr">
        <is>
          <t>'800108921012</t>
        </is>
      </c>
      <c r="G2936" s="0" t="inlineStr">
        <is>
          <t>WOMENS</t>
        </is>
      </c>
      <c r="H2936" s="0" t="inlineStr">
        <is>
          <t>S</t>
        </is>
      </c>
      <c r="I2936" s="0">
        <v>39.99</v>
      </c>
      <c r="J2936" s="0">
        <v>12</v>
      </c>
    </row>
    <row r="2937" spans="1:10" customHeight="0">
      <c r="A2937" s="0">
        <f>HYPERLINK("https://dl.dropboxusercontent.com/scl/fi/1o3lr5ia671oe4o70dsvj/108921af.jpg?rlkey=54ayyspu8gacv9ag1ooblfk66&amp;dl=0","Click to download Image")</f>
      </c>
      <c r="B2937" s="0">
        <f>HYPERLINK("https://dl.dropboxusercontent.com/scl/fi/z68anr4nv2e7t0yb7qkkm/graphic-update2022-womens.jpg?rlkey=bpnhnhn4pqgadtzdybn9odwep&amp;dl=0","Click to download SizeChart")</f>
      </c>
      <c r="C2937" s="0" t="inlineStr">
        <is>
          <t>Acadia Women's Hoodie</t>
        </is>
      </c>
      <c r="D2937" s="0" t="inlineStr">
        <is>
          <t>'108921</t>
        </is>
      </c>
      <c r="E2937" s="0" t="inlineStr">
        <is>
          <t>MARQ ACADIA:108921B-M</t>
        </is>
      </c>
      <c r="F2937" s="0" t="inlineStr">
        <is>
          <t>'800108921029</t>
        </is>
      </c>
      <c r="G2937" s="0" t="inlineStr">
        <is>
          <t>WOMENS</t>
        </is>
      </c>
      <c r="H2937" s="0" t="inlineStr">
        <is>
          <t>M</t>
        </is>
      </c>
      <c r="I2937" s="0">
        <v>39.99</v>
      </c>
      <c r="J2937" s="0">
        <v>24</v>
      </c>
    </row>
    <row r="2938" spans="1:10" customHeight="0">
      <c r="A2938" s="0">
        <f>HYPERLINK("https://dl.dropboxusercontent.com/scl/fi/1o3lr5ia671oe4o70dsvj/108921af.jpg?rlkey=54ayyspu8gacv9ag1ooblfk66&amp;dl=0","Click to download Image")</f>
      </c>
      <c r="B2938" s="0">
        <f>HYPERLINK("https://dl.dropboxusercontent.com/scl/fi/z68anr4nv2e7t0yb7qkkm/graphic-update2022-womens.jpg?rlkey=bpnhnhn4pqgadtzdybn9odwep&amp;dl=0","Click to download SizeChart")</f>
      </c>
      <c r="C2938" s="0" t="inlineStr">
        <is>
          <t>Acadia Women's Hoodie</t>
        </is>
      </c>
      <c r="D2938" s="0" t="inlineStr">
        <is>
          <t>'108921</t>
        </is>
      </c>
      <c r="E2938" s="0" t="inlineStr">
        <is>
          <t>MARQ ACADIA:108921C-L</t>
        </is>
      </c>
      <c r="F2938" s="0" t="inlineStr">
        <is>
          <t>'800108921036</t>
        </is>
      </c>
      <c r="G2938" s="0" t="inlineStr">
        <is>
          <t>WOMENS</t>
        </is>
      </c>
      <c r="H2938" s="0" t="inlineStr">
        <is>
          <t>L</t>
        </is>
      </c>
      <c r="I2938" s="0">
        <v>39.99</v>
      </c>
      <c r="J2938" s="0">
        <v>24</v>
      </c>
    </row>
    <row r="2939" spans="1:10" customHeight="0">
      <c r="A2939" s="0">
        <f>HYPERLINK("https://dl.dropboxusercontent.com/scl/fi/1o3lr5ia671oe4o70dsvj/108921af.jpg?rlkey=54ayyspu8gacv9ag1ooblfk66&amp;dl=0","Click to download Image")</f>
      </c>
      <c r="B2939" s="0">
        <f>HYPERLINK("https://dl.dropboxusercontent.com/scl/fi/z68anr4nv2e7t0yb7qkkm/graphic-update2022-womens.jpg?rlkey=bpnhnhn4pqgadtzdybn9odwep&amp;dl=0","Click to download SizeChart")</f>
      </c>
      <c r="C2939" s="0" t="inlineStr">
        <is>
          <t>Acadia Women's Hoodie</t>
        </is>
      </c>
      <c r="D2939" s="0" t="inlineStr">
        <is>
          <t>'108921</t>
        </is>
      </c>
      <c r="E2939" s="0" t="inlineStr">
        <is>
          <t>MARQ ACADIA:108921D-XL</t>
        </is>
      </c>
      <c r="F2939" s="0" t="inlineStr">
        <is>
          <t>'800108921043</t>
        </is>
      </c>
      <c r="G2939" s="0" t="inlineStr">
        <is>
          <t>WOMENS</t>
        </is>
      </c>
      <c r="H2939" s="0" t="inlineStr">
        <is>
          <t>XL</t>
        </is>
      </c>
      <c r="I2939" s="0">
        <v>39.99</v>
      </c>
      <c r="J2939" s="0">
        <v>12</v>
      </c>
    </row>
    <row r="2940" spans="1:10" customHeight="0">
      <c r="A2940" s="0">
        <f>HYPERLINK("https://dl.dropboxusercontent.com/scl/fi/1o3lr5ia671oe4o70dsvj/108921af.jpg?rlkey=54ayyspu8gacv9ag1ooblfk66&amp;dl=0","Click to download Image")</f>
      </c>
      <c r="B2940" s="0">
        <f>HYPERLINK("https://dl.dropboxusercontent.com/scl/fi/z68anr4nv2e7t0yb7qkkm/graphic-update2022-womens.jpg?rlkey=bpnhnhn4pqgadtzdybn9odwep&amp;dl=0","Click to download SizeChart")</f>
      </c>
      <c r="C2940" s="0" t="inlineStr">
        <is>
          <t>Acadia Women's Hoodie</t>
        </is>
      </c>
      <c r="D2940" s="0" t="inlineStr">
        <is>
          <t>'108921</t>
        </is>
      </c>
      <c r="E2940" s="0" t="inlineStr">
        <is>
          <t>MARQ ACADIA:108921E-2XL</t>
        </is>
      </c>
      <c r="F2940" s="0" t="inlineStr">
        <is>
          <t>'800108921050</t>
        </is>
      </c>
      <c r="G2940" s="0" t="inlineStr">
        <is>
          <t>WOMENS</t>
        </is>
      </c>
      <c r="H2940" s="0" t="inlineStr">
        <is>
          <t>2XL</t>
        </is>
      </c>
      <c r="I2940" s="0">
        <v>41.99</v>
      </c>
      <c r="J2940" s="0">
        <v>4</v>
      </c>
    </row>
    <row r="2941" spans="1:10" customHeight="0">
      <c r="A2941" s="0">
        <f>HYPERLINK("https://dl.dropboxusercontent.com/scl/fi/1o3lr5ia671oe4o70dsvj/108921af.jpg?rlkey=54ayyspu8gacv9ag1ooblfk66&amp;dl=0","Click to download Image")</f>
      </c>
      <c r="B2941" s="0">
        <f>HYPERLINK("https://dl.dropboxusercontent.com/scl/fi/z68anr4nv2e7t0yb7qkkm/graphic-update2022-womens.jpg?rlkey=bpnhnhn4pqgadtzdybn9odwep&amp;dl=0","Click to download SizeChart")</f>
      </c>
      <c r="C2941" s="0" t="inlineStr">
        <is>
          <t>Acadia Women's Hoodie</t>
        </is>
      </c>
      <c r="D2941" s="0" t="inlineStr">
        <is>
          <t>'108921</t>
        </is>
      </c>
      <c r="E2941" s="0" t="inlineStr">
        <is>
          <t>MARQ ACADIA:108921F-3XL</t>
        </is>
      </c>
      <c r="F2941" s="0" t="inlineStr">
        <is>
          <t>'800108921067</t>
        </is>
      </c>
      <c r="G2941" s="0" t="inlineStr">
        <is>
          <t>WOMENS</t>
        </is>
      </c>
      <c r="H2941" s="0" t="inlineStr">
        <is>
          <t>3XL</t>
        </is>
      </c>
      <c r="I2941" s="0">
        <v>41.99</v>
      </c>
      <c r="J2941" s="0">
        <v>4</v>
      </c>
    </row>
    <row r="2942" spans="1:10" customHeight="0">
      <c r="A2942" s="0">
        <f>HYPERLINK("https://dl.dropboxusercontent.com/scl/fi/awhmxjs05usl57hm29mc6/104320-af.jpg?rlkey=8r2w1h6o57fi2fapwaxa1fnu1&amp;dl=0","Click to download Image")</f>
      </c>
      <c r="C2942" s="0" t="inlineStr">
        <is>
          <t>Gordon Men's Marled Cotton Cap</t>
        </is>
      </c>
      <c r="D2942" s="0" t="inlineStr">
        <is>
          <t>'104320</t>
        </is>
      </c>
      <c r="E2942" s="0" t="inlineStr">
        <is>
          <t>GORDON:104320</t>
        </is>
      </c>
      <c r="F2942" s="0" t="inlineStr">
        <is>
          <t>'000000000000</t>
        </is>
      </c>
      <c r="G2942" s="0" t="inlineStr">
        <is>
          <t>MENS</t>
        </is>
      </c>
      <c r="H2942" s="0" t="inlineStr">
        <is>
          <t>STANDARD MENS</t>
        </is>
      </c>
      <c r="I2942" s="0">
        <v>24.99</v>
      </c>
      <c r="J2942" s="0">
        <v>67</v>
      </c>
    </row>
    <row r="2943" spans="1:10" customHeight="0">
      <c r="A2943" s="0">
        <f>HYPERLINK("https://dl.dropboxusercontent.com/scl/fi/9b5wh0irfyzv2fbfi12gg/104314-af.jpg?rlkey=7jufbjx3j2qciihrn0kd6jtj6&amp;dl=0","Click to download Image")</f>
      </c>
      <c r="C2943" s="0" t="inlineStr">
        <is>
          <t>Gordon Men's Marled Cotton Cap</t>
        </is>
      </c>
      <c r="D2943" s="0" t="inlineStr">
        <is>
          <t>'104314</t>
        </is>
      </c>
      <c r="E2943" s="0" t="inlineStr">
        <is>
          <t>GORDON:104314</t>
        </is>
      </c>
      <c r="F2943" s="0" t="inlineStr">
        <is>
          <t>'000000000000</t>
        </is>
      </c>
      <c r="G2943" s="0" t="inlineStr">
        <is>
          <t>MENS</t>
        </is>
      </c>
      <c r="H2943" s="0" t="inlineStr">
        <is>
          <t>STANDARD MENS</t>
        </is>
      </c>
      <c r="I2943" s="0">
        <v>24.99</v>
      </c>
      <c r="J2943" s="0">
        <v>34</v>
      </c>
    </row>
    <row r="2944" spans="1:10" customHeight="0">
      <c r="A2944" s="0">
        <f>HYPERLINK("https://dl.dropboxusercontent.com/scl/fi/zasy2t78ew0cpwf5t1vbb/104319-af.jpg?rlkey=8iym0ciqm15bj7j21wzvqsjuz&amp;dl=0","Click to download Image")</f>
      </c>
      <c r="C2944" s="0" t="inlineStr">
        <is>
          <t>Gordon Men's Marled Cotton Cap</t>
        </is>
      </c>
      <c r="D2944" s="0" t="inlineStr">
        <is>
          <t>'104319</t>
        </is>
      </c>
      <c r="E2944" s="0" t="inlineStr">
        <is>
          <t>GORDON:104319</t>
        </is>
      </c>
      <c r="F2944" s="0" t="inlineStr">
        <is>
          <t>'000000000000</t>
        </is>
      </c>
      <c r="G2944" s="0" t="inlineStr">
        <is>
          <t>MENS</t>
        </is>
      </c>
      <c r="H2944" s="0" t="inlineStr">
        <is>
          <t>STANDARD MENS</t>
        </is>
      </c>
      <c r="I2944" s="0">
        <v>24.99</v>
      </c>
      <c r="J2944" s="0">
        <v>56</v>
      </c>
    </row>
    <row r="2945" spans="1:10" customHeight="0">
      <c r="A2945" s="0">
        <f>HYPERLINK("https://dl.dropboxusercontent.com/scl/fi/x5bl6d83uw7j6exnbmjka/final-dsc3724.jpg?rlkey=ec3bfrugklwewmggfvnqz58o7&amp;dl=0","Click to download Image")</f>
      </c>
      <c r="B2945" s="0">
        <f>HYPERLINK("https://dl.dropboxusercontent.com/scl/fi/3wgada9xvslt6sth083a3/graphic-update2022-womens.jpg?rlkey=1pryfkrsjeu2tb087xgifx9q3&amp;dl=0","Click to download SizeChart")</f>
      </c>
      <c r="C2945" s="0" t="inlineStr">
        <is>
          <t>Diana Women's Cold Shoulder Shirt</t>
        </is>
      </c>
      <c r="D2945" s="0" t="inlineStr">
        <is>
          <t>'106784</t>
        </is>
      </c>
      <c r="E2945" s="0" t="inlineStr">
        <is>
          <t>IA DIANA:106784A-S</t>
        </is>
      </c>
      <c r="F2945" s="0" t="inlineStr">
        <is>
          <t>'800106784015</t>
        </is>
      </c>
      <c r="G2945" s="0" t="inlineStr">
        <is>
          <t>WOMENS</t>
        </is>
      </c>
      <c r="H2945" s="0" t="inlineStr">
        <is>
          <t>S</t>
        </is>
      </c>
      <c r="I2945" s="0">
        <v>42.99</v>
      </c>
      <c r="J2945" s="0">
        <v>11</v>
      </c>
    </row>
    <row r="2946" spans="1:10" customHeight="0">
      <c r="A2946" s="0">
        <f>HYPERLINK("https://dl.dropboxusercontent.com/scl/fi/x5bl6d83uw7j6exnbmjka/final-dsc3724.jpg?rlkey=ec3bfrugklwewmggfvnqz58o7&amp;dl=0","Click to download Image")</f>
      </c>
      <c r="B2946" s="0">
        <f>HYPERLINK("https://dl.dropboxusercontent.com/scl/fi/3wgada9xvslt6sth083a3/graphic-update2022-womens.jpg?rlkey=1pryfkrsjeu2tb087xgifx9q3&amp;dl=0","Click to download SizeChart")</f>
      </c>
      <c r="C2946" s="0" t="inlineStr">
        <is>
          <t>Diana Women's Cold Shoulder Shirt</t>
        </is>
      </c>
      <c r="D2946" s="0" t="inlineStr">
        <is>
          <t>'106784</t>
        </is>
      </c>
      <c r="E2946" s="0" t="inlineStr">
        <is>
          <t>IA DIANA:106784B-M</t>
        </is>
      </c>
      <c r="F2946" s="0" t="inlineStr">
        <is>
          <t>'800106784022</t>
        </is>
      </c>
      <c r="G2946" s="0" t="inlineStr">
        <is>
          <t>WOMENS</t>
        </is>
      </c>
      <c r="H2946" s="0" t="inlineStr">
        <is>
          <t>M</t>
        </is>
      </c>
      <c r="I2946" s="0">
        <v>42.99</v>
      </c>
      <c r="J2946" s="0">
        <v>48</v>
      </c>
    </row>
    <row r="2947" spans="1:10" customHeight="0">
      <c r="A2947" s="0">
        <f>HYPERLINK("https://dl.dropboxusercontent.com/scl/fi/x5bl6d83uw7j6exnbmjka/final-dsc3724.jpg?rlkey=ec3bfrugklwewmggfvnqz58o7&amp;dl=0","Click to download Image")</f>
      </c>
      <c r="B2947" s="0">
        <f>HYPERLINK("https://dl.dropboxusercontent.com/scl/fi/3wgada9xvslt6sth083a3/graphic-update2022-womens.jpg?rlkey=1pryfkrsjeu2tb087xgifx9q3&amp;dl=0","Click to download SizeChart")</f>
      </c>
      <c r="C2947" s="0" t="inlineStr">
        <is>
          <t>Diana Women's Cold Shoulder Shirt</t>
        </is>
      </c>
      <c r="D2947" s="0" t="inlineStr">
        <is>
          <t>'106784</t>
        </is>
      </c>
      <c r="E2947" s="0" t="inlineStr">
        <is>
          <t>IA DIANA:106784C-L</t>
        </is>
      </c>
      <c r="F2947" s="0" t="inlineStr">
        <is>
          <t>'800106784039</t>
        </is>
      </c>
      <c r="G2947" s="0" t="inlineStr">
        <is>
          <t>WOMENS</t>
        </is>
      </c>
      <c r="H2947" s="0" t="inlineStr">
        <is>
          <t>L</t>
        </is>
      </c>
      <c r="I2947" s="0">
        <v>42.99</v>
      </c>
      <c r="J2947" s="0">
        <v>44</v>
      </c>
    </row>
    <row r="2948" spans="1:10" customHeight="0">
      <c r="A2948" s="0">
        <f>HYPERLINK("https://dl.dropboxusercontent.com/scl/fi/x5bl6d83uw7j6exnbmjka/final-dsc3724.jpg?rlkey=ec3bfrugklwewmggfvnqz58o7&amp;dl=0","Click to download Image")</f>
      </c>
      <c r="B2948" s="0">
        <f>HYPERLINK("https://dl.dropboxusercontent.com/scl/fi/3wgada9xvslt6sth083a3/graphic-update2022-womens.jpg?rlkey=1pryfkrsjeu2tb087xgifx9q3&amp;dl=0","Click to download SizeChart")</f>
      </c>
      <c r="C2948" s="0" t="inlineStr">
        <is>
          <t>Diana Women's Cold Shoulder Shirt</t>
        </is>
      </c>
      <c r="D2948" s="0" t="inlineStr">
        <is>
          <t>'106784</t>
        </is>
      </c>
      <c r="E2948" s="0" t="inlineStr">
        <is>
          <t>IA DIANA:106784D-XL</t>
        </is>
      </c>
      <c r="F2948" s="0" t="inlineStr">
        <is>
          <t>'800106784046</t>
        </is>
      </c>
      <c r="G2948" s="0" t="inlineStr">
        <is>
          <t>WOMENS</t>
        </is>
      </c>
      <c r="H2948" s="0" t="inlineStr">
        <is>
          <t>XL</t>
        </is>
      </c>
      <c r="I2948" s="0">
        <v>42.99</v>
      </c>
      <c r="J2948" s="0">
        <v>14</v>
      </c>
    </row>
    <row r="2949" spans="1:10" customHeight="0">
      <c r="A2949" s="0">
        <f>HYPERLINK("https://dl.dropboxusercontent.com/scl/fi/x5bl6d83uw7j6exnbmjka/final-dsc3724.jpg?rlkey=ec3bfrugklwewmggfvnqz58o7&amp;dl=0","Click to download Image")</f>
      </c>
      <c r="B2949" s="0">
        <f>HYPERLINK("https://dl.dropboxusercontent.com/scl/fi/3wgada9xvslt6sth083a3/graphic-update2022-womens.jpg?rlkey=1pryfkrsjeu2tb087xgifx9q3&amp;dl=0","Click to download SizeChart")</f>
      </c>
      <c r="C2949" s="0" t="inlineStr">
        <is>
          <t>Diana Women's Cold Shoulder Shirt</t>
        </is>
      </c>
      <c r="D2949" s="0" t="inlineStr">
        <is>
          <t>'106784</t>
        </is>
      </c>
      <c r="E2949" s="0" t="inlineStr">
        <is>
          <t>IA DIANA:106784E-2XL</t>
        </is>
      </c>
      <c r="F2949" s="0" t="inlineStr">
        <is>
          <t>'800106784053</t>
        </is>
      </c>
      <c r="G2949" s="0" t="inlineStr">
        <is>
          <t>WOMENS</t>
        </is>
      </c>
      <c r="H2949" s="0" t="inlineStr">
        <is>
          <t>2XL</t>
        </is>
      </c>
      <c r="I2949" s="0">
        <v>42.99</v>
      </c>
      <c r="J2949" s="0">
        <v>5</v>
      </c>
    </row>
    <row r="2950" spans="1:10" customHeight="0">
      <c r="A2950" s="0">
        <f>HYPERLINK("https://dl.dropboxusercontent.com/scl/fi/x5bl6d83uw7j6exnbmjka/final-dsc3724.jpg?rlkey=ec3bfrugklwewmggfvnqz58o7&amp;dl=0","Click to download Image")</f>
      </c>
      <c r="B2950" s="0">
        <f>HYPERLINK("https://dl.dropboxusercontent.com/scl/fi/3wgada9xvslt6sth083a3/graphic-update2022-womens.jpg?rlkey=1pryfkrsjeu2tb087xgifx9q3&amp;dl=0","Click to download SizeChart")</f>
      </c>
      <c r="C2950" s="0" t="inlineStr">
        <is>
          <t>Diana Women's Cold Shoulder Shirt</t>
        </is>
      </c>
      <c r="D2950" s="0" t="inlineStr">
        <is>
          <t>'106784</t>
        </is>
      </c>
      <c r="E2950" s="0" t="inlineStr">
        <is>
          <t>IA DIANA:106784F-3XL</t>
        </is>
      </c>
      <c r="F2950" s="0" t="inlineStr">
        <is>
          <t>'800106784060</t>
        </is>
      </c>
      <c r="G2950" s="0" t="inlineStr">
        <is>
          <t>WOMENS</t>
        </is>
      </c>
      <c r="H2950" s="0" t="inlineStr">
        <is>
          <t>3XL</t>
        </is>
      </c>
      <c r="I2950" s="0">
        <v>42.99</v>
      </c>
      <c r="J2950" s="0">
        <v>8</v>
      </c>
    </row>
    <row r="2951" spans="1:10" customHeight="0">
      <c r="A2951" s="0">
        <f>HYPERLINK("https://dl.dropboxusercontent.com/scl/fi/zndpsuxiefbeefqb63m2l/109194-af.jpg?rlkey=q03sveu7brxcecrmioj6e7z8q&amp;dl=0","Click to download Image")</f>
      </c>
      <c r="B2951" s="0">
        <f>HYPERLINK("https://dl.dropboxusercontent.com/scl/fi/3wgada9xvslt6sth083a3/graphic-update2022-womens.jpg?rlkey=1pryfkrsjeu2tb087xgifx9q3&amp;dl=0","Click to download SizeChart")</f>
      </c>
      <c r="C2951" s="0" t="inlineStr">
        <is>
          <t>Diana Women's Cold Shoulder Shirt</t>
        </is>
      </c>
      <c r="D2951" s="0" t="inlineStr">
        <is>
          <t>'109194</t>
        </is>
      </c>
      <c r="E2951" s="0" t="inlineStr">
        <is>
          <t>ISU DIANA:109194A-S</t>
        </is>
      </c>
      <c r="F2951" s="0" t="inlineStr">
        <is>
          <t>'800109194019</t>
        </is>
      </c>
      <c r="G2951" s="0" t="inlineStr">
        <is>
          <t>WOMENS</t>
        </is>
      </c>
      <c r="H2951" s="0" t="inlineStr">
        <is>
          <t>S</t>
        </is>
      </c>
      <c r="I2951" s="0">
        <v>42.99</v>
      </c>
      <c r="J2951" s="0">
        <v>7</v>
      </c>
    </row>
    <row r="2952" spans="1:10" customHeight="0">
      <c r="A2952" s="0">
        <f>HYPERLINK("https://dl.dropboxusercontent.com/scl/fi/zndpsuxiefbeefqb63m2l/109194-af.jpg?rlkey=q03sveu7brxcecrmioj6e7z8q&amp;dl=0","Click to download Image")</f>
      </c>
      <c r="B2952" s="0">
        <f>HYPERLINK("https://dl.dropboxusercontent.com/scl/fi/3wgada9xvslt6sth083a3/graphic-update2022-womens.jpg?rlkey=1pryfkrsjeu2tb087xgifx9q3&amp;dl=0","Click to download SizeChart")</f>
      </c>
      <c r="C2952" s="0" t="inlineStr">
        <is>
          <t>Diana Women's Cold Shoulder Shirt</t>
        </is>
      </c>
      <c r="D2952" s="0" t="inlineStr">
        <is>
          <t>'109194</t>
        </is>
      </c>
      <c r="E2952" s="0" t="inlineStr">
        <is>
          <t>ISU DIANA:109194B-M</t>
        </is>
      </c>
      <c r="F2952" s="0" t="inlineStr">
        <is>
          <t>'800109194026</t>
        </is>
      </c>
      <c r="G2952" s="0" t="inlineStr">
        <is>
          <t>WOMENS</t>
        </is>
      </c>
      <c r="H2952" s="0" t="inlineStr">
        <is>
          <t>M</t>
        </is>
      </c>
      <c r="I2952" s="0">
        <v>42.99</v>
      </c>
      <c r="J2952" s="0">
        <v>14</v>
      </c>
    </row>
    <row r="2953" spans="1:10" customHeight="0">
      <c r="A2953" s="0">
        <f>HYPERLINK("https://dl.dropboxusercontent.com/scl/fi/zndpsuxiefbeefqb63m2l/109194-af.jpg?rlkey=q03sveu7brxcecrmioj6e7z8q&amp;dl=0","Click to download Image")</f>
      </c>
      <c r="B2953" s="0">
        <f>HYPERLINK("https://dl.dropboxusercontent.com/scl/fi/3wgada9xvslt6sth083a3/graphic-update2022-womens.jpg?rlkey=1pryfkrsjeu2tb087xgifx9q3&amp;dl=0","Click to download SizeChart")</f>
      </c>
      <c r="C2953" s="0" t="inlineStr">
        <is>
          <t>Diana Women's Cold Shoulder Shirt</t>
        </is>
      </c>
      <c r="D2953" s="0" t="inlineStr">
        <is>
          <t>'109194</t>
        </is>
      </c>
      <c r="E2953" s="0" t="inlineStr">
        <is>
          <t>ISU DIANA:109194C-L</t>
        </is>
      </c>
      <c r="F2953" s="0" t="inlineStr">
        <is>
          <t>'800109194033</t>
        </is>
      </c>
      <c r="G2953" s="0" t="inlineStr">
        <is>
          <t>WOMENS</t>
        </is>
      </c>
      <c r="H2953" s="0" t="inlineStr">
        <is>
          <t>L</t>
        </is>
      </c>
      <c r="I2953" s="0">
        <v>42.99</v>
      </c>
      <c r="J2953" s="0">
        <v>16</v>
      </c>
    </row>
    <row r="2954" spans="1:10" customHeight="0">
      <c r="A2954" s="0">
        <f>HYPERLINK("https://dl.dropboxusercontent.com/scl/fi/zndpsuxiefbeefqb63m2l/109194-af.jpg?rlkey=q03sveu7brxcecrmioj6e7z8q&amp;dl=0","Click to download Image")</f>
      </c>
      <c r="B2954" s="0">
        <f>HYPERLINK("https://dl.dropboxusercontent.com/scl/fi/3wgada9xvslt6sth083a3/graphic-update2022-womens.jpg?rlkey=1pryfkrsjeu2tb087xgifx9q3&amp;dl=0","Click to download SizeChart")</f>
      </c>
      <c r="C2954" s="0" t="inlineStr">
        <is>
          <t>Diana Women's Cold Shoulder Shirt</t>
        </is>
      </c>
      <c r="D2954" s="0" t="inlineStr">
        <is>
          <t>'109194</t>
        </is>
      </c>
      <c r="E2954" s="0" t="inlineStr">
        <is>
          <t>ISU DIANA:109194D-XL</t>
        </is>
      </c>
      <c r="F2954" s="0" t="inlineStr">
        <is>
          <t>'800109194040</t>
        </is>
      </c>
      <c r="G2954" s="0" t="inlineStr">
        <is>
          <t>WOMENS</t>
        </is>
      </c>
      <c r="H2954" s="0" t="inlineStr">
        <is>
          <t>XL</t>
        </is>
      </c>
      <c r="I2954" s="0">
        <v>42.99</v>
      </c>
      <c r="J2954" s="0">
        <v>4</v>
      </c>
    </row>
    <row r="2955" spans="1:10" customHeight="0">
      <c r="A2955" s="0">
        <f>HYPERLINK("https://dl.dropboxusercontent.com/scl/fi/zndpsuxiefbeefqb63m2l/109194-af.jpg?rlkey=q03sveu7brxcecrmioj6e7z8q&amp;dl=0","Click to download Image")</f>
      </c>
      <c r="B2955" s="0">
        <f>HYPERLINK("https://dl.dropboxusercontent.com/scl/fi/3wgada9xvslt6sth083a3/graphic-update2022-womens.jpg?rlkey=1pryfkrsjeu2tb087xgifx9q3&amp;dl=0","Click to download SizeChart")</f>
      </c>
      <c r="C2955" s="0" t="inlineStr">
        <is>
          <t>Diana Women's Cold Shoulder Shirt</t>
        </is>
      </c>
      <c r="D2955" s="0" t="inlineStr">
        <is>
          <t>'109194</t>
        </is>
      </c>
      <c r="E2955" s="0" t="inlineStr">
        <is>
          <t>ISU DIANA:109194E-2XL</t>
        </is>
      </c>
      <c r="F2955" s="0" t="inlineStr">
        <is>
          <t>'800109194057</t>
        </is>
      </c>
      <c r="G2955" s="0" t="inlineStr">
        <is>
          <t>WOMENS</t>
        </is>
      </c>
      <c r="H2955" s="0" t="inlineStr">
        <is>
          <t>2XL</t>
        </is>
      </c>
      <c r="I2955" s="0">
        <v>42.99</v>
      </c>
      <c r="J2955" s="0">
        <v>2</v>
      </c>
    </row>
    <row r="2956" spans="1:10" customHeight="0">
      <c r="A2956" s="0">
        <f>HYPERLINK("https://dl.dropboxusercontent.com/scl/fi/zndpsuxiefbeefqb63m2l/109194-af.jpg?rlkey=q03sveu7brxcecrmioj6e7z8q&amp;dl=0","Click to download Image")</f>
      </c>
      <c r="B2956" s="0">
        <f>HYPERLINK("https://dl.dropboxusercontent.com/scl/fi/3wgada9xvslt6sth083a3/graphic-update2022-womens.jpg?rlkey=1pryfkrsjeu2tb087xgifx9q3&amp;dl=0","Click to download SizeChart")</f>
      </c>
      <c r="C2956" s="0" t="inlineStr">
        <is>
          <t>Diana Women's Cold Shoulder Shirt</t>
        </is>
      </c>
      <c r="D2956" s="0" t="inlineStr">
        <is>
          <t>'109194</t>
        </is>
      </c>
      <c r="E2956" s="0" t="inlineStr">
        <is>
          <t>ISU DIANA:109194F-3XL</t>
        </is>
      </c>
      <c r="F2956" s="0" t="inlineStr">
        <is>
          <t>'800109194064</t>
        </is>
      </c>
      <c r="G2956" s="0" t="inlineStr">
        <is>
          <t>WOMENS</t>
        </is>
      </c>
      <c r="H2956" s="0" t="inlineStr">
        <is>
          <t>3XL</t>
        </is>
      </c>
      <c r="I2956" s="0">
        <v>42.99</v>
      </c>
      <c r="J2956" s="0">
        <v>4</v>
      </c>
    </row>
    <row r="2957" spans="1:10" customHeight="0">
      <c r="A2957" s="0">
        <f>HYPERLINK("https://dl.dropboxusercontent.com/scl/fi/dhw70bpvurzoxse5g79hi/109199-af.jpg?rlkey=v185bijay11sdyc24quwb56a9&amp;dl=0","Click to download Image")</f>
      </c>
      <c r="B2957" s="0">
        <f>HYPERLINK("https://dl.dropboxusercontent.com/scl/fi/3wgada9xvslt6sth083a3/graphic-update2022-womens.jpg?rlkey=1pryfkrsjeu2tb087xgifx9q3&amp;dl=0","Click to download SizeChart")</f>
      </c>
      <c r="C2957" s="0" t="inlineStr">
        <is>
          <t>Diana Women's Cold Shoulder Shirt</t>
        </is>
      </c>
      <c r="D2957" s="0" t="inlineStr">
        <is>
          <t>'109199</t>
        </is>
      </c>
      <c r="E2957" s="0" t="inlineStr">
        <is>
          <t>INDIANA DIANA:109199A-S</t>
        </is>
      </c>
      <c r="F2957" s="0" t="inlineStr">
        <is>
          <t>'800109199014</t>
        </is>
      </c>
      <c r="G2957" s="0" t="inlineStr">
        <is>
          <t>WOMENS</t>
        </is>
      </c>
      <c r="H2957" s="0" t="inlineStr">
        <is>
          <t>S</t>
        </is>
      </c>
      <c r="I2957" s="0">
        <v>42.99</v>
      </c>
      <c r="J2957" s="0">
        <v>8</v>
      </c>
    </row>
    <row r="2958" spans="1:10" customHeight="0">
      <c r="A2958" s="0">
        <f>HYPERLINK("https://dl.dropboxusercontent.com/scl/fi/dhw70bpvurzoxse5g79hi/109199-af.jpg?rlkey=v185bijay11sdyc24quwb56a9&amp;dl=0","Click to download Image")</f>
      </c>
      <c r="B2958" s="0">
        <f>HYPERLINK("https://dl.dropboxusercontent.com/scl/fi/3wgada9xvslt6sth083a3/graphic-update2022-womens.jpg?rlkey=1pryfkrsjeu2tb087xgifx9q3&amp;dl=0","Click to download SizeChart")</f>
      </c>
      <c r="C2958" s="0" t="inlineStr">
        <is>
          <t>Diana Women's Cold Shoulder Shirt</t>
        </is>
      </c>
      <c r="D2958" s="0" t="inlineStr">
        <is>
          <t>'109199</t>
        </is>
      </c>
      <c r="E2958" s="0" t="inlineStr">
        <is>
          <t>INDIANA DIANA:109199B-M</t>
        </is>
      </c>
      <c r="F2958" s="0" t="inlineStr">
        <is>
          <t>'800109199021</t>
        </is>
      </c>
      <c r="G2958" s="0" t="inlineStr">
        <is>
          <t>WOMENS</t>
        </is>
      </c>
      <c r="H2958" s="0" t="inlineStr">
        <is>
          <t>M</t>
        </is>
      </c>
      <c r="I2958" s="0">
        <v>42.99</v>
      </c>
      <c r="J2958" s="0">
        <v>15</v>
      </c>
    </row>
    <row r="2959" spans="1:10" customHeight="0">
      <c r="A2959" s="0">
        <f>HYPERLINK("https://dl.dropboxusercontent.com/scl/fi/dhw70bpvurzoxse5g79hi/109199-af.jpg?rlkey=v185bijay11sdyc24quwb56a9&amp;dl=0","Click to download Image")</f>
      </c>
      <c r="B2959" s="0">
        <f>HYPERLINK("https://dl.dropboxusercontent.com/scl/fi/3wgada9xvslt6sth083a3/graphic-update2022-womens.jpg?rlkey=1pryfkrsjeu2tb087xgifx9q3&amp;dl=0","Click to download SizeChart")</f>
      </c>
      <c r="C2959" s="0" t="inlineStr">
        <is>
          <t>Diana Women's Cold Shoulder Shirt</t>
        </is>
      </c>
      <c r="D2959" s="0" t="inlineStr">
        <is>
          <t>'109199</t>
        </is>
      </c>
      <c r="E2959" s="0" t="inlineStr">
        <is>
          <t>INDIANA DIANA:109199C-L</t>
        </is>
      </c>
      <c r="F2959" s="0" t="inlineStr">
        <is>
          <t>'800109199038</t>
        </is>
      </c>
      <c r="G2959" s="0" t="inlineStr">
        <is>
          <t>WOMENS</t>
        </is>
      </c>
      <c r="H2959" s="0" t="inlineStr">
        <is>
          <t>L</t>
        </is>
      </c>
      <c r="I2959" s="0">
        <v>42.99</v>
      </c>
      <c r="J2959" s="0">
        <v>16</v>
      </c>
    </row>
    <row r="2960" spans="1:10" customHeight="0">
      <c r="A2960" s="0">
        <f>HYPERLINK("https://dl.dropboxusercontent.com/scl/fi/dhw70bpvurzoxse5g79hi/109199-af.jpg?rlkey=v185bijay11sdyc24quwb56a9&amp;dl=0","Click to download Image")</f>
      </c>
      <c r="B2960" s="0">
        <f>HYPERLINK("https://dl.dropboxusercontent.com/scl/fi/3wgada9xvslt6sth083a3/graphic-update2022-womens.jpg?rlkey=1pryfkrsjeu2tb087xgifx9q3&amp;dl=0","Click to download SizeChart")</f>
      </c>
      <c r="C2960" s="0" t="inlineStr">
        <is>
          <t>Diana Women's Cold Shoulder Shirt</t>
        </is>
      </c>
      <c r="D2960" s="0" t="inlineStr">
        <is>
          <t>'109199</t>
        </is>
      </c>
      <c r="E2960" s="0" t="inlineStr">
        <is>
          <t>INDIANA DIANA:109199D-XL</t>
        </is>
      </c>
      <c r="F2960" s="0" t="inlineStr">
        <is>
          <t>'800109199045</t>
        </is>
      </c>
      <c r="G2960" s="0" t="inlineStr">
        <is>
          <t>WOMENS</t>
        </is>
      </c>
      <c r="H2960" s="0" t="inlineStr">
        <is>
          <t>XL</t>
        </is>
      </c>
      <c r="I2960" s="0">
        <v>42.99</v>
      </c>
      <c r="J2960" s="0">
        <v>8</v>
      </c>
    </row>
    <row r="2961" spans="1:10" customHeight="0">
      <c r="A2961" s="0">
        <f>HYPERLINK("https://dl.dropboxusercontent.com/scl/fi/dhw70bpvurzoxse5g79hi/109199-af.jpg?rlkey=v185bijay11sdyc24quwb56a9&amp;dl=0","Click to download Image")</f>
      </c>
      <c r="B2961" s="0">
        <f>HYPERLINK("https://dl.dropboxusercontent.com/scl/fi/3wgada9xvslt6sth083a3/graphic-update2022-womens.jpg?rlkey=1pryfkrsjeu2tb087xgifx9q3&amp;dl=0","Click to download SizeChart")</f>
      </c>
      <c r="C2961" s="0" t="inlineStr">
        <is>
          <t>Diana Women's Cold Shoulder Shirt</t>
        </is>
      </c>
      <c r="D2961" s="0" t="inlineStr">
        <is>
          <t>'109199</t>
        </is>
      </c>
      <c r="E2961" s="0" t="inlineStr">
        <is>
          <t>INDIANA DIANA:109199E-2XL</t>
        </is>
      </c>
      <c r="F2961" s="0" t="inlineStr">
        <is>
          <t>'800109199052</t>
        </is>
      </c>
      <c r="G2961" s="0" t="inlineStr">
        <is>
          <t>WOMENS</t>
        </is>
      </c>
      <c r="H2961" s="0" t="inlineStr">
        <is>
          <t>2XL</t>
        </is>
      </c>
      <c r="I2961" s="0">
        <v>42.99</v>
      </c>
      <c r="J2961" s="0">
        <v>2</v>
      </c>
    </row>
    <row r="2962" spans="1:10" customHeight="0">
      <c r="A2962" s="0">
        <f>HYPERLINK("https://dl.dropboxusercontent.com/scl/fi/dhw70bpvurzoxse5g79hi/109199-af.jpg?rlkey=v185bijay11sdyc24quwb56a9&amp;dl=0","Click to download Image")</f>
      </c>
      <c r="B2962" s="0">
        <f>HYPERLINK("https://dl.dropboxusercontent.com/scl/fi/3wgada9xvslt6sth083a3/graphic-update2022-womens.jpg?rlkey=1pryfkrsjeu2tb087xgifx9q3&amp;dl=0","Click to download SizeChart")</f>
      </c>
      <c r="C2962" s="0" t="inlineStr">
        <is>
          <t>Diana Women's Cold Shoulder Shirt</t>
        </is>
      </c>
      <c r="D2962" s="0" t="inlineStr">
        <is>
          <t>'109199</t>
        </is>
      </c>
      <c r="E2962" s="0" t="inlineStr">
        <is>
          <t>INDIANA DIANA:109199F-3XL</t>
        </is>
      </c>
      <c r="F2962" s="0" t="inlineStr">
        <is>
          <t>'800109199069</t>
        </is>
      </c>
      <c r="G2962" s="0" t="inlineStr">
        <is>
          <t>WOMENS</t>
        </is>
      </c>
      <c r="H2962" s="0" t="inlineStr">
        <is>
          <t>3XL</t>
        </is>
      </c>
      <c r="I2962" s="0">
        <v>42.99</v>
      </c>
      <c r="J2962" s="0">
        <v>2</v>
      </c>
    </row>
    <row r="2963" spans="1:10" customHeight="0">
      <c r="A2963" s="0">
        <f>HYPERLINK("https://dl.dropboxusercontent.com/scl/fi/hfb5d47gzafqjqbtunk8z/109197-af.jpg?rlkey=ynwzmdevb9wt6s2z3e5kogkar&amp;dl=0","Click to download Image")</f>
      </c>
      <c r="B2963" s="0">
        <f>HYPERLINK("https://dl.dropboxusercontent.com/scl/fi/3wgada9xvslt6sth083a3/graphic-update2022-womens.jpg?rlkey=1pryfkrsjeu2tb087xgifx9q3&amp;dl=0","Click to download SizeChart")</f>
      </c>
      <c r="C2963" s="0" t="inlineStr">
        <is>
          <t>Diana Women's Cold Shoulder Shirt</t>
        </is>
      </c>
      <c r="D2963" s="0" t="inlineStr">
        <is>
          <t>'109197</t>
        </is>
      </c>
      <c r="E2963" s="0" t="inlineStr">
        <is>
          <t>PURDUE DIANA:109197A-S</t>
        </is>
      </c>
      <c r="F2963" s="0" t="inlineStr">
        <is>
          <t>'800109197010</t>
        </is>
      </c>
      <c r="G2963" s="0" t="inlineStr">
        <is>
          <t>WOMENS</t>
        </is>
      </c>
      <c r="H2963" s="0" t="inlineStr">
        <is>
          <t>S</t>
        </is>
      </c>
      <c r="I2963" s="0">
        <v>42.99</v>
      </c>
      <c r="J2963" s="0">
        <v>8</v>
      </c>
    </row>
    <row r="2964" spans="1:10" customHeight="0">
      <c r="A2964" s="0">
        <f>HYPERLINK("https://dl.dropboxusercontent.com/scl/fi/hfb5d47gzafqjqbtunk8z/109197-af.jpg?rlkey=ynwzmdevb9wt6s2z3e5kogkar&amp;dl=0","Click to download Image")</f>
      </c>
      <c r="B2964" s="0">
        <f>HYPERLINK("https://dl.dropboxusercontent.com/scl/fi/3wgada9xvslt6sth083a3/graphic-update2022-womens.jpg?rlkey=1pryfkrsjeu2tb087xgifx9q3&amp;dl=0","Click to download SizeChart")</f>
      </c>
      <c r="C2964" s="0" t="inlineStr">
        <is>
          <t>Diana Women's Cold Shoulder Shirt</t>
        </is>
      </c>
      <c r="D2964" s="0" t="inlineStr">
        <is>
          <t>'109197</t>
        </is>
      </c>
      <c r="E2964" s="0" t="inlineStr">
        <is>
          <t>PURDUE DIANA:109197B-M</t>
        </is>
      </c>
      <c r="F2964" s="0" t="inlineStr">
        <is>
          <t>'800109197027</t>
        </is>
      </c>
      <c r="G2964" s="0" t="inlineStr">
        <is>
          <t>WOMENS</t>
        </is>
      </c>
      <c r="H2964" s="0" t="inlineStr">
        <is>
          <t>M</t>
        </is>
      </c>
      <c r="I2964" s="0">
        <v>42.99</v>
      </c>
      <c r="J2964" s="0">
        <v>16</v>
      </c>
    </row>
    <row r="2965" spans="1:10" customHeight="0">
      <c r="A2965" s="0">
        <f>HYPERLINK("https://dl.dropboxusercontent.com/scl/fi/hfb5d47gzafqjqbtunk8z/109197-af.jpg?rlkey=ynwzmdevb9wt6s2z3e5kogkar&amp;dl=0","Click to download Image")</f>
      </c>
      <c r="B2965" s="0">
        <f>HYPERLINK("https://dl.dropboxusercontent.com/scl/fi/3wgada9xvslt6sth083a3/graphic-update2022-womens.jpg?rlkey=1pryfkrsjeu2tb087xgifx9q3&amp;dl=0","Click to download SizeChart")</f>
      </c>
      <c r="C2965" s="0" t="inlineStr">
        <is>
          <t>Diana Women's Cold Shoulder Shirt</t>
        </is>
      </c>
      <c r="D2965" s="0" t="inlineStr">
        <is>
          <t>'109197</t>
        </is>
      </c>
      <c r="E2965" s="0" t="inlineStr">
        <is>
          <t>PURDUE DIANA:109197C-L</t>
        </is>
      </c>
      <c r="F2965" s="0" t="inlineStr">
        <is>
          <t>'800109197034</t>
        </is>
      </c>
      <c r="G2965" s="0" t="inlineStr">
        <is>
          <t>WOMENS</t>
        </is>
      </c>
      <c r="H2965" s="0" t="inlineStr">
        <is>
          <t>L</t>
        </is>
      </c>
      <c r="I2965" s="0">
        <v>42.99</v>
      </c>
      <c r="J2965" s="0">
        <v>16</v>
      </c>
    </row>
    <row r="2966" spans="1:10" customHeight="0">
      <c r="A2966" s="0">
        <f>HYPERLINK("https://dl.dropboxusercontent.com/scl/fi/hfb5d47gzafqjqbtunk8z/109197-af.jpg?rlkey=ynwzmdevb9wt6s2z3e5kogkar&amp;dl=0","Click to download Image")</f>
      </c>
      <c r="B2966" s="0">
        <f>HYPERLINK("https://dl.dropboxusercontent.com/scl/fi/3wgada9xvslt6sth083a3/graphic-update2022-womens.jpg?rlkey=1pryfkrsjeu2tb087xgifx9q3&amp;dl=0","Click to download SizeChart")</f>
      </c>
      <c r="C2966" s="0" t="inlineStr">
        <is>
          <t>Diana Women's Cold Shoulder Shirt</t>
        </is>
      </c>
      <c r="D2966" s="0" t="inlineStr">
        <is>
          <t>'109197</t>
        </is>
      </c>
      <c r="E2966" s="0" t="inlineStr">
        <is>
          <t>PURDUE DIANA:109197D-XL</t>
        </is>
      </c>
      <c r="F2966" s="0" t="inlineStr">
        <is>
          <t>'800109197041</t>
        </is>
      </c>
      <c r="G2966" s="0" t="inlineStr">
        <is>
          <t>WOMENS</t>
        </is>
      </c>
      <c r="H2966" s="0" t="inlineStr">
        <is>
          <t>XL</t>
        </is>
      </c>
      <c r="I2966" s="0">
        <v>42.99</v>
      </c>
      <c r="J2966" s="0">
        <v>8</v>
      </c>
    </row>
    <row r="2967" spans="1:10" customHeight="0">
      <c r="A2967" s="0">
        <f>HYPERLINK("https://dl.dropboxusercontent.com/scl/fi/hfb5d47gzafqjqbtunk8z/109197-af.jpg?rlkey=ynwzmdevb9wt6s2z3e5kogkar&amp;dl=0","Click to download Image")</f>
      </c>
      <c r="B2967" s="0">
        <f>HYPERLINK("https://dl.dropboxusercontent.com/scl/fi/3wgada9xvslt6sth083a3/graphic-update2022-womens.jpg?rlkey=1pryfkrsjeu2tb087xgifx9q3&amp;dl=0","Click to download SizeChart")</f>
      </c>
      <c r="C2967" s="0" t="inlineStr">
        <is>
          <t>Diana Women's Cold Shoulder Shirt</t>
        </is>
      </c>
      <c r="D2967" s="0" t="inlineStr">
        <is>
          <t>'109197</t>
        </is>
      </c>
      <c r="E2967" s="0" t="inlineStr">
        <is>
          <t>PURDUE DIANA:109197E-2XL</t>
        </is>
      </c>
      <c r="F2967" s="0" t="inlineStr">
        <is>
          <t>'800109197058</t>
        </is>
      </c>
      <c r="G2967" s="0" t="inlineStr">
        <is>
          <t>WOMENS</t>
        </is>
      </c>
      <c r="H2967" s="0" t="inlineStr">
        <is>
          <t>2XL</t>
        </is>
      </c>
      <c r="I2967" s="0">
        <v>42.99</v>
      </c>
      <c r="J2967" s="0">
        <v>2</v>
      </c>
    </row>
    <row r="2968" spans="1:10" customHeight="0">
      <c r="A2968" s="0">
        <f>HYPERLINK("https://dl.dropboxusercontent.com/scl/fi/hfb5d47gzafqjqbtunk8z/109197-af.jpg?rlkey=ynwzmdevb9wt6s2z3e5kogkar&amp;dl=0","Click to download Image")</f>
      </c>
      <c r="B2968" s="0">
        <f>HYPERLINK("https://dl.dropboxusercontent.com/scl/fi/3wgada9xvslt6sth083a3/graphic-update2022-womens.jpg?rlkey=1pryfkrsjeu2tb087xgifx9q3&amp;dl=0","Click to download SizeChart")</f>
      </c>
      <c r="C2968" s="0" t="inlineStr">
        <is>
          <t>Diana Women's Cold Shoulder Shirt</t>
        </is>
      </c>
      <c r="D2968" s="0" t="inlineStr">
        <is>
          <t>'109197</t>
        </is>
      </c>
      <c r="E2968" s="0" t="inlineStr">
        <is>
          <t>PURDUE DIANA:109197F-3XL</t>
        </is>
      </c>
      <c r="F2968" s="0" t="inlineStr">
        <is>
          <t>'800109197065</t>
        </is>
      </c>
      <c r="G2968" s="0" t="inlineStr">
        <is>
          <t>WOMENS</t>
        </is>
      </c>
      <c r="H2968" s="0" t="inlineStr">
        <is>
          <t>3XL</t>
        </is>
      </c>
      <c r="I2968" s="0">
        <v>42.99</v>
      </c>
      <c r="J2968" s="0">
        <v>2</v>
      </c>
    </row>
    <row r="2969" spans="1:10" customHeight="0">
      <c r="A2969" s="0">
        <f>HYPERLINK("https://dl.dropboxusercontent.com/scl/fi/9wk8sk67ord38sx0vnllu/109200-af.jpg?rlkey=mkk3cw67s93u4kkd67hlk4cwb&amp;dl=0","Click to download Image")</f>
      </c>
      <c r="B2969" s="0">
        <f>HYPERLINK("https://dl.dropboxusercontent.com/scl/fi/3wgada9xvslt6sth083a3/graphic-update2022-womens.jpg?rlkey=1pryfkrsjeu2tb087xgifx9q3&amp;dl=0","Click to download SizeChart")</f>
      </c>
      <c r="C2969" s="0" t="inlineStr">
        <is>
          <t>Diana Women's Cold Shoulder Shirt</t>
        </is>
      </c>
      <c r="D2969" s="0" t="inlineStr">
        <is>
          <t>'109200</t>
        </is>
      </c>
      <c r="E2969" s="0" t="inlineStr">
        <is>
          <t>KSU DIANA:109200A-S</t>
        </is>
      </c>
      <c r="F2969" s="0" t="inlineStr">
        <is>
          <t>'800109200017</t>
        </is>
      </c>
      <c r="G2969" s="0" t="inlineStr">
        <is>
          <t>WOMENS</t>
        </is>
      </c>
      <c r="H2969" s="0" t="inlineStr">
        <is>
          <t>S</t>
        </is>
      </c>
      <c r="I2969" s="0">
        <v>42.99</v>
      </c>
      <c r="J2969" s="0">
        <v>8</v>
      </c>
    </row>
    <row r="2970" spans="1:10" customHeight="0">
      <c r="A2970" s="0">
        <f>HYPERLINK("https://dl.dropboxusercontent.com/scl/fi/9wk8sk67ord38sx0vnllu/109200-af.jpg?rlkey=mkk3cw67s93u4kkd67hlk4cwb&amp;dl=0","Click to download Image")</f>
      </c>
      <c r="B2970" s="0">
        <f>HYPERLINK("https://dl.dropboxusercontent.com/scl/fi/3wgada9xvslt6sth083a3/graphic-update2022-womens.jpg?rlkey=1pryfkrsjeu2tb087xgifx9q3&amp;dl=0","Click to download SizeChart")</f>
      </c>
      <c r="C2970" s="0" t="inlineStr">
        <is>
          <t>Diana Women's Cold Shoulder Shirt</t>
        </is>
      </c>
      <c r="D2970" s="0" t="inlineStr">
        <is>
          <t>'109200</t>
        </is>
      </c>
      <c r="E2970" s="0" t="inlineStr">
        <is>
          <t>KSU DIANA:109200B-M</t>
        </is>
      </c>
      <c r="F2970" s="0" t="inlineStr">
        <is>
          <t>'800109200024</t>
        </is>
      </c>
      <c r="G2970" s="0" t="inlineStr">
        <is>
          <t>WOMENS</t>
        </is>
      </c>
      <c r="H2970" s="0" t="inlineStr">
        <is>
          <t>M</t>
        </is>
      </c>
      <c r="I2970" s="0">
        <v>42.99</v>
      </c>
      <c r="J2970" s="0">
        <v>16</v>
      </c>
    </row>
    <row r="2971" spans="1:10" customHeight="0">
      <c r="A2971" s="0">
        <f>HYPERLINK("https://dl.dropboxusercontent.com/scl/fi/9wk8sk67ord38sx0vnllu/109200-af.jpg?rlkey=mkk3cw67s93u4kkd67hlk4cwb&amp;dl=0","Click to download Image")</f>
      </c>
      <c r="B2971" s="0">
        <f>HYPERLINK("https://dl.dropboxusercontent.com/scl/fi/3wgada9xvslt6sth083a3/graphic-update2022-womens.jpg?rlkey=1pryfkrsjeu2tb087xgifx9q3&amp;dl=0","Click to download SizeChart")</f>
      </c>
      <c r="C2971" s="0" t="inlineStr">
        <is>
          <t>Diana Women's Cold Shoulder Shirt</t>
        </is>
      </c>
      <c r="D2971" s="0" t="inlineStr">
        <is>
          <t>'109200</t>
        </is>
      </c>
      <c r="E2971" s="0" t="inlineStr">
        <is>
          <t>KSU DIANA:109200C-L</t>
        </is>
      </c>
      <c r="F2971" s="0" t="inlineStr">
        <is>
          <t>'800109200031</t>
        </is>
      </c>
      <c r="G2971" s="0" t="inlineStr">
        <is>
          <t>WOMENS</t>
        </is>
      </c>
      <c r="H2971" s="0" t="inlineStr">
        <is>
          <t>L</t>
        </is>
      </c>
      <c r="I2971" s="0">
        <v>42.99</v>
      </c>
      <c r="J2971" s="0">
        <v>16</v>
      </c>
    </row>
    <row r="2972" spans="1:10" customHeight="0">
      <c r="A2972" s="0">
        <f>HYPERLINK("https://dl.dropboxusercontent.com/scl/fi/9wk8sk67ord38sx0vnllu/109200-af.jpg?rlkey=mkk3cw67s93u4kkd67hlk4cwb&amp;dl=0","Click to download Image")</f>
      </c>
      <c r="B2972" s="0">
        <f>HYPERLINK("https://dl.dropboxusercontent.com/scl/fi/3wgada9xvslt6sth083a3/graphic-update2022-womens.jpg?rlkey=1pryfkrsjeu2tb087xgifx9q3&amp;dl=0","Click to download SizeChart")</f>
      </c>
      <c r="C2972" s="0" t="inlineStr">
        <is>
          <t>Diana Women's Cold Shoulder Shirt</t>
        </is>
      </c>
      <c r="D2972" s="0" t="inlineStr">
        <is>
          <t>'109200</t>
        </is>
      </c>
      <c r="E2972" s="0" t="inlineStr">
        <is>
          <t>KSU DIANA:109200D-XL</t>
        </is>
      </c>
      <c r="F2972" s="0" t="inlineStr">
        <is>
          <t>'800109200048</t>
        </is>
      </c>
      <c r="G2972" s="0" t="inlineStr">
        <is>
          <t>WOMENS</t>
        </is>
      </c>
      <c r="H2972" s="0" t="inlineStr">
        <is>
          <t>XL</t>
        </is>
      </c>
      <c r="I2972" s="0">
        <v>42.99</v>
      </c>
      <c r="J2972" s="0">
        <v>8</v>
      </c>
    </row>
    <row r="2973" spans="1:10" customHeight="0">
      <c r="A2973" s="0">
        <f>HYPERLINK("https://dl.dropboxusercontent.com/scl/fi/9wk8sk67ord38sx0vnllu/109200-af.jpg?rlkey=mkk3cw67s93u4kkd67hlk4cwb&amp;dl=0","Click to download Image")</f>
      </c>
      <c r="B2973" s="0">
        <f>HYPERLINK("https://dl.dropboxusercontent.com/scl/fi/3wgada9xvslt6sth083a3/graphic-update2022-womens.jpg?rlkey=1pryfkrsjeu2tb087xgifx9q3&amp;dl=0","Click to download SizeChart")</f>
      </c>
      <c r="C2973" s="0" t="inlineStr">
        <is>
          <t>Diana Women's Cold Shoulder Shirt</t>
        </is>
      </c>
      <c r="D2973" s="0" t="inlineStr">
        <is>
          <t>'109200</t>
        </is>
      </c>
      <c r="E2973" s="0" t="inlineStr">
        <is>
          <t>KSU DIANA:109200E-2XL</t>
        </is>
      </c>
      <c r="F2973" s="0" t="inlineStr">
        <is>
          <t>'800109200055</t>
        </is>
      </c>
      <c r="G2973" s="0" t="inlineStr">
        <is>
          <t>WOMENS</t>
        </is>
      </c>
      <c r="H2973" s="0" t="inlineStr">
        <is>
          <t>2XL</t>
        </is>
      </c>
      <c r="I2973" s="0">
        <v>42.99</v>
      </c>
      <c r="J2973" s="0">
        <v>2</v>
      </c>
    </row>
    <row r="2974" spans="1:10" customHeight="0">
      <c r="A2974" s="0">
        <f>HYPERLINK("https://dl.dropboxusercontent.com/scl/fi/9wk8sk67ord38sx0vnllu/109200-af.jpg?rlkey=mkk3cw67s93u4kkd67hlk4cwb&amp;dl=0","Click to download Image")</f>
      </c>
      <c r="B2974" s="0">
        <f>HYPERLINK("https://dl.dropboxusercontent.com/scl/fi/3wgada9xvslt6sth083a3/graphic-update2022-womens.jpg?rlkey=1pryfkrsjeu2tb087xgifx9q3&amp;dl=0","Click to download SizeChart")</f>
      </c>
      <c r="C2974" s="0" t="inlineStr">
        <is>
          <t>Diana Women's Cold Shoulder Shirt</t>
        </is>
      </c>
      <c r="D2974" s="0" t="inlineStr">
        <is>
          <t>'109200</t>
        </is>
      </c>
      <c r="E2974" s="0" t="inlineStr">
        <is>
          <t>KSU DIANA:109200F-3XL</t>
        </is>
      </c>
      <c r="F2974" s="0" t="inlineStr">
        <is>
          <t>'800109200062</t>
        </is>
      </c>
      <c r="G2974" s="0" t="inlineStr">
        <is>
          <t>WOMENS</t>
        </is>
      </c>
      <c r="H2974" s="0" t="inlineStr">
        <is>
          <t>3XL</t>
        </is>
      </c>
      <c r="I2974" s="0">
        <v>42.99</v>
      </c>
      <c r="J2974" s="0">
        <v>2</v>
      </c>
    </row>
    <row r="2975" spans="1:10" customHeight="0">
      <c r="A2975" s="0">
        <f>HYPERLINK("https://dl.dropboxusercontent.com/scl/fi/ord46lvd5rsngrsvm6dco/98804af-sd.jpg?rlkey=3f7nzjurtndbx6pnsd3xt8txu&amp;dl=0","Click to download Image")</f>
      </c>
      <c r="C2975" s="0" t="inlineStr">
        <is>
          <t>Grayson Collapsible Duffle</t>
        </is>
      </c>
      <c r="D2975" s="0" t="inlineStr">
        <is>
          <t>'98804</t>
        </is>
      </c>
      <c r="E2975" s="0" t="inlineStr">
        <is>
          <t>GRAYSON:98804</t>
        </is>
      </c>
      <c r="F2975" s="0" t="inlineStr">
        <is>
          <t>'000000000000</t>
        </is>
      </c>
      <c r="H2975" s="0" t="inlineStr">
        <is>
          <t>17" W X 9" H X 6" D</t>
        </is>
      </c>
      <c r="I2975" s="0">
        <v>39.99</v>
      </c>
      <c r="J2975" s="0">
        <v>396</v>
      </c>
    </row>
    <row r="2976" spans="1:10" customHeight="0">
      <c r="A2976" s="0">
        <f>HYPERLINK("https://dl.dropboxusercontent.com/scl/fi/r35q79tu4rvmgp34m9yxb/95641af.jpg?rlkey=jx4l8waq5ty8rp46oaoy3v5yj&amp;dl=0","Click to download Image")</f>
      </c>
      <c r="C2976" s="0" t="inlineStr">
        <is>
          <t>Garret Sweatshirt Duffle</t>
        </is>
      </c>
      <c r="D2976" s="0" t="inlineStr">
        <is>
          <t>'95641</t>
        </is>
      </c>
      <c r="E2976" s="0" t="inlineStr">
        <is>
          <t>GARRET:95641 IA</t>
        </is>
      </c>
      <c r="F2976" s="0" t="inlineStr">
        <is>
          <t>'000000000000</t>
        </is>
      </c>
      <c r="I2976" s="0">
        <v>29.99</v>
      </c>
      <c r="J2976" s="0">
        <v>243</v>
      </c>
    </row>
    <row r="2977" spans="1:10" customHeight="0">
      <c r="A2977" s="0">
        <f>HYPERLINK("https://dl.dropboxusercontent.com/scl/fi/7lwegahmqdwdcfvlshpjq/96000af.jpg?rlkey=ina6jij59hplrg2fcxq7u0cre&amp;dl=0","Click to download Image")</f>
      </c>
      <c r="C2977" s="0" t="inlineStr">
        <is>
          <t>Garret Sweatshirt Duffle</t>
        </is>
      </c>
      <c r="D2977" s="0" t="inlineStr">
        <is>
          <t>'96000</t>
        </is>
      </c>
      <c r="E2977" s="0" t="inlineStr">
        <is>
          <t>GARRET:96000 ISU</t>
        </is>
      </c>
      <c r="F2977" s="0" t="inlineStr">
        <is>
          <t>'000000000000</t>
        </is>
      </c>
      <c r="I2977" s="0">
        <v>29.99</v>
      </c>
      <c r="J2977" s="0">
        <v>353</v>
      </c>
    </row>
    <row r="2978" spans="1:10" customHeight="0">
      <c r="A2978" s="0">
        <f>HYPERLINK("https://dl.dropboxusercontent.com/scl/fi/nnmlddud2ynfk7g9vx8m4/monroeia52160.jpg?rlkey=0my2blve17v0h7c0p18qjkhcj&amp;dl=0","Click to download Image")</f>
      </c>
      <c r="C2978" s="0" t="inlineStr">
        <is>
          <t>Monroe Infant Cap</t>
        </is>
      </c>
      <c r="D2978" s="0" t="inlineStr">
        <is>
          <t>'107022</t>
        </is>
      </c>
      <c r="E2978" s="0" t="inlineStr">
        <is>
          <t>MONROE:107022</t>
        </is>
      </c>
      <c r="F2978" s="0" t="inlineStr">
        <is>
          <t>'000000000000</t>
        </is>
      </c>
      <c r="G2978" s="0" t="inlineStr">
        <is>
          <t>INFANT</t>
        </is>
      </c>
      <c r="H2978" s="0" t="inlineStr">
        <is>
          <t>INFANT</t>
        </is>
      </c>
      <c r="I2978" s="0">
        <v>17.99</v>
      </c>
      <c r="J2978" s="0">
        <v>43</v>
      </c>
    </row>
    <row r="2979" spans="1:10" customHeight="0">
      <c r="A2979" s="0">
        <f>HYPERLINK("https://dl.dropboxusercontent.com/scl/fi/pp3ffs3blfwsnvhtqqwqn/dsc5891edit.jpg?rlkey=gvefupbko1b6dp9kgl0qsaet2&amp;dl=0","Click to download Image")</f>
      </c>
      <c r="B2979" s="0">
        <f>HYPERLINK("https://dl.dropboxusercontent.com/scl/fi/ga55cgjwztr9e7lz2ccpz/womens-t-shirt-size-chartsjulie.jpg?rlkey=y5fz8l62uu9ouvp0tifz51wfa&amp;dl=0","Click to download SizeChart")</f>
      </c>
      <c r="C2979" s="0" t="inlineStr">
        <is>
          <t>Julie Women's Bamboo Henley</t>
        </is>
      </c>
      <c r="D2979" s="0" t="inlineStr">
        <is>
          <t>'111887</t>
        </is>
      </c>
      <c r="E2979" s="0" t="inlineStr">
        <is>
          <t>IOWA JULIE BLACK:111887AA-XS</t>
        </is>
      </c>
      <c r="F2979" s="0" t="inlineStr">
        <is>
          <t>'800111887039</t>
        </is>
      </c>
      <c r="G2979" s="0" t="inlineStr">
        <is>
          <t>WOMENS</t>
        </is>
      </c>
      <c r="H2979" s="0" t="inlineStr">
        <is>
          <t>XS</t>
        </is>
      </c>
      <c r="I2979" s="0">
        <v>29.99</v>
      </c>
      <c r="J2979" s="0">
        <v>11</v>
      </c>
    </row>
    <row r="2980" spans="1:10" customHeight="0">
      <c r="A2980" s="0">
        <f>HYPERLINK("https://dl.dropboxusercontent.com/scl/fi/pp3ffs3blfwsnvhtqqwqn/dsc5891edit.jpg?rlkey=gvefupbko1b6dp9kgl0qsaet2&amp;dl=0","Click to download Image")</f>
      </c>
      <c r="B2980" s="0">
        <f>HYPERLINK("https://dl.dropboxusercontent.com/scl/fi/ga55cgjwztr9e7lz2ccpz/womens-t-shirt-size-chartsjulie.jpg?rlkey=y5fz8l62uu9ouvp0tifz51wfa&amp;dl=0","Click to download SizeChart")</f>
      </c>
      <c r="C2980" s="0" t="inlineStr">
        <is>
          <t>Julie Women's Bamboo Henley</t>
        </is>
      </c>
      <c r="D2980" s="0" t="inlineStr">
        <is>
          <t>'111887</t>
        </is>
      </c>
      <c r="E2980" s="0" t="inlineStr">
        <is>
          <t>IOWA JULIE BLACK:111887A-S</t>
        </is>
      </c>
      <c r="F2980" s="0" t="inlineStr">
        <is>
          <t>'800111887046</t>
        </is>
      </c>
      <c r="G2980" s="0" t="inlineStr">
        <is>
          <t>WOMENS</t>
        </is>
      </c>
      <c r="H2980" s="0" t="inlineStr">
        <is>
          <t>S</t>
        </is>
      </c>
      <c r="I2980" s="0">
        <v>29.99</v>
      </c>
      <c r="J2980" s="0">
        <v>0</v>
      </c>
    </row>
    <row r="2981" spans="1:10" customHeight="0">
      <c r="A2981" s="0">
        <f>HYPERLINK("https://dl.dropboxusercontent.com/scl/fi/pp3ffs3blfwsnvhtqqwqn/dsc5891edit.jpg?rlkey=gvefupbko1b6dp9kgl0qsaet2&amp;dl=0","Click to download Image")</f>
      </c>
      <c r="B2981" s="0">
        <f>HYPERLINK("https://dl.dropboxusercontent.com/scl/fi/ga55cgjwztr9e7lz2ccpz/womens-t-shirt-size-chartsjulie.jpg?rlkey=y5fz8l62uu9ouvp0tifz51wfa&amp;dl=0","Click to download SizeChart")</f>
      </c>
      <c r="C2981" s="0" t="inlineStr">
        <is>
          <t>Julie Women's Bamboo Henley</t>
        </is>
      </c>
      <c r="D2981" s="0" t="inlineStr">
        <is>
          <t>'111887</t>
        </is>
      </c>
      <c r="E2981" s="0" t="inlineStr">
        <is>
          <t>IOWA JULIE BLACK:111887B-M</t>
        </is>
      </c>
      <c r="F2981" s="0" t="inlineStr">
        <is>
          <t>'800111887053</t>
        </is>
      </c>
      <c r="G2981" s="0" t="inlineStr">
        <is>
          <t>WOMENS</t>
        </is>
      </c>
      <c r="H2981" s="0" t="inlineStr">
        <is>
          <t>M</t>
        </is>
      </c>
      <c r="I2981" s="0">
        <v>29.99</v>
      </c>
      <c r="J2981" s="0">
        <v>0</v>
      </c>
    </row>
    <row r="2982" spans="1:10" customHeight="0">
      <c r="A2982" s="0">
        <f>HYPERLINK("https://dl.dropboxusercontent.com/scl/fi/pp3ffs3blfwsnvhtqqwqn/dsc5891edit.jpg?rlkey=gvefupbko1b6dp9kgl0qsaet2&amp;dl=0","Click to download Image")</f>
      </c>
      <c r="B2982" s="0">
        <f>HYPERLINK("https://dl.dropboxusercontent.com/scl/fi/ga55cgjwztr9e7lz2ccpz/womens-t-shirt-size-chartsjulie.jpg?rlkey=y5fz8l62uu9ouvp0tifz51wfa&amp;dl=0","Click to download SizeChart")</f>
      </c>
      <c r="C2982" s="0" t="inlineStr">
        <is>
          <t>Julie Women's Bamboo Henley</t>
        </is>
      </c>
      <c r="D2982" s="0" t="inlineStr">
        <is>
          <t>'111887</t>
        </is>
      </c>
      <c r="E2982" s="0" t="inlineStr">
        <is>
          <t>IOWA JULIE BLACK:111887C-L</t>
        </is>
      </c>
      <c r="F2982" s="0" t="inlineStr">
        <is>
          <t>'800111887060</t>
        </is>
      </c>
      <c r="G2982" s="0" t="inlineStr">
        <is>
          <t>WOMENS</t>
        </is>
      </c>
      <c r="H2982" s="0" t="inlineStr">
        <is>
          <t>L</t>
        </is>
      </c>
      <c r="I2982" s="0">
        <v>29.99</v>
      </c>
      <c r="J2982" s="0">
        <v>0</v>
      </c>
    </row>
    <row r="2983" spans="1:10" customHeight="0">
      <c r="A2983" s="0">
        <f>HYPERLINK("https://dl.dropboxusercontent.com/scl/fi/pp3ffs3blfwsnvhtqqwqn/dsc5891edit.jpg?rlkey=gvefupbko1b6dp9kgl0qsaet2&amp;dl=0","Click to download Image")</f>
      </c>
      <c r="B2983" s="0">
        <f>HYPERLINK("https://dl.dropboxusercontent.com/scl/fi/ga55cgjwztr9e7lz2ccpz/womens-t-shirt-size-chartsjulie.jpg?rlkey=y5fz8l62uu9ouvp0tifz51wfa&amp;dl=0","Click to download SizeChart")</f>
      </c>
      <c r="C2983" s="0" t="inlineStr">
        <is>
          <t>Julie Women's Bamboo Henley</t>
        </is>
      </c>
      <c r="D2983" s="0" t="inlineStr">
        <is>
          <t>'111887</t>
        </is>
      </c>
      <c r="E2983" s="0" t="inlineStr">
        <is>
          <t>IOWA JULIE BLACK:111887D-XL</t>
        </is>
      </c>
      <c r="F2983" s="0" t="inlineStr">
        <is>
          <t>'800111887077</t>
        </is>
      </c>
      <c r="G2983" s="0" t="inlineStr">
        <is>
          <t>WOMENS</t>
        </is>
      </c>
      <c r="H2983" s="0" t="inlineStr">
        <is>
          <t>XL</t>
        </is>
      </c>
      <c r="I2983" s="0">
        <v>29.99</v>
      </c>
      <c r="J2983" s="0">
        <v>0</v>
      </c>
    </row>
    <row r="2984" spans="1:10" customHeight="0">
      <c r="A2984" s="0">
        <f>HYPERLINK("https://dl.dropboxusercontent.com/scl/fi/pp3ffs3blfwsnvhtqqwqn/dsc5891edit.jpg?rlkey=gvefupbko1b6dp9kgl0qsaet2&amp;dl=0","Click to download Image")</f>
      </c>
      <c r="B2984" s="0">
        <f>HYPERLINK("https://dl.dropboxusercontent.com/scl/fi/ga55cgjwztr9e7lz2ccpz/womens-t-shirt-size-chartsjulie.jpg?rlkey=y5fz8l62uu9ouvp0tifz51wfa&amp;dl=0","Click to download SizeChart")</f>
      </c>
      <c r="C2984" s="0" t="inlineStr">
        <is>
          <t>Julie Women's Bamboo Henley</t>
        </is>
      </c>
      <c r="D2984" s="0" t="inlineStr">
        <is>
          <t>'111887</t>
        </is>
      </c>
      <c r="E2984" s="0" t="inlineStr">
        <is>
          <t>IOWA JULIE BLACK:111887E-2XL</t>
        </is>
      </c>
      <c r="F2984" s="0" t="inlineStr">
        <is>
          <t>'800111887084</t>
        </is>
      </c>
      <c r="G2984" s="0" t="inlineStr">
        <is>
          <t>WOMENS</t>
        </is>
      </c>
      <c r="H2984" s="0" t="inlineStr">
        <is>
          <t>2XL</t>
        </is>
      </c>
      <c r="I2984" s="0">
        <v>31.99</v>
      </c>
      <c r="J2984" s="0">
        <v>0</v>
      </c>
    </row>
    <row r="2985" spans="1:10" customHeight="0">
      <c r="A2985" s="0">
        <f>HYPERLINK("https://dl.dropboxusercontent.com/scl/fi/pp3ffs3blfwsnvhtqqwqn/dsc5891edit.jpg?rlkey=gvefupbko1b6dp9kgl0qsaet2&amp;dl=0","Click to download Image")</f>
      </c>
      <c r="B2985" s="0">
        <f>HYPERLINK("https://dl.dropboxusercontent.com/scl/fi/ga55cgjwztr9e7lz2ccpz/womens-t-shirt-size-chartsjulie.jpg?rlkey=y5fz8l62uu9ouvp0tifz51wfa&amp;dl=0","Click to download SizeChart")</f>
      </c>
      <c r="C2985" s="0" t="inlineStr">
        <is>
          <t>Julie Women's Bamboo Henley</t>
        </is>
      </c>
      <c r="D2985" s="0" t="inlineStr">
        <is>
          <t>'111887</t>
        </is>
      </c>
      <c r="E2985" s="0" t="inlineStr">
        <is>
          <t>IOWA JULIE BLACK:111887F-3XL</t>
        </is>
      </c>
      <c r="F2985" s="0" t="inlineStr">
        <is>
          <t>'800111887091</t>
        </is>
      </c>
      <c r="G2985" s="0" t="inlineStr">
        <is>
          <t>WOMENS</t>
        </is>
      </c>
      <c r="H2985" s="0" t="inlineStr">
        <is>
          <t>3XL</t>
        </is>
      </c>
      <c r="I2985" s="0">
        <v>31.99</v>
      </c>
      <c r="J2985" s="0">
        <v>6</v>
      </c>
    </row>
    <row r="2986" spans="1:10" customHeight="0">
      <c r="A2986" s="0">
        <f>HYPERLINK("https://dl.dropboxusercontent.com/scl/fi/pp3ffs3blfwsnvhtqqwqn/dsc5891edit.jpg?rlkey=gvefupbko1b6dp9kgl0qsaet2&amp;dl=0","Click to download Image")</f>
      </c>
      <c r="B2986" s="0">
        <f>HYPERLINK("https://dl.dropboxusercontent.com/scl/fi/ga55cgjwztr9e7lz2ccpz/womens-t-shirt-size-chartsjulie.jpg?rlkey=y5fz8l62uu9ouvp0tifz51wfa&amp;dl=0","Click to download SizeChart")</f>
      </c>
      <c r="C2986" s="0" t="inlineStr">
        <is>
          <t>Julie Women's Bamboo Henley</t>
        </is>
      </c>
      <c r="D2986" s="0" t="inlineStr">
        <is>
          <t>'111887</t>
        </is>
      </c>
      <c r="E2986" s="0" t="inlineStr">
        <is>
          <t>IOWA JULIE BLACK 12 PACK:111887Z-12PK</t>
        </is>
      </c>
      <c r="F2986" s="0" t="inlineStr">
        <is>
          <t>'800111887992</t>
        </is>
      </c>
      <c r="G2986" s="0" t="inlineStr">
        <is>
          <t>WOMENS</t>
        </is>
      </c>
      <c r="H2986" s="0" t="inlineStr">
        <is>
          <t>12 PACK</t>
        </is>
      </c>
      <c r="I2986" s="0">
        <v>280</v>
      </c>
      <c r="J2986" s="0">
        <v>0</v>
      </c>
    </row>
    <row r="2987" spans="1:10" customHeight="0">
      <c r="A2987" s="0">
        <f>HYPERLINK("https://dl.dropboxusercontent.com/scl/fi/a55r9vulbeky6osb519ic/99671.jpg?rlkey=w6uwwnb9hlj4t2qvwydy7j7z9&amp;dl=0","Click to download Image")</f>
      </c>
      <c r="B2987" s="0">
        <f>HYPERLINK("https://dl.dropboxusercontent.com/scl/fi/n5hhyvirnojqyh47uqltm/graphic-update22022-infant.jpg?rlkey=4lydi4dpi54q9ktba3pyqtuxl&amp;dl=0","Click to download SizeChart")</f>
      </c>
      <c r="C2987" s="0" t="inlineStr">
        <is>
          <t>June Infant Set</t>
        </is>
      </c>
      <c r="D2987" s="0" t="inlineStr">
        <is>
          <t>'99671</t>
        </is>
      </c>
      <c r="E2987" s="0" t="inlineStr">
        <is>
          <t>JUNE:99671A-0-3M</t>
        </is>
      </c>
      <c r="F2987" s="0" t="inlineStr">
        <is>
          <t>'000000000000</t>
        </is>
      </c>
      <c r="G2987" s="0" t="inlineStr">
        <is>
          <t>INFANT</t>
        </is>
      </c>
      <c r="H2987" s="0" t="inlineStr">
        <is>
          <t>0-3M</t>
        </is>
      </c>
      <c r="I2987" s="0">
        <v>34.99</v>
      </c>
      <c r="J2987" s="0">
        <v>12</v>
      </c>
    </row>
    <row r="2988" spans="1:10" customHeight="0">
      <c r="A2988" s="0">
        <f>HYPERLINK("https://dl.dropboxusercontent.com/scl/fi/a55r9vulbeky6osb519ic/99671.jpg?rlkey=w6uwwnb9hlj4t2qvwydy7j7z9&amp;dl=0","Click to download Image")</f>
      </c>
      <c r="B2988" s="0">
        <f>HYPERLINK("https://dl.dropboxusercontent.com/scl/fi/n5hhyvirnojqyh47uqltm/graphic-update22022-infant.jpg?rlkey=4lydi4dpi54q9ktba3pyqtuxl&amp;dl=0","Click to download SizeChart")</f>
      </c>
      <c r="C2988" s="0" t="inlineStr">
        <is>
          <t>June Infant Set</t>
        </is>
      </c>
      <c r="D2988" s="0" t="inlineStr">
        <is>
          <t>'99671</t>
        </is>
      </c>
      <c r="E2988" s="0" t="inlineStr">
        <is>
          <t>JUNE:99671B-3-6M</t>
        </is>
      </c>
      <c r="F2988" s="0" t="inlineStr">
        <is>
          <t>'000000000000</t>
        </is>
      </c>
      <c r="G2988" s="0" t="inlineStr">
        <is>
          <t>INFANT</t>
        </is>
      </c>
      <c r="H2988" s="0" t="inlineStr">
        <is>
          <t>3-6M</t>
        </is>
      </c>
      <c r="I2988" s="0">
        <v>34.99</v>
      </c>
      <c r="J2988" s="0">
        <v>0</v>
      </c>
    </row>
    <row r="2989" spans="1:10" customHeight="0">
      <c r="A2989" s="0">
        <f>HYPERLINK("https://dl.dropboxusercontent.com/scl/fi/a55r9vulbeky6osb519ic/99671.jpg?rlkey=w6uwwnb9hlj4t2qvwydy7j7z9&amp;dl=0","Click to download Image")</f>
      </c>
      <c r="B2989" s="0">
        <f>HYPERLINK("https://dl.dropboxusercontent.com/scl/fi/n5hhyvirnojqyh47uqltm/graphic-update22022-infant.jpg?rlkey=4lydi4dpi54q9ktba3pyqtuxl&amp;dl=0","Click to download SizeChart")</f>
      </c>
      <c r="C2989" s="0" t="inlineStr">
        <is>
          <t>June Infant Set</t>
        </is>
      </c>
      <c r="D2989" s="0" t="inlineStr">
        <is>
          <t>'99671</t>
        </is>
      </c>
      <c r="E2989" s="0" t="inlineStr">
        <is>
          <t>JUNE:99671C-6-9M</t>
        </is>
      </c>
      <c r="F2989" s="0" t="inlineStr">
        <is>
          <t>'000000000000</t>
        </is>
      </c>
      <c r="G2989" s="0" t="inlineStr">
        <is>
          <t>INFANT</t>
        </is>
      </c>
      <c r="H2989" s="0" t="inlineStr">
        <is>
          <t>6-9M</t>
        </is>
      </c>
      <c r="I2989" s="0">
        <v>34.99</v>
      </c>
      <c r="J2989" s="0">
        <v>21</v>
      </c>
    </row>
    <row r="2990" spans="1:10" customHeight="0">
      <c r="A2990" s="0">
        <f>HYPERLINK("https://dl.dropboxusercontent.com/scl/fi/a55r9vulbeky6osb519ic/99671.jpg?rlkey=w6uwwnb9hlj4t2qvwydy7j7z9&amp;dl=0","Click to download Image")</f>
      </c>
      <c r="B2990" s="0">
        <f>HYPERLINK("https://dl.dropboxusercontent.com/scl/fi/n5hhyvirnojqyh47uqltm/graphic-update22022-infant.jpg?rlkey=4lydi4dpi54q9ktba3pyqtuxl&amp;dl=0","Click to download SizeChart")</f>
      </c>
      <c r="C2990" s="0" t="inlineStr">
        <is>
          <t>June Infant Set</t>
        </is>
      </c>
      <c r="D2990" s="0" t="inlineStr">
        <is>
          <t>'99671</t>
        </is>
      </c>
      <c r="E2990" s="0" t="inlineStr">
        <is>
          <t>JUNE:99671D-9-12M</t>
        </is>
      </c>
      <c r="F2990" s="0" t="inlineStr">
        <is>
          <t>'000000000000</t>
        </is>
      </c>
      <c r="G2990" s="0" t="inlineStr">
        <is>
          <t>INFANT</t>
        </is>
      </c>
      <c r="H2990" s="0" t="inlineStr">
        <is>
          <t>12M</t>
        </is>
      </c>
      <c r="I2990" s="0">
        <v>34.99</v>
      </c>
      <c r="J2990" s="0">
        <v>0</v>
      </c>
    </row>
    <row r="2991" spans="1:10" customHeight="0">
      <c r="A2991" s="0">
        <f>HYPERLINK("https://dl.dropboxusercontent.com/scl/fi/e6h9exu6jsetj0hd7o7dc/97010af-1.jpg?rlkey=7sm6hq3ze4tohecynbiza69yk&amp;dl=0","Click to download Image")</f>
      </c>
      <c r="C2991" s="0" t="inlineStr">
        <is>
          <t>Jordan Roll Top Messenger</t>
        </is>
      </c>
      <c r="D2991" s="0" t="inlineStr">
        <is>
          <t>'97010</t>
        </is>
      </c>
      <c r="E2991" s="0" t="inlineStr">
        <is>
          <t>JORDAN:97010</t>
        </is>
      </c>
      <c r="F2991" s="0" t="inlineStr">
        <is>
          <t>'000000000000</t>
        </is>
      </c>
      <c r="H2991" s="0" t="inlineStr">
        <is>
          <t>15" W X 11" H X 5" D</t>
        </is>
      </c>
      <c r="I2991" s="0">
        <v>44.99</v>
      </c>
      <c r="J2991" s="0">
        <v>472</v>
      </c>
    </row>
    <row r="2992" spans="1:10" customHeight="0">
      <c r="A2992" s="0">
        <f>HYPERLINK("https://dl.dropboxusercontent.com/scl/fi/j85nxvwttu7pw5mojszlz/91950-af.jpg?rlkey=mx9hh2cjsx2kqnr7faajx0z4t&amp;dl=0","Click to download Image")</f>
      </c>
      <c r="C2992" s="0" t="inlineStr">
        <is>
          <t>Toiletry Bag</t>
        </is>
      </c>
      <c r="D2992" s="0" t="inlineStr">
        <is>
          <t>'91950</t>
        </is>
      </c>
      <c r="E2992" s="0" t="inlineStr">
        <is>
          <t>TOILETRY:91950-TLY</t>
        </is>
      </c>
      <c r="F2992" s="0" t="inlineStr">
        <is>
          <t>'000000000000</t>
        </is>
      </c>
      <c r="I2992" s="0">
        <v>19.99</v>
      </c>
      <c r="J2992" s="0">
        <v>38</v>
      </c>
    </row>
    <row r="2993" spans="1:10" customHeight="0">
      <c r="A2993" s="0">
        <f>HYPERLINK("https://dl.dropboxusercontent.com/scl/fi/gvpvmojio6mjezilkydne/91950af90347.png?rlkey=id5d1uce7cih8pbg44rp7kqqt&amp;dl=0","Click to download Image")</f>
      </c>
      <c r="C2993" s="0" t="inlineStr">
        <is>
          <t>Toiletry Bag</t>
        </is>
      </c>
      <c r="D2993" s="0" t="inlineStr">
        <is>
          <t>'102842</t>
        </is>
      </c>
      <c r="E2993" s="0" t="inlineStr">
        <is>
          <t>UNI TOILETRY:102842</t>
        </is>
      </c>
      <c r="F2993" s="0" t="inlineStr">
        <is>
          <t>'000000000000</t>
        </is>
      </c>
      <c r="I2993" s="0">
        <v>19.99</v>
      </c>
      <c r="J2993" s="0">
        <v>125</v>
      </c>
    </row>
    <row r="2994" spans="1:10" customHeight="0">
      <c r="A2994" s="0">
        <f>HYPERLINK("https://dl.dropboxusercontent.com/scl/fi/et1th73ls6hdaizqnpue4/111555af.png?rlkey=ask3phel9xctk1bks6snsrkxz&amp;dl=0","Click to download Image")</f>
      </c>
      <c r="B2994" s="0">
        <f>HYPERLINK("https://dl.dropboxusercontent.com/scl/fi/0v8kkqncln7ig4n66rxhj/mens-hoodie-size-chartsprice.jpg?rlkey=t9ks3fri96npkovqu1kvd1ncg&amp;dl=0","Click to download SizeChart")</f>
      </c>
      <c r="C2994" s="0" t="inlineStr">
        <is>
          <t>Price Mens Hoodie</t>
        </is>
      </c>
      <c r="D2994" s="0" t="inlineStr">
        <is>
          <t>'111555</t>
        </is>
      </c>
      <c r="E2994" s="0" t="inlineStr">
        <is>
          <t>UNI PRICE GREY:111555A-S</t>
        </is>
      </c>
      <c r="F2994" s="0" t="inlineStr">
        <is>
          <t>'802111555048</t>
        </is>
      </c>
      <c r="G2994" s="0" t="inlineStr">
        <is>
          <t>MENS</t>
        </is>
      </c>
      <c r="H2994" s="0" t="inlineStr">
        <is>
          <t>S</t>
        </is>
      </c>
      <c r="I2994" s="0">
        <v>54.99</v>
      </c>
      <c r="J2994" s="0">
        <v>6</v>
      </c>
    </row>
    <row r="2995" spans="1:10" customHeight="0">
      <c r="A2995" s="0">
        <f>HYPERLINK("https://dl.dropboxusercontent.com/scl/fi/et1th73ls6hdaizqnpue4/111555af.png?rlkey=ask3phel9xctk1bks6snsrkxz&amp;dl=0","Click to download Image")</f>
      </c>
      <c r="B2995" s="0">
        <f>HYPERLINK("https://dl.dropboxusercontent.com/scl/fi/0v8kkqncln7ig4n66rxhj/mens-hoodie-size-chartsprice.jpg?rlkey=t9ks3fri96npkovqu1kvd1ncg&amp;dl=0","Click to download SizeChart")</f>
      </c>
      <c r="C2995" s="0" t="inlineStr">
        <is>
          <t>Price Mens Hoodie</t>
        </is>
      </c>
      <c r="D2995" s="0" t="inlineStr">
        <is>
          <t>'111555</t>
        </is>
      </c>
      <c r="E2995" s="0" t="inlineStr">
        <is>
          <t>UNI PRICE GREY:111555B-M</t>
        </is>
      </c>
      <c r="F2995" s="0" t="inlineStr">
        <is>
          <t>'802111555055</t>
        </is>
      </c>
      <c r="G2995" s="0" t="inlineStr">
        <is>
          <t>MENS</t>
        </is>
      </c>
      <c r="H2995" s="0" t="inlineStr">
        <is>
          <t>M</t>
        </is>
      </c>
      <c r="I2995" s="0">
        <v>54.99</v>
      </c>
      <c r="J2995" s="0">
        <v>11</v>
      </c>
    </row>
    <row r="2996" spans="1:10" customHeight="0">
      <c r="A2996" s="0">
        <f>HYPERLINK("https://dl.dropboxusercontent.com/scl/fi/et1th73ls6hdaizqnpue4/111555af.png?rlkey=ask3phel9xctk1bks6snsrkxz&amp;dl=0","Click to download Image")</f>
      </c>
      <c r="B2996" s="0">
        <f>HYPERLINK("https://dl.dropboxusercontent.com/scl/fi/0v8kkqncln7ig4n66rxhj/mens-hoodie-size-chartsprice.jpg?rlkey=t9ks3fri96npkovqu1kvd1ncg&amp;dl=0","Click to download SizeChart")</f>
      </c>
      <c r="C2996" s="0" t="inlineStr">
        <is>
          <t>Price Mens Hoodie</t>
        </is>
      </c>
      <c r="D2996" s="0" t="inlineStr">
        <is>
          <t>'111555</t>
        </is>
      </c>
      <c r="E2996" s="0" t="inlineStr">
        <is>
          <t>UNI PRICE GREY:111555C-L</t>
        </is>
      </c>
      <c r="F2996" s="0" t="inlineStr">
        <is>
          <t>'802111555062</t>
        </is>
      </c>
      <c r="G2996" s="0" t="inlineStr">
        <is>
          <t>MENS</t>
        </is>
      </c>
      <c r="H2996" s="0" t="inlineStr">
        <is>
          <t>L</t>
        </is>
      </c>
      <c r="I2996" s="0">
        <v>54.99</v>
      </c>
      <c r="J2996" s="0">
        <v>10</v>
      </c>
    </row>
    <row r="2997" spans="1:10" customHeight="0">
      <c r="A2997" s="0">
        <f>HYPERLINK("https://dl.dropboxusercontent.com/scl/fi/et1th73ls6hdaizqnpue4/111555af.png?rlkey=ask3phel9xctk1bks6snsrkxz&amp;dl=0","Click to download Image")</f>
      </c>
      <c r="B2997" s="0">
        <f>HYPERLINK("https://dl.dropboxusercontent.com/scl/fi/0v8kkqncln7ig4n66rxhj/mens-hoodie-size-chartsprice.jpg?rlkey=t9ks3fri96npkovqu1kvd1ncg&amp;dl=0","Click to download SizeChart")</f>
      </c>
      <c r="C2997" s="0" t="inlineStr">
        <is>
          <t>Price Mens Hoodie</t>
        </is>
      </c>
      <c r="D2997" s="0" t="inlineStr">
        <is>
          <t>'111555</t>
        </is>
      </c>
      <c r="E2997" s="0" t="inlineStr">
        <is>
          <t>UNI PRICE GREY:111555D-XL</t>
        </is>
      </c>
      <c r="F2997" s="0" t="inlineStr">
        <is>
          <t>'802111555079</t>
        </is>
      </c>
      <c r="G2997" s="0" t="inlineStr">
        <is>
          <t>MENS</t>
        </is>
      </c>
      <c r="H2997" s="0" t="inlineStr">
        <is>
          <t>XL</t>
        </is>
      </c>
      <c r="I2997" s="0">
        <v>54.99</v>
      </c>
      <c r="J2997" s="0">
        <v>12</v>
      </c>
    </row>
    <row r="2998" spans="1:10" customHeight="0">
      <c r="A2998" s="0">
        <f>HYPERLINK("https://dl.dropboxusercontent.com/scl/fi/et1th73ls6hdaizqnpue4/111555af.png?rlkey=ask3phel9xctk1bks6snsrkxz&amp;dl=0","Click to download Image")</f>
      </c>
      <c r="B2998" s="0">
        <f>HYPERLINK("https://dl.dropboxusercontent.com/scl/fi/0v8kkqncln7ig4n66rxhj/mens-hoodie-size-chartsprice.jpg?rlkey=t9ks3fri96npkovqu1kvd1ncg&amp;dl=0","Click to download SizeChart")</f>
      </c>
      <c r="C2998" s="0" t="inlineStr">
        <is>
          <t>Price Mens Hoodie</t>
        </is>
      </c>
      <c r="D2998" s="0" t="inlineStr">
        <is>
          <t>'111555</t>
        </is>
      </c>
      <c r="E2998" s="0" t="inlineStr">
        <is>
          <t>UNI PRICE GREY:111555E-2XL</t>
        </is>
      </c>
      <c r="F2998" s="0" t="inlineStr">
        <is>
          <t>'802111555086</t>
        </is>
      </c>
      <c r="G2998" s="0" t="inlineStr">
        <is>
          <t>MENS</t>
        </is>
      </c>
      <c r="H2998" s="0" t="inlineStr">
        <is>
          <t>2XL</t>
        </is>
      </c>
      <c r="I2998" s="0">
        <v>56.99</v>
      </c>
      <c r="J2998" s="0">
        <v>10</v>
      </c>
    </row>
    <row r="2999" spans="1:10" customHeight="0">
      <c r="A2999" s="0">
        <f>HYPERLINK("https://dl.dropboxusercontent.com/scl/fi/et1th73ls6hdaizqnpue4/111555af.png?rlkey=ask3phel9xctk1bks6snsrkxz&amp;dl=0","Click to download Image")</f>
      </c>
      <c r="B2999" s="0">
        <f>HYPERLINK("https://dl.dropboxusercontent.com/scl/fi/0v8kkqncln7ig4n66rxhj/mens-hoodie-size-chartsprice.jpg?rlkey=t9ks3fri96npkovqu1kvd1ncg&amp;dl=0","Click to download SizeChart")</f>
      </c>
      <c r="C2999" s="0" t="inlineStr">
        <is>
          <t>Price Mens Hoodie</t>
        </is>
      </c>
      <c r="D2999" s="0" t="inlineStr">
        <is>
          <t>'111555</t>
        </is>
      </c>
      <c r="E2999" s="0" t="inlineStr">
        <is>
          <t>UNI PRICE GREY:111555F-3XL</t>
        </is>
      </c>
      <c r="F2999" s="0" t="inlineStr">
        <is>
          <t>'802111555093</t>
        </is>
      </c>
      <c r="G2999" s="0" t="inlineStr">
        <is>
          <t>MENS</t>
        </is>
      </c>
      <c r="H2999" s="0" t="inlineStr">
        <is>
          <t>3XL</t>
        </is>
      </c>
      <c r="I2999" s="0">
        <v>56.99</v>
      </c>
      <c r="J2999" s="0">
        <v>5</v>
      </c>
    </row>
    <row r="3000" spans="1:10" customHeight="0">
      <c r="A3000" s="0">
        <f>HYPERLINK("https://dl.dropboxusercontent.com/scl/fi/et1th73ls6hdaizqnpue4/111555af.png?rlkey=ask3phel9xctk1bks6snsrkxz&amp;dl=0","Click to download Image")</f>
      </c>
      <c r="B3000" s="0">
        <f>HYPERLINK("https://dl.dropboxusercontent.com/scl/fi/0v8kkqncln7ig4n66rxhj/mens-hoodie-size-chartsprice.jpg?rlkey=t9ks3fri96npkovqu1kvd1ncg&amp;dl=0","Click to download SizeChart")</f>
      </c>
      <c r="C3000" s="0" t="inlineStr">
        <is>
          <t>Price Mens Hoodie</t>
        </is>
      </c>
      <c r="D3000" s="0" t="inlineStr">
        <is>
          <t>'111555</t>
        </is>
      </c>
      <c r="E3000" s="0" t="inlineStr">
        <is>
          <t>UNI PRICE GREY  12 PACK:111555Z-12PK</t>
        </is>
      </c>
      <c r="F3000" s="0" t="inlineStr">
        <is>
          <t>'802111555994</t>
        </is>
      </c>
      <c r="G3000" s="0" t="inlineStr">
        <is>
          <t>MENS</t>
        </is>
      </c>
      <c r="H3000" s="0" t="inlineStr">
        <is>
          <t>12 PACK</t>
        </is>
      </c>
      <c r="I3000" s="0">
        <v>641.88</v>
      </c>
      <c r="J3000" s="0">
        <v>0</v>
      </c>
    </row>
    <row r="3001" spans="1:10" customHeight="0">
      <c r="A3001" s="0">
        <f>HYPERLINK("https://dl.dropboxusercontent.com/scl/fi/0tg5bs2auzh0ucb6cqr3w/111554af.png?rlkey=c53ye7fwsrthq2363lbpb7n5v&amp;dl=0","Click to download Image")</f>
      </c>
      <c r="B3001" s="0">
        <f>HYPERLINK("https://dl.dropboxusercontent.com/scl/fi/0v8kkqncln7ig4n66rxhj/mens-hoodie-size-chartsprice.jpg?rlkey=t9ks3fri96npkovqu1kvd1ncg&amp;dl=0","Click to download SizeChart")</f>
      </c>
      <c r="C3001" s="0" t="inlineStr">
        <is>
          <t>Price Mens Hoodie</t>
        </is>
      </c>
      <c r="D3001" s="0" t="inlineStr">
        <is>
          <t>'111554</t>
        </is>
      </c>
      <c r="E3001" s="0" t="inlineStr">
        <is>
          <t>ISU PRICE GREY:111554A-S</t>
        </is>
      </c>
      <c r="F3001" s="0" t="inlineStr">
        <is>
          <t>'801111554044</t>
        </is>
      </c>
      <c r="G3001" s="0" t="inlineStr">
        <is>
          <t>MENS</t>
        </is>
      </c>
      <c r="H3001" s="0" t="inlineStr">
        <is>
          <t>S</t>
        </is>
      </c>
      <c r="I3001" s="0">
        <v>54.99</v>
      </c>
      <c r="J3001" s="0">
        <v>0</v>
      </c>
    </row>
    <row r="3002" spans="1:10" customHeight="0">
      <c r="A3002" s="0">
        <f>HYPERLINK("https://dl.dropboxusercontent.com/scl/fi/0tg5bs2auzh0ucb6cqr3w/111554af.png?rlkey=c53ye7fwsrthq2363lbpb7n5v&amp;dl=0","Click to download Image")</f>
      </c>
      <c r="B3002" s="0">
        <f>HYPERLINK("https://dl.dropboxusercontent.com/scl/fi/0v8kkqncln7ig4n66rxhj/mens-hoodie-size-chartsprice.jpg?rlkey=t9ks3fri96npkovqu1kvd1ncg&amp;dl=0","Click to download SizeChart")</f>
      </c>
      <c r="C3002" s="0" t="inlineStr">
        <is>
          <t>Price Mens Hoodie</t>
        </is>
      </c>
      <c r="D3002" s="0" t="inlineStr">
        <is>
          <t>'111554</t>
        </is>
      </c>
      <c r="E3002" s="0" t="inlineStr">
        <is>
          <t>ISU PRICE GREY:111554B-M</t>
        </is>
      </c>
      <c r="F3002" s="0" t="inlineStr">
        <is>
          <t>'801111554051</t>
        </is>
      </c>
      <c r="G3002" s="0" t="inlineStr">
        <is>
          <t>MENS</t>
        </is>
      </c>
      <c r="H3002" s="0" t="inlineStr">
        <is>
          <t>M</t>
        </is>
      </c>
      <c r="I3002" s="0">
        <v>54.99</v>
      </c>
      <c r="J3002" s="0">
        <v>4</v>
      </c>
    </row>
    <row r="3003" spans="1:10" customHeight="0">
      <c r="A3003" s="0">
        <f>HYPERLINK("https://dl.dropboxusercontent.com/scl/fi/0tg5bs2auzh0ucb6cqr3w/111554af.png?rlkey=c53ye7fwsrthq2363lbpb7n5v&amp;dl=0","Click to download Image")</f>
      </c>
      <c r="B3003" s="0">
        <f>HYPERLINK("https://dl.dropboxusercontent.com/scl/fi/0v8kkqncln7ig4n66rxhj/mens-hoodie-size-chartsprice.jpg?rlkey=t9ks3fri96npkovqu1kvd1ncg&amp;dl=0","Click to download SizeChart")</f>
      </c>
      <c r="C3003" s="0" t="inlineStr">
        <is>
          <t>Price Mens Hoodie</t>
        </is>
      </c>
      <c r="D3003" s="0" t="inlineStr">
        <is>
          <t>'111554</t>
        </is>
      </c>
      <c r="E3003" s="0" t="inlineStr">
        <is>
          <t>ISU PRICE GREY:111554C-L</t>
        </is>
      </c>
      <c r="F3003" s="0" t="inlineStr">
        <is>
          <t>'801111554068</t>
        </is>
      </c>
      <c r="G3003" s="0" t="inlineStr">
        <is>
          <t>MENS</t>
        </is>
      </c>
      <c r="H3003" s="0" t="inlineStr">
        <is>
          <t>L</t>
        </is>
      </c>
      <c r="I3003" s="0">
        <v>54.99</v>
      </c>
      <c r="J3003" s="0">
        <v>0</v>
      </c>
    </row>
    <row r="3004" spans="1:10" customHeight="0">
      <c r="A3004" s="0">
        <f>HYPERLINK("https://dl.dropboxusercontent.com/scl/fi/0tg5bs2auzh0ucb6cqr3w/111554af.png?rlkey=c53ye7fwsrthq2363lbpb7n5v&amp;dl=0","Click to download Image")</f>
      </c>
      <c r="B3004" s="0">
        <f>HYPERLINK("https://dl.dropboxusercontent.com/scl/fi/0v8kkqncln7ig4n66rxhj/mens-hoodie-size-chartsprice.jpg?rlkey=t9ks3fri96npkovqu1kvd1ncg&amp;dl=0","Click to download SizeChart")</f>
      </c>
      <c r="C3004" s="0" t="inlineStr">
        <is>
          <t>Price Mens Hoodie</t>
        </is>
      </c>
      <c r="D3004" s="0" t="inlineStr">
        <is>
          <t>'111554</t>
        </is>
      </c>
      <c r="E3004" s="0" t="inlineStr">
        <is>
          <t>ISU PRICE GREY:111554D-XL</t>
        </is>
      </c>
      <c r="F3004" s="0" t="inlineStr">
        <is>
          <t>'801111554075</t>
        </is>
      </c>
      <c r="G3004" s="0" t="inlineStr">
        <is>
          <t>MENS</t>
        </is>
      </c>
      <c r="H3004" s="0" t="inlineStr">
        <is>
          <t>XL</t>
        </is>
      </c>
      <c r="I3004" s="0">
        <v>54.99</v>
      </c>
      <c r="J3004" s="0">
        <v>1</v>
      </c>
    </row>
    <row r="3005" spans="1:10" customHeight="0">
      <c r="A3005" s="0">
        <f>HYPERLINK("https://dl.dropboxusercontent.com/scl/fi/0tg5bs2auzh0ucb6cqr3w/111554af.png?rlkey=c53ye7fwsrthq2363lbpb7n5v&amp;dl=0","Click to download Image")</f>
      </c>
      <c r="B3005" s="0">
        <f>HYPERLINK("https://dl.dropboxusercontent.com/scl/fi/0v8kkqncln7ig4n66rxhj/mens-hoodie-size-chartsprice.jpg?rlkey=t9ks3fri96npkovqu1kvd1ncg&amp;dl=0","Click to download SizeChart")</f>
      </c>
      <c r="C3005" s="0" t="inlineStr">
        <is>
          <t>Price Mens Hoodie</t>
        </is>
      </c>
      <c r="D3005" s="0" t="inlineStr">
        <is>
          <t>'111554</t>
        </is>
      </c>
      <c r="E3005" s="0" t="inlineStr">
        <is>
          <t>ISU PRICE GREY:111554E-2XL</t>
        </is>
      </c>
      <c r="F3005" s="0" t="inlineStr">
        <is>
          <t>'801111554082</t>
        </is>
      </c>
      <c r="G3005" s="0" t="inlineStr">
        <is>
          <t>MENS</t>
        </is>
      </c>
      <c r="H3005" s="0" t="inlineStr">
        <is>
          <t>2XL</t>
        </is>
      </c>
      <c r="I3005" s="0">
        <v>56.99</v>
      </c>
      <c r="J3005" s="0">
        <v>3</v>
      </c>
    </row>
    <row r="3006" spans="1:10" customHeight="0">
      <c r="A3006" s="0">
        <f>HYPERLINK("https://dl.dropboxusercontent.com/scl/fi/0tg5bs2auzh0ucb6cqr3w/111554af.png?rlkey=c53ye7fwsrthq2363lbpb7n5v&amp;dl=0","Click to download Image")</f>
      </c>
      <c r="B3006" s="0">
        <f>HYPERLINK("https://dl.dropboxusercontent.com/scl/fi/0v8kkqncln7ig4n66rxhj/mens-hoodie-size-chartsprice.jpg?rlkey=t9ks3fri96npkovqu1kvd1ncg&amp;dl=0","Click to download SizeChart")</f>
      </c>
      <c r="C3006" s="0" t="inlineStr">
        <is>
          <t>Price Mens Hoodie</t>
        </is>
      </c>
      <c r="D3006" s="0" t="inlineStr">
        <is>
          <t>'111554</t>
        </is>
      </c>
      <c r="E3006" s="0" t="inlineStr">
        <is>
          <t>ISU PRICE GREY:111554F-3XL</t>
        </is>
      </c>
      <c r="F3006" s="0" t="inlineStr">
        <is>
          <t>'801111554099</t>
        </is>
      </c>
      <c r="G3006" s="0" t="inlineStr">
        <is>
          <t>MENS</t>
        </is>
      </c>
      <c r="H3006" s="0" t="inlineStr">
        <is>
          <t>3XL</t>
        </is>
      </c>
      <c r="I3006" s="0">
        <v>56.99</v>
      </c>
      <c r="J3006" s="0">
        <v>0</v>
      </c>
    </row>
    <row r="3007" spans="1:10" customHeight="0">
      <c r="A3007" s="0">
        <f>HYPERLINK("https://dl.dropboxusercontent.com/scl/fi/0tg5bs2auzh0ucb6cqr3w/111554af.png?rlkey=c53ye7fwsrthq2363lbpb7n5v&amp;dl=0","Click to download Image")</f>
      </c>
      <c r="B3007" s="0">
        <f>HYPERLINK("https://dl.dropboxusercontent.com/scl/fi/0v8kkqncln7ig4n66rxhj/mens-hoodie-size-chartsprice.jpg?rlkey=t9ks3fri96npkovqu1kvd1ncg&amp;dl=0","Click to download SizeChart")</f>
      </c>
      <c r="C3007" s="0" t="inlineStr">
        <is>
          <t>Price Mens Hoodie</t>
        </is>
      </c>
      <c r="D3007" s="0" t="inlineStr">
        <is>
          <t>'111554</t>
        </is>
      </c>
      <c r="E3007" s="0" t="inlineStr">
        <is>
          <t>ISU PRICE GREY 12 PACK:111554Z-12PK</t>
        </is>
      </c>
      <c r="F3007" s="0" t="inlineStr">
        <is>
          <t>'801111554990</t>
        </is>
      </c>
      <c r="G3007" s="0" t="inlineStr">
        <is>
          <t>MENS</t>
        </is>
      </c>
      <c r="H3007" s="0" t="inlineStr">
        <is>
          <t>12 PACK</t>
        </is>
      </c>
      <c r="I3007" s="0">
        <v>641.88</v>
      </c>
      <c r="J3007" s="0">
        <v>0</v>
      </c>
    </row>
    <row r="3008" spans="1:10" customHeight="0">
      <c r="A3008" s="0">
        <f>HYPERLINK("https://dl.dropboxusercontent.com/scl/fi/6164sm16vsuuga7cwmq3g/111553af.png?rlkey=7sf5inflqz9qspl2yu5747xto&amp;dl=0","Click to download Image")</f>
      </c>
      <c r="B3008" s="0">
        <f>HYPERLINK("https://dl.dropboxusercontent.com/scl/fi/0v8kkqncln7ig4n66rxhj/mens-hoodie-size-chartsprice.jpg?rlkey=t9ks3fri96npkovqu1kvd1ncg&amp;dl=0","Click to download SizeChart")</f>
      </c>
      <c r="C3008" s="0" t="inlineStr">
        <is>
          <t>Price Mens Hoodie</t>
        </is>
      </c>
      <c r="D3008" s="0" t="inlineStr">
        <is>
          <t>'111553</t>
        </is>
      </c>
      <c r="E3008" s="0" t="inlineStr">
        <is>
          <t>ISU PRICE CARDINAL:111553A-S</t>
        </is>
      </c>
      <c r="F3008" s="0" t="inlineStr">
        <is>
          <t>'801111553047</t>
        </is>
      </c>
      <c r="G3008" s="0" t="inlineStr">
        <is>
          <t>MENS</t>
        </is>
      </c>
      <c r="H3008" s="0" t="inlineStr">
        <is>
          <t>S</t>
        </is>
      </c>
      <c r="I3008" s="0">
        <v>54.99</v>
      </c>
      <c r="J3008" s="0">
        <v>0</v>
      </c>
    </row>
    <row r="3009" spans="1:10" customHeight="0">
      <c r="A3009" s="0">
        <f>HYPERLINK("https://dl.dropboxusercontent.com/scl/fi/6164sm16vsuuga7cwmq3g/111553af.png?rlkey=7sf5inflqz9qspl2yu5747xto&amp;dl=0","Click to download Image")</f>
      </c>
      <c r="B3009" s="0">
        <f>HYPERLINK("https://dl.dropboxusercontent.com/scl/fi/0v8kkqncln7ig4n66rxhj/mens-hoodie-size-chartsprice.jpg?rlkey=t9ks3fri96npkovqu1kvd1ncg&amp;dl=0","Click to download SizeChart")</f>
      </c>
      <c r="C3009" s="0" t="inlineStr">
        <is>
          <t>Price Mens Hoodie</t>
        </is>
      </c>
      <c r="D3009" s="0" t="inlineStr">
        <is>
          <t>'111553</t>
        </is>
      </c>
      <c r="E3009" s="0" t="inlineStr">
        <is>
          <t>ISU PRICE CARDINAL:111553B-M</t>
        </is>
      </c>
      <c r="F3009" s="0" t="inlineStr">
        <is>
          <t>'801111553054</t>
        </is>
      </c>
      <c r="G3009" s="0" t="inlineStr">
        <is>
          <t>MENS</t>
        </is>
      </c>
      <c r="H3009" s="0" t="inlineStr">
        <is>
          <t>M</t>
        </is>
      </c>
      <c r="I3009" s="0">
        <v>54.99</v>
      </c>
      <c r="J3009" s="0">
        <v>2</v>
      </c>
    </row>
    <row r="3010" spans="1:10" customHeight="0">
      <c r="A3010" s="0">
        <f>HYPERLINK("https://dl.dropboxusercontent.com/scl/fi/6164sm16vsuuga7cwmq3g/111553af.png?rlkey=7sf5inflqz9qspl2yu5747xto&amp;dl=0","Click to download Image")</f>
      </c>
      <c r="B3010" s="0">
        <f>HYPERLINK("https://dl.dropboxusercontent.com/scl/fi/0v8kkqncln7ig4n66rxhj/mens-hoodie-size-chartsprice.jpg?rlkey=t9ks3fri96npkovqu1kvd1ncg&amp;dl=0","Click to download SizeChart")</f>
      </c>
      <c r="C3010" s="0" t="inlineStr">
        <is>
          <t>Price Mens Hoodie</t>
        </is>
      </c>
      <c r="D3010" s="0" t="inlineStr">
        <is>
          <t>'111553</t>
        </is>
      </c>
      <c r="E3010" s="0" t="inlineStr">
        <is>
          <t>ISU PRICE CARDINAL:111553C-L</t>
        </is>
      </c>
      <c r="F3010" s="0" t="inlineStr">
        <is>
          <t>'801111553061</t>
        </is>
      </c>
      <c r="G3010" s="0" t="inlineStr">
        <is>
          <t>MENS</t>
        </is>
      </c>
      <c r="H3010" s="0" t="inlineStr">
        <is>
          <t>L</t>
        </is>
      </c>
      <c r="I3010" s="0">
        <v>54.99</v>
      </c>
      <c r="J3010" s="0">
        <v>0</v>
      </c>
    </row>
    <row r="3011" spans="1:10" customHeight="0">
      <c r="A3011" s="0">
        <f>HYPERLINK("https://dl.dropboxusercontent.com/scl/fi/6164sm16vsuuga7cwmq3g/111553af.png?rlkey=7sf5inflqz9qspl2yu5747xto&amp;dl=0","Click to download Image")</f>
      </c>
      <c r="B3011" s="0">
        <f>HYPERLINK("https://dl.dropboxusercontent.com/scl/fi/0v8kkqncln7ig4n66rxhj/mens-hoodie-size-chartsprice.jpg?rlkey=t9ks3fri96npkovqu1kvd1ncg&amp;dl=0","Click to download SizeChart")</f>
      </c>
      <c r="C3011" s="0" t="inlineStr">
        <is>
          <t>Price Mens Hoodie</t>
        </is>
      </c>
      <c r="D3011" s="0" t="inlineStr">
        <is>
          <t>'111553</t>
        </is>
      </c>
      <c r="E3011" s="0" t="inlineStr">
        <is>
          <t>ISU PRICE CARDINAL:111553D-XL</t>
        </is>
      </c>
      <c r="F3011" s="0" t="inlineStr">
        <is>
          <t>'801111553078</t>
        </is>
      </c>
      <c r="G3011" s="0" t="inlineStr">
        <is>
          <t>MENS</t>
        </is>
      </c>
      <c r="H3011" s="0" t="inlineStr">
        <is>
          <t>XL</t>
        </is>
      </c>
      <c r="I3011" s="0">
        <v>54.99</v>
      </c>
      <c r="J3011" s="0">
        <v>0</v>
      </c>
    </row>
    <row r="3012" spans="1:10" customHeight="0">
      <c r="A3012" s="0">
        <f>HYPERLINK("https://dl.dropboxusercontent.com/scl/fi/6164sm16vsuuga7cwmq3g/111553af.png?rlkey=7sf5inflqz9qspl2yu5747xto&amp;dl=0","Click to download Image")</f>
      </c>
      <c r="B3012" s="0">
        <f>HYPERLINK("https://dl.dropboxusercontent.com/scl/fi/0v8kkqncln7ig4n66rxhj/mens-hoodie-size-chartsprice.jpg?rlkey=t9ks3fri96npkovqu1kvd1ncg&amp;dl=0","Click to download SizeChart")</f>
      </c>
      <c r="C3012" s="0" t="inlineStr">
        <is>
          <t>Price Mens Hoodie</t>
        </is>
      </c>
      <c r="D3012" s="0" t="inlineStr">
        <is>
          <t>'111553</t>
        </is>
      </c>
      <c r="E3012" s="0" t="inlineStr">
        <is>
          <t>ISU PRICE CARDINAL:111553E-2XL</t>
        </is>
      </c>
      <c r="F3012" s="0" t="inlineStr">
        <is>
          <t>'801111553085</t>
        </is>
      </c>
      <c r="G3012" s="0" t="inlineStr">
        <is>
          <t>MENS</t>
        </is>
      </c>
      <c r="H3012" s="0" t="inlineStr">
        <is>
          <t>2XL</t>
        </is>
      </c>
      <c r="I3012" s="0">
        <v>56.99</v>
      </c>
      <c r="J3012" s="0">
        <v>0</v>
      </c>
    </row>
    <row r="3013" spans="1:10" customHeight="0">
      <c r="A3013" s="0">
        <f>HYPERLINK("https://dl.dropboxusercontent.com/scl/fi/6164sm16vsuuga7cwmq3g/111553af.png?rlkey=7sf5inflqz9qspl2yu5747xto&amp;dl=0","Click to download Image")</f>
      </c>
      <c r="B3013" s="0">
        <f>HYPERLINK("https://dl.dropboxusercontent.com/scl/fi/0v8kkqncln7ig4n66rxhj/mens-hoodie-size-chartsprice.jpg?rlkey=t9ks3fri96npkovqu1kvd1ncg&amp;dl=0","Click to download SizeChart")</f>
      </c>
      <c r="C3013" s="0" t="inlineStr">
        <is>
          <t>Price Mens Hoodie</t>
        </is>
      </c>
      <c r="D3013" s="0" t="inlineStr">
        <is>
          <t>'111553</t>
        </is>
      </c>
      <c r="E3013" s="0" t="inlineStr">
        <is>
          <t>ISU PRICE CARDINAL:111553F-3XL</t>
        </is>
      </c>
      <c r="F3013" s="0" t="inlineStr">
        <is>
          <t>'801111553092</t>
        </is>
      </c>
      <c r="G3013" s="0" t="inlineStr">
        <is>
          <t>MENS</t>
        </is>
      </c>
      <c r="H3013" s="0" t="inlineStr">
        <is>
          <t>3XL</t>
        </is>
      </c>
      <c r="I3013" s="0">
        <v>56.99</v>
      </c>
      <c r="J3013" s="0">
        <v>0</v>
      </c>
    </row>
    <row r="3014" spans="1:10" customHeight="0">
      <c r="A3014" s="0">
        <f>HYPERLINK("https://dl.dropboxusercontent.com/scl/fi/6164sm16vsuuga7cwmq3g/111553af.png?rlkey=7sf5inflqz9qspl2yu5747xto&amp;dl=0","Click to download Image")</f>
      </c>
      <c r="B3014" s="0">
        <f>HYPERLINK("https://dl.dropboxusercontent.com/scl/fi/0v8kkqncln7ig4n66rxhj/mens-hoodie-size-chartsprice.jpg?rlkey=t9ks3fri96npkovqu1kvd1ncg&amp;dl=0","Click to download SizeChart")</f>
      </c>
      <c r="C3014" s="0" t="inlineStr">
        <is>
          <t>Price Mens Hoodie</t>
        </is>
      </c>
      <c r="D3014" s="0" t="inlineStr">
        <is>
          <t>'111553</t>
        </is>
      </c>
      <c r="E3014" s="0" t="inlineStr">
        <is>
          <t>ISU PRICE CARDINAL 12 PACK:111553Z-12PK</t>
        </is>
      </c>
      <c r="F3014" s="0" t="inlineStr">
        <is>
          <t>'801111553993</t>
        </is>
      </c>
      <c r="G3014" s="0" t="inlineStr">
        <is>
          <t>MENS</t>
        </is>
      </c>
      <c r="H3014" s="0" t="inlineStr">
        <is>
          <t>12 PACK</t>
        </is>
      </c>
      <c r="I3014" s="0">
        <v>641.88</v>
      </c>
      <c r="J3014" s="0">
        <v>0</v>
      </c>
    </row>
    <row r="3015" spans="1:10" customHeight="0">
      <c r="A3015" s="0">
        <f>HYPERLINK("https://dl.dropboxusercontent.com/scl/fi/bfsqne40fupcv3jggdps3/isu-blkaf.jpg?rlkey=i3b1f2iztp9i9u3h0jjpduv0p&amp;dl=0","Click to download Image")</f>
      </c>
      <c r="B3015" s="0">
        <f>HYPERLINK("https://dl.dropboxusercontent.com/scl/fi/0v8kkqncln7ig4n66rxhj/mens-hoodie-size-chartsprice.jpg?rlkey=t9ks3fri96npkovqu1kvd1ncg&amp;dl=0","Click to download SizeChart")</f>
      </c>
      <c r="C3015" s="0" t="inlineStr">
        <is>
          <t>Price Mens Hoodie</t>
        </is>
      </c>
      <c r="D3015" s="0" t="inlineStr">
        <is>
          <t>'121341</t>
        </is>
      </c>
      <c r="E3015" s="0" t="inlineStr">
        <is>
          <t>ISU PRICE M BLK WHT:121341A-S</t>
        </is>
      </c>
      <c r="F3015" s="0" t="inlineStr">
        <is>
          <t>'800121341040</t>
        </is>
      </c>
      <c r="G3015" s="0" t="inlineStr">
        <is>
          <t>MENS</t>
        </is>
      </c>
      <c r="H3015" s="0" t="inlineStr">
        <is>
          <t>S</t>
        </is>
      </c>
      <c r="I3015" s="0">
        <v>54.99</v>
      </c>
      <c r="J3015" s="0">
        <v>10</v>
      </c>
    </row>
    <row r="3016" spans="1:10" customHeight="0">
      <c r="A3016" s="0">
        <f>HYPERLINK("https://dl.dropboxusercontent.com/scl/fi/bfsqne40fupcv3jggdps3/isu-blkaf.jpg?rlkey=i3b1f2iztp9i9u3h0jjpduv0p&amp;dl=0","Click to download Image")</f>
      </c>
      <c r="B3016" s="0">
        <f>HYPERLINK("https://dl.dropboxusercontent.com/scl/fi/0v8kkqncln7ig4n66rxhj/mens-hoodie-size-chartsprice.jpg?rlkey=t9ks3fri96npkovqu1kvd1ncg&amp;dl=0","Click to download SizeChart")</f>
      </c>
      <c r="C3016" s="0" t="inlineStr">
        <is>
          <t>Price Mens Hoodie</t>
        </is>
      </c>
      <c r="D3016" s="0" t="inlineStr">
        <is>
          <t>'121341</t>
        </is>
      </c>
      <c r="E3016" s="0" t="inlineStr">
        <is>
          <t>ISU PRICE M BLK WHT:121341B-M</t>
        </is>
      </c>
      <c r="F3016" s="0" t="inlineStr">
        <is>
          <t>'800121341057</t>
        </is>
      </c>
      <c r="G3016" s="0" t="inlineStr">
        <is>
          <t>MENS</t>
        </is>
      </c>
      <c r="H3016" s="0" t="inlineStr">
        <is>
          <t>M</t>
        </is>
      </c>
      <c r="I3016" s="0">
        <v>54.99</v>
      </c>
      <c r="J3016" s="0">
        <v>15</v>
      </c>
    </row>
    <row r="3017" spans="1:10" customHeight="0">
      <c r="A3017" s="0">
        <f>HYPERLINK("https://dl.dropboxusercontent.com/scl/fi/bfsqne40fupcv3jggdps3/isu-blkaf.jpg?rlkey=i3b1f2iztp9i9u3h0jjpduv0p&amp;dl=0","Click to download Image")</f>
      </c>
      <c r="B3017" s="0">
        <f>HYPERLINK("https://dl.dropboxusercontent.com/scl/fi/0v8kkqncln7ig4n66rxhj/mens-hoodie-size-chartsprice.jpg?rlkey=t9ks3fri96npkovqu1kvd1ncg&amp;dl=0","Click to download SizeChart")</f>
      </c>
      <c r="C3017" s="0" t="inlineStr">
        <is>
          <t>Price Mens Hoodie</t>
        </is>
      </c>
      <c r="D3017" s="0" t="inlineStr">
        <is>
          <t>'121341</t>
        </is>
      </c>
      <c r="E3017" s="0" t="inlineStr">
        <is>
          <t>ISU PRICE M BLK WHT:121341C-L</t>
        </is>
      </c>
      <c r="F3017" s="0" t="inlineStr">
        <is>
          <t>'800121341064</t>
        </is>
      </c>
      <c r="G3017" s="0" t="inlineStr">
        <is>
          <t>MENS</t>
        </is>
      </c>
      <c r="H3017" s="0" t="inlineStr">
        <is>
          <t>L</t>
        </is>
      </c>
      <c r="I3017" s="0">
        <v>54.99</v>
      </c>
      <c r="J3017" s="0">
        <v>0</v>
      </c>
    </row>
    <row r="3018" spans="1:10" customHeight="0">
      <c r="A3018" s="0">
        <f>HYPERLINK("https://dl.dropboxusercontent.com/scl/fi/bfsqne40fupcv3jggdps3/isu-blkaf.jpg?rlkey=i3b1f2iztp9i9u3h0jjpduv0p&amp;dl=0","Click to download Image")</f>
      </c>
      <c r="B3018" s="0">
        <f>HYPERLINK("https://dl.dropboxusercontent.com/scl/fi/0v8kkqncln7ig4n66rxhj/mens-hoodie-size-chartsprice.jpg?rlkey=t9ks3fri96npkovqu1kvd1ncg&amp;dl=0","Click to download SizeChart")</f>
      </c>
      <c r="C3018" s="0" t="inlineStr">
        <is>
          <t>Price Mens Hoodie</t>
        </is>
      </c>
      <c r="D3018" s="0" t="inlineStr">
        <is>
          <t>'121341</t>
        </is>
      </c>
      <c r="E3018" s="0" t="inlineStr">
        <is>
          <t>ISU PRICE M BLK WHT:121341D-XL</t>
        </is>
      </c>
      <c r="F3018" s="0" t="inlineStr">
        <is>
          <t>'800121341071</t>
        </is>
      </c>
      <c r="G3018" s="0" t="inlineStr">
        <is>
          <t>MENS</t>
        </is>
      </c>
      <c r="H3018" s="0" t="inlineStr">
        <is>
          <t>XL</t>
        </is>
      </c>
      <c r="I3018" s="0">
        <v>54.99</v>
      </c>
      <c r="J3018" s="0">
        <v>13</v>
      </c>
    </row>
    <row r="3019" spans="1:10" customHeight="0">
      <c r="A3019" s="0">
        <f>HYPERLINK("https://dl.dropboxusercontent.com/scl/fi/bfsqne40fupcv3jggdps3/isu-blkaf.jpg?rlkey=i3b1f2iztp9i9u3h0jjpduv0p&amp;dl=0","Click to download Image")</f>
      </c>
      <c r="B3019" s="0">
        <f>HYPERLINK("https://dl.dropboxusercontent.com/scl/fi/0v8kkqncln7ig4n66rxhj/mens-hoodie-size-chartsprice.jpg?rlkey=t9ks3fri96npkovqu1kvd1ncg&amp;dl=0","Click to download SizeChart")</f>
      </c>
      <c r="C3019" s="0" t="inlineStr">
        <is>
          <t>Price Mens Hoodie</t>
        </is>
      </c>
      <c r="D3019" s="0" t="inlineStr">
        <is>
          <t>'121341</t>
        </is>
      </c>
      <c r="E3019" s="0" t="inlineStr">
        <is>
          <t>ISU PRICE M BLK WHT:121341E-2XL</t>
        </is>
      </c>
      <c r="F3019" s="0" t="inlineStr">
        <is>
          <t>'800121341088</t>
        </is>
      </c>
      <c r="G3019" s="0" t="inlineStr">
        <is>
          <t>MENS</t>
        </is>
      </c>
      <c r="H3019" s="0" t="inlineStr">
        <is>
          <t>2XL</t>
        </is>
      </c>
      <c r="I3019" s="0">
        <v>56.99</v>
      </c>
      <c r="J3019" s="0">
        <v>4</v>
      </c>
    </row>
    <row r="3020" spans="1:10" customHeight="0">
      <c r="A3020" s="0">
        <f>HYPERLINK("https://dl.dropboxusercontent.com/scl/fi/bfsqne40fupcv3jggdps3/isu-blkaf.jpg?rlkey=i3b1f2iztp9i9u3h0jjpduv0p&amp;dl=0","Click to download Image")</f>
      </c>
      <c r="B3020" s="0">
        <f>HYPERLINK("https://dl.dropboxusercontent.com/scl/fi/0v8kkqncln7ig4n66rxhj/mens-hoodie-size-chartsprice.jpg?rlkey=t9ks3fri96npkovqu1kvd1ncg&amp;dl=0","Click to download SizeChart")</f>
      </c>
      <c r="C3020" s="0" t="inlineStr">
        <is>
          <t>Price Mens Hoodie</t>
        </is>
      </c>
      <c r="D3020" s="0" t="inlineStr">
        <is>
          <t>'121341</t>
        </is>
      </c>
      <c r="E3020" s="0" t="inlineStr">
        <is>
          <t>ISU PRICE M BLK WHT:121341F-3XL</t>
        </is>
      </c>
      <c r="F3020" s="0" t="inlineStr">
        <is>
          <t>'800121341095</t>
        </is>
      </c>
      <c r="G3020" s="0" t="inlineStr">
        <is>
          <t>MENS</t>
        </is>
      </c>
      <c r="H3020" s="0" t="inlineStr">
        <is>
          <t>3XL</t>
        </is>
      </c>
      <c r="I3020" s="0">
        <v>56.99</v>
      </c>
      <c r="J3020" s="0">
        <v>1</v>
      </c>
    </row>
    <row r="3021" spans="1:10" customHeight="0">
      <c r="A3021" s="0">
        <f>HYPERLINK("https://dl.dropboxusercontent.com/scl/fi/bfsqne40fupcv3jggdps3/isu-blkaf.jpg?rlkey=i3b1f2iztp9i9u3h0jjpduv0p&amp;dl=0","Click to download Image")</f>
      </c>
      <c r="B3021" s="0">
        <f>HYPERLINK("https://dl.dropboxusercontent.com/scl/fi/0v8kkqncln7ig4n66rxhj/mens-hoodie-size-chartsprice.jpg?rlkey=t9ks3fri96npkovqu1kvd1ncg&amp;dl=0","Click to download SizeChart")</f>
      </c>
      <c r="C3021" s="0" t="inlineStr">
        <is>
          <t>Price Mens Hoodie</t>
        </is>
      </c>
      <c r="D3021" s="0" t="inlineStr">
        <is>
          <t>'121341</t>
        </is>
      </c>
      <c r="E3021" s="0" t="inlineStr">
        <is>
          <t>ISU PRICE BLACK 12 PACK (121341)</t>
        </is>
      </c>
      <c r="F3021" s="0" t="inlineStr">
        <is>
          <t>'800109533993</t>
        </is>
      </c>
      <c r="G3021" s="0" t="inlineStr">
        <is>
          <t>MENS</t>
        </is>
      </c>
      <c r="H3021" s="0" t="inlineStr">
        <is>
          <t>12 PACK</t>
        </is>
      </c>
      <c r="I3021" s="0">
        <v>641.88</v>
      </c>
      <c r="J3021" s="0">
        <v>0</v>
      </c>
    </row>
    <row r="3022" spans="1:10" customHeight="0">
      <c r="A3022" s="0">
        <f>HYPERLINK("https://dl.dropboxusercontent.com/scl/fi/hzsluuys9auokbcqtyhlf/drakeaf.png?rlkey=4eq9pvica2hrxdu1qdiwq38rc&amp;dl=0","Click to download Image")</f>
      </c>
      <c r="B3022" s="0">
        <f>HYPERLINK("https://dl.dropboxusercontent.com/scl/fi/0v8kkqncln7ig4n66rxhj/mens-hoodie-size-chartsprice.jpg?rlkey=t9ks3fri96npkovqu1kvd1ncg&amp;dl=0","Click to download SizeChart")</f>
      </c>
      <c r="C3022" s="0" t="inlineStr">
        <is>
          <t>Price Mens Hoodie</t>
        </is>
      </c>
      <c r="D3022" s="0" t="inlineStr">
        <is>
          <t>'131685</t>
        </is>
      </c>
      <c r="E3022" s="0" t="inlineStr">
        <is>
          <t>DRK M PRICE GY:131685A-S</t>
        </is>
      </c>
      <c r="F3022" s="0" t="inlineStr">
        <is>
          <t>'817131685040</t>
        </is>
      </c>
      <c r="G3022" s="0" t="inlineStr">
        <is>
          <t>MENS</t>
        </is>
      </c>
      <c r="H3022" s="0" t="inlineStr">
        <is>
          <t>S</t>
        </is>
      </c>
      <c r="I3022" s="0">
        <v>54.99</v>
      </c>
      <c r="J3022" s="0">
        <v>2</v>
      </c>
    </row>
    <row r="3023" spans="1:10" customHeight="0">
      <c r="A3023" s="0">
        <f>HYPERLINK("https://dl.dropboxusercontent.com/scl/fi/hzsluuys9auokbcqtyhlf/drakeaf.png?rlkey=4eq9pvica2hrxdu1qdiwq38rc&amp;dl=0","Click to download Image")</f>
      </c>
      <c r="B3023" s="0">
        <f>HYPERLINK("https://dl.dropboxusercontent.com/scl/fi/0v8kkqncln7ig4n66rxhj/mens-hoodie-size-chartsprice.jpg?rlkey=t9ks3fri96npkovqu1kvd1ncg&amp;dl=0","Click to download SizeChart")</f>
      </c>
      <c r="C3023" s="0" t="inlineStr">
        <is>
          <t>Price Mens Hoodie</t>
        </is>
      </c>
      <c r="D3023" s="0" t="inlineStr">
        <is>
          <t>'131685</t>
        </is>
      </c>
      <c r="E3023" s="0" t="inlineStr">
        <is>
          <t>DRK M PRICE GY:131685B-M</t>
        </is>
      </c>
      <c r="F3023" s="0" t="inlineStr">
        <is>
          <t>'817131685057</t>
        </is>
      </c>
      <c r="G3023" s="0" t="inlineStr">
        <is>
          <t>MENS</t>
        </is>
      </c>
      <c r="H3023" s="0" t="inlineStr">
        <is>
          <t>M</t>
        </is>
      </c>
      <c r="I3023" s="0">
        <v>54.99</v>
      </c>
      <c r="J3023" s="0">
        <v>3</v>
      </c>
    </row>
    <row r="3024" spans="1:10" customHeight="0">
      <c r="A3024" s="0">
        <f>HYPERLINK("https://dl.dropboxusercontent.com/scl/fi/hzsluuys9auokbcqtyhlf/drakeaf.png?rlkey=4eq9pvica2hrxdu1qdiwq38rc&amp;dl=0","Click to download Image")</f>
      </c>
      <c r="B3024" s="0">
        <f>HYPERLINK("https://dl.dropboxusercontent.com/scl/fi/0v8kkqncln7ig4n66rxhj/mens-hoodie-size-chartsprice.jpg?rlkey=t9ks3fri96npkovqu1kvd1ncg&amp;dl=0","Click to download SizeChart")</f>
      </c>
      <c r="C3024" s="0" t="inlineStr">
        <is>
          <t>Price Mens Hoodie</t>
        </is>
      </c>
      <c r="D3024" s="0" t="inlineStr">
        <is>
          <t>'131685</t>
        </is>
      </c>
      <c r="E3024" s="0" t="inlineStr">
        <is>
          <t>DRK M PRICE GY:131685C-L</t>
        </is>
      </c>
      <c r="F3024" s="0" t="inlineStr">
        <is>
          <t>'817131685064</t>
        </is>
      </c>
      <c r="G3024" s="0" t="inlineStr">
        <is>
          <t>MENS</t>
        </is>
      </c>
      <c r="H3024" s="0" t="inlineStr">
        <is>
          <t>L</t>
        </is>
      </c>
      <c r="I3024" s="0">
        <v>54.99</v>
      </c>
      <c r="J3024" s="0">
        <v>0</v>
      </c>
    </row>
    <row r="3025" spans="1:10" customHeight="0">
      <c r="A3025" s="0">
        <f>HYPERLINK("https://dl.dropboxusercontent.com/scl/fi/hzsluuys9auokbcqtyhlf/drakeaf.png?rlkey=4eq9pvica2hrxdu1qdiwq38rc&amp;dl=0","Click to download Image")</f>
      </c>
      <c r="B3025" s="0">
        <f>HYPERLINK("https://dl.dropboxusercontent.com/scl/fi/0v8kkqncln7ig4n66rxhj/mens-hoodie-size-chartsprice.jpg?rlkey=t9ks3fri96npkovqu1kvd1ncg&amp;dl=0","Click to download SizeChart")</f>
      </c>
      <c r="C3025" s="0" t="inlineStr">
        <is>
          <t>Price Mens Hoodie</t>
        </is>
      </c>
      <c r="D3025" s="0" t="inlineStr">
        <is>
          <t>'131685</t>
        </is>
      </c>
      <c r="E3025" s="0" t="inlineStr">
        <is>
          <t>DRK M PRICE GY:131685D-XL</t>
        </is>
      </c>
      <c r="F3025" s="0" t="inlineStr">
        <is>
          <t>'817131685071</t>
        </is>
      </c>
      <c r="G3025" s="0" t="inlineStr">
        <is>
          <t>MENS</t>
        </is>
      </c>
      <c r="H3025" s="0" t="inlineStr">
        <is>
          <t>XL</t>
        </is>
      </c>
      <c r="I3025" s="0">
        <v>54.99</v>
      </c>
      <c r="J3025" s="0">
        <v>3</v>
      </c>
    </row>
    <row r="3026" spans="1:10" customHeight="0">
      <c r="A3026" s="0">
        <f>HYPERLINK("https://dl.dropboxusercontent.com/scl/fi/hzsluuys9auokbcqtyhlf/drakeaf.png?rlkey=4eq9pvica2hrxdu1qdiwq38rc&amp;dl=0","Click to download Image")</f>
      </c>
      <c r="B3026" s="0">
        <f>HYPERLINK("https://dl.dropboxusercontent.com/scl/fi/0v8kkqncln7ig4n66rxhj/mens-hoodie-size-chartsprice.jpg?rlkey=t9ks3fri96npkovqu1kvd1ncg&amp;dl=0","Click to download SizeChart")</f>
      </c>
      <c r="C3026" s="0" t="inlineStr">
        <is>
          <t>Price Mens Hoodie</t>
        </is>
      </c>
      <c r="D3026" s="0" t="inlineStr">
        <is>
          <t>'131685</t>
        </is>
      </c>
      <c r="E3026" s="0" t="inlineStr">
        <is>
          <t>DRK M PRICE GY:131685E-2XL</t>
        </is>
      </c>
      <c r="F3026" s="0" t="inlineStr">
        <is>
          <t>'817131685088</t>
        </is>
      </c>
      <c r="G3026" s="0" t="inlineStr">
        <is>
          <t>MENS</t>
        </is>
      </c>
      <c r="H3026" s="0" t="inlineStr">
        <is>
          <t>2XL</t>
        </is>
      </c>
      <c r="I3026" s="0">
        <v>56.99</v>
      </c>
      <c r="J3026" s="0">
        <v>3</v>
      </c>
    </row>
    <row r="3027" spans="1:10" customHeight="0">
      <c r="A3027" s="0">
        <f>HYPERLINK("https://dl.dropboxusercontent.com/scl/fi/hzsluuys9auokbcqtyhlf/drakeaf.png?rlkey=4eq9pvica2hrxdu1qdiwq38rc&amp;dl=0","Click to download Image")</f>
      </c>
      <c r="B3027" s="0">
        <f>HYPERLINK("https://dl.dropboxusercontent.com/scl/fi/0v8kkqncln7ig4n66rxhj/mens-hoodie-size-chartsprice.jpg?rlkey=t9ks3fri96npkovqu1kvd1ncg&amp;dl=0","Click to download SizeChart")</f>
      </c>
      <c r="C3027" s="0" t="inlineStr">
        <is>
          <t>Price Mens Hoodie</t>
        </is>
      </c>
      <c r="D3027" s="0" t="inlineStr">
        <is>
          <t>'131685</t>
        </is>
      </c>
      <c r="E3027" s="0" t="inlineStr">
        <is>
          <t>DRK M PRICE GY:131685F-3XL</t>
        </is>
      </c>
      <c r="F3027" s="0" t="inlineStr">
        <is>
          <t>'817131685095</t>
        </is>
      </c>
      <c r="G3027" s="0" t="inlineStr">
        <is>
          <t>MENS</t>
        </is>
      </c>
      <c r="H3027" s="0" t="inlineStr">
        <is>
          <t>3XL</t>
        </is>
      </c>
      <c r="I3027" s="0">
        <v>56.99</v>
      </c>
      <c r="J3027" s="0">
        <v>1</v>
      </c>
    </row>
    <row r="3028" spans="1:10" customHeight="0">
      <c r="A3028" s="0">
        <f>HYPERLINK("https://dl.dropboxusercontent.com/scl/fi/hsf4zkz7iy2n4lq2byepc/97991af.jpg?rlkey=o0d88byp9ko6s4njrpri4l3xq&amp;dl=0","Click to download Image")</f>
      </c>
      <c r="C3028" s="0" t="inlineStr">
        <is>
          <t>Heidi Convertible Crossbody</t>
        </is>
      </c>
      <c r="D3028" s="0" t="inlineStr">
        <is>
          <t>'97991</t>
        </is>
      </c>
      <c r="E3028" s="0" t="inlineStr">
        <is>
          <t>HEIDI:97991</t>
        </is>
      </c>
      <c r="F3028" s="0" t="inlineStr">
        <is>
          <t>'000000000000</t>
        </is>
      </c>
      <c r="H3028" s="0" t="inlineStr">
        <is>
          <t>9" W X 15" H X 3.75" D</t>
        </is>
      </c>
      <c r="I3028" s="0">
        <v>44.99</v>
      </c>
      <c r="J3028" s="0">
        <v>467</v>
      </c>
    </row>
    <row r="3029" spans="1:10" customHeight="0">
      <c r="A3029" s="0">
        <f>HYPERLINK("https://dl.dropboxusercontent.com/scl/fi/dpqn25gnn5ngr9a9e45t6/111768-af.jpg?rlkey=8fz0ds187bz0tgttj4l25rota&amp;dl=0","Click to download Image")</f>
      </c>
      <c r="B3029" s="0">
        <f>HYPERLINK("https://dl.dropboxusercontent.com/scl/fi/73pzble7u8sgvq1quz0vi/graphic-update22022-toddler.jpg?rlkey=8ia8iv7day0jm8meupuw2w6cy&amp;dl=0","Click to download SizeChart")</f>
      </c>
      <c r="C3029" s="0" t="inlineStr">
        <is>
          <t>Harmony Toddler Top</t>
        </is>
      </c>
      <c r="D3029" s="0" t="inlineStr">
        <is>
          <t>'111768</t>
        </is>
      </c>
      <c r="E3029" s="0" t="inlineStr">
        <is>
          <t>UNI HARMONY PURPLE:111768A-2T</t>
        </is>
      </c>
      <c r="F3029" s="0" t="inlineStr">
        <is>
          <t>'802111768080</t>
        </is>
      </c>
      <c r="G3029" s="0" t="inlineStr">
        <is>
          <t>TODDLER</t>
        </is>
      </c>
      <c r="H3029" s="0" t="inlineStr">
        <is>
          <t>2T</t>
        </is>
      </c>
      <c r="I3029" s="0">
        <v>19.99</v>
      </c>
      <c r="J3029" s="0">
        <v>17</v>
      </c>
    </row>
    <row r="3030" spans="1:10" customHeight="0">
      <c r="A3030" s="0">
        <f>HYPERLINK("https://dl.dropboxusercontent.com/scl/fi/dpqn25gnn5ngr9a9e45t6/111768-af.jpg?rlkey=8fz0ds187bz0tgttj4l25rota&amp;dl=0","Click to download Image")</f>
      </c>
      <c r="B3030" s="0">
        <f>HYPERLINK("https://dl.dropboxusercontent.com/scl/fi/73pzble7u8sgvq1quz0vi/graphic-update22022-toddler.jpg?rlkey=8ia8iv7day0jm8meupuw2w6cy&amp;dl=0","Click to download SizeChart")</f>
      </c>
      <c r="C3030" s="0" t="inlineStr">
        <is>
          <t>Harmony Toddler Top</t>
        </is>
      </c>
      <c r="D3030" s="0" t="inlineStr">
        <is>
          <t>'111768</t>
        </is>
      </c>
      <c r="E3030" s="0" t="inlineStr">
        <is>
          <t>UNI HARMONY PURPLE:111768B-3T</t>
        </is>
      </c>
      <c r="F3030" s="0" t="inlineStr">
        <is>
          <t>'802111768097</t>
        </is>
      </c>
      <c r="G3030" s="0" t="inlineStr">
        <is>
          <t>TODDLER</t>
        </is>
      </c>
      <c r="H3030" s="0" t="inlineStr">
        <is>
          <t>3T</t>
        </is>
      </c>
      <c r="I3030" s="0">
        <v>19.99</v>
      </c>
      <c r="J3030" s="0">
        <v>15</v>
      </c>
    </row>
    <row r="3031" spans="1:10" customHeight="0">
      <c r="A3031" s="0">
        <f>HYPERLINK("https://dl.dropboxusercontent.com/scl/fi/dpqn25gnn5ngr9a9e45t6/111768-af.jpg?rlkey=8fz0ds187bz0tgttj4l25rota&amp;dl=0","Click to download Image")</f>
      </c>
      <c r="B3031" s="0">
        <f>HYPERLINK("https://dl.dropboxusercontent.com/scl/fi/73pzble7u8sgvq1quz0vi/graphic-update22022-toddler.jpg?rlkey=8ia8iv7day0jm8meupuw2w6cy&amp;dl=0","Click to download SizeChart")</f>
      </c>
      <c r="C3031" s="0" t="inlineStr">
        <is>
          <t>Harmony Toddler Top</t>
        </is>
      </c>
      <c r="D3031" s="0" t="inlineStr">
        <is>
          <t>'111768</t>
        </is>
      </c>
      <c r="E3031" s="0" t="inlineStr">
        <is>
          <t>UNI HARMONY PURPLE:111768C-4T</t>
        </is>
      </c>
      <c r="F3031" s="0" t="inlineStr">
        <is>
          <t>'802111768103</t>
        </is>
      </c>
      <c r="G3031" s="0" t="inlineStr">
        <is>
          <t>TODDLER</t>
        </is>
      </c>
      <c r="H3031" s="0" t="inlineStr">
        <is>
          <t>4T</t>
        </is>
      </c>
      <c r="I3031" s="0">
        <v>19.99</v>
      </c>
      <c r="J3031" s="0">
        <v>15</v>
      </c>
    </row>
    <row r="3032" spans="1:10" customHeight="0">
      <c r="A3032" s="0">
        <f>HYPERLINK("https://dl.dropboxusercontent.com/scl/fi/dpqn25gnn5ngr9a9e45t6/111768-af.jpg?rlkey=8fz0ds187bz0tgttj4l25rota&amp;dl=0","Click to download Image")</f>
      </c>
      <c r="B3032" s="0">
        <f>HYPERLINK("https://dl.dropboxusercontent.com/scl/fi/73pzble7u8sgvq1quz0vi/graphic-update22022-toddler.jpg?rlkey=8ia8iv7day0jm8meupuw2w6cy&amp;dl=0","Click to download SizeChart")</f>
      </c>
      <c r="C3032" s="0" t="inlineStr">
        <is>
          <t>Harmony Toddler Top</t>
        </is>
      </c>
      <c r="D3032" s="0" t="inlineStr">
        <is>
          <t>'111768</t>
        </is>
      </c>
      <c r="E3032" s="0" t="inlineStr">
        <is>
          <t>UNI HARMONY PURPLE:111768D-5T</t>
        </is>
      </c>
      <c r="F3032" s="0" t="inlineStr">
        <is>
          <t>'802111768110</t>
        </is>
      </c>
      <c r="G3032" s="0" t="inlineStr">
        <is>
          <t>TODDLER</t>
        </is>
      </c>
      <c r="H3032" s="0" t="inlineStr">
        <is>
          <t>5T</t>
        </is>
      </c>
      <c r="I3032" s="0">
        <v>19.99</v>
      </c>
      <c r="J3032" s="0">
        <v>17</v>
      </c>
    </row>
    <row r="3033" spans="1:10" customHeight="0">
      <c r="A3033" s="0">
        <f>HYPERLINK("https://dl.dropboxusercontent.com/scl/fi/dpqn25gnn5ngr9a9e45t6/111768-af.jpg?rlkey=8fz0ds187bz0tgttj4l25rota&amp;dl=0","Click to download Image")</f>
      </c>
      <c r="B3033" s="0">
        <f>HYPERLINK("https://dl.dropboxusercontent.com/scl/fi/73pzble7u8sgvq1quz0vi/graphic-update22022-toddler.jpg?rlkey=8ia8iv7day0jm8meupuw2w6cy&amp;dl=0","Click to download SizeChart")</f>
      </c>
      <c r="C3033" s="0" t="inlineStr">
        <is>
          <t>Harmony Toddler Top</t>
        </is>
      </c>
      <c r="D3033" s="0" t="inlineStr">
        <is>
          <t>'111768</t>
        </is>
      </c>
      <c r="E3033" s="0" t="inlineStr">
        <is>
          <t>UNI HARMONY PURPLE 12 PACK:111768Z-12PK</t>
        </is>
      </c>
      <c r="F3033" s="0" t="inlineStr">
        <is>
          <t>'802111768998</t>
        </is>
      </c>
      <c r="G3033" s="0" t="inlineStr">
        <is>
          <t>TODDLER</t>
        </is>
      </c>
      <c r="H3033" s="0" t="inlineStr">
        <is>
          <t>12 PACK</t>
        </is>
      </c>
      <c r="I3033" s="0">
        <v>203.89</v>
      </c>
      <c r="J3033" s="0">
        <v>0</v>
      </c>
    </row>
    <row r="3034" spans="1:10" customHeight="0">
      <c r="A3034" s="0">
        <f>HYPERLINK("https://dl.dropboxusercontent.com/scl/fi/bg9gewj71ismhxfru3me2/111768-af.jpg?rlkey=3v80tqvnes2ydh1gz9tz7p8z1&amp;dl=0","Click to download Image")</f>
      </c>
      <c r="B3034" s="0">
        <f>HYPERLINK("https://dl.dropboxusercontent.com/scl/fi/01l8v8n4pjim1c0ide9g4/graphic-update22022-youth.jpg?rlkey=qjvhvd3wwe286lse6s10fglmg&amp;dl=0","Click to download SizeChart")</f>
      </c>
      <c r="C3034" s="0" t="inlineStr">
        <is>
          <t>Harmony Youth Top</t>
        </is>
      </c>
      <c r="D3034" s="0" t="inlineStr">
        <is>
          <t>'112589</t>
        </is>
      </c>
      <c r="E3034" s="0" t="inlineStr">
        <is>
          <t>UNI HARMONY YOUTH PURPLE:112589B-YS</t>
        </is>
      </c>
      <c r="F3034" s="0" t="inlineStr">
        <is>
          <t>'802112589011</t>
        </is>
      </c>
      <c r="G3034" s="0" t="inlineStr">
        <is>
          <t>YOUTH</t>
        </is>
      </c>
      <c r="H3034" s="0" t="inlineStr">
        <is>
          <t>YS</t>
        </is>
      </c>
      <c r="I3034" s="0">
        <v>19.99</v>
      </c>
      <c r="J3034" s="0">
        <v>36</v>
      </c>
    </row>
    <row r="3035" spans="1:10" customHeight="0">
      <c r="A3035" s="0">
        <f>HYPERLINK("https://dl.dropboxusercontent.com/scl/fi/bg9gewj71ismhxfru3me2/111768-af.jpg?rlkey=3v80tqvnes2ydh1gz9tz7p8z1&amp;dl=0","Click to download Image")</f>
      </c>
      <c r="B3035" s="0">
        <f>HYPERLINK("https://dl.dropboxusercontent.com/scl/fi/01l8v8n4pjim1c0ide9g4/graphic-update22022-youth.jpg?rlkey=qjvhvd3wwe286lse6s10fglmg&amp;dl=0","Click to download SizeChart")</f>
      </c>
      <c r="C3035" s="0" t="inlineStr">
        <is>
          <t>Harmony Youth Top</t>
        </is>
      </c>
      <c r="D3035" s="0" t="inlineStr">
        <is>
          <t>'112589</t>
        </is>
      </c>
      <c r="E3035" s="0" t="inlineStr">
        <is>
          <t>UNI HARMONY YOUTH PURPLE:112589C-YM</t>
        </is>
      </c>
      <c r="F3035" s="0" t="inlineStr">
        <is>
          <t>'802112589028</t>
        </is>
      </c>
      <c r="G3035" s="0" t="inlineStr">
        <is>
          <t>YOUTH</t>
        </is>
      </c>
      <c r="H3035" s="0" t="inlineStr">
        <is>
          <t>YM</t>
        </is>
      </c>
      <c r="I3035" s="0">
        <v>19.99</v>
      </c>
      <c r="J3035" s="0">
        <v>36</v>
      </c>
    </row>
    <row r="3036" spans="1:10" customHeight="0">
      <c r="A3036" s="0">
        <f>HYPERLINK("https://dl.dropboxusercontent.com/scl/fi/bg9gewj71ismhxfru3me2/111768-af.jpg?rlkey=3v80tqvnes2ydh1gz9tz7p8z1&amp;dl=0","Click to download Image")</f>
      </c>
      <c r="B3036" s="0">
        <f>HYPERLINK("https://dl.dropboxusercontent.com/scl/fi/01l8v8n4pjim1c0ide9g4/graphic-update22022-youth.jpg?rlkey=qjvhvd3wwe286lse6s10fglmg&amp;dl=0","Click to download SizeChart")</f>
      </c>
      <c r="C3036" s="0" t="inlineStr">
        <is>
          <t>Harmony Youth Top</t>
        </is>
      </c>
      <c r="D3036" s="0" t="inlineStr">
        <is>
          <t>'112589</t>
        </is>
      </c>
      <c r="E3036" s="0" t="inlineStr">
        <is>
          <t>UNI HARMONY YOUTH PURPLE:112589D-YL</t>
        </is>
      </c>
      <c r="F3036" s="0" t="inlineStr">
        <is>
          <t>'802112589035</t>
        </is>
      </c>
      <c r="G3036" s="0" t="inlineStr">
        <is>
          <t>YOUTH</t>
        </is>
      </c>
      <c r="H3036" s="0" t="inlineStr">
        <is>
          <t>YL</t>
        </is>
      </c>
      <c r="I3036" s="0">
        <v>19.99</v>
      </c>
      <c r="J3036" s="0">
        <v>36</v>
      </c>
    </row>
    <row r="3037" spans="1:10" customHeight="0">
      <c r="A3037" s="0">
        <f>HYPERLINK("https://dl.dropboxusercontent.com/scl/fi/bg9gewj71ismhxfru3me2/111768-af.jpg?rlkey=3v80tqvnes2ydh1gz9tz7p8z1&amp;dl=0","Click to download Image")</f>
      </c>
      <c r="B3037" s="0">
        <f>HYPERLINK("https://dl.dropboxusercontent.com/scl/fi/01l8v8n4pjim1c0ide9g4/graphic-update22022-youth.jpg?rlkey=qjvhvd3wwe286lse6s10fglmg&amp;dl=0","Click to download SizeChart")</f>
      </c>
      <c r="C3037" s="0" t="inlineStr">
        <is>
          <t>Harmony Youth Top</t>
        </is>
      </c>
      <c r="D3037" s="0" t="inlineStr">
        <is>
          <t>'112589</t>
        </is>
      </c>
      <c r="E3037" s="0" t="inlineStr">
        <is>
          <t>UNI HARMONY YOUTH PURPLE:112589E-YXL</t>
        </is>
      </c>
      <c r="F3037" s="0" t="inlineStr">
        <is>
          <t>'802112589042</t>
        </is>
      </c>
      <c r="G3037" s="0" t="inlineStr">
        <is>
          <t>YOUTH</t>
        </is>
      </c>
      <c r="H3037" s="0" t="inlineStr">
        <is>
          <t>YXL</t>
        </is>
      </c>
      <c r="I3037" s="0">
        <v>19.99</v>
      </c>
      <c r="J3037" s="0">
        <v>36</v>
      </c>
    </row>
    <row r="3038" spans="1:10" customHeight="0">
      <c r="A3038" s="0">
        <f>HYPERLINK("https://dl.dropboxusercontent.com/scl/fi/bg9gewj71ismhxfru3me2/111768-af.jpg?rlkey=3v80tqvnes2ydh1gz9tz7p8z1&amp;dl=0","Click to download Image")</f>
      </c>
      <c r="B3038" s="0">
        <f>HYPERLINK("https://dl.dropboxusercontent.com/scl/fi/01l8v8n4pjim1c0ide9g4/graphic-update22022-youth.jpg?rlkey=qjvhvd3wwe286lse6s10fglmg&amp;dl=0","Click to download SizeChart")</f>
      </c>
      <c r="C3038" s="0" t="inlineStr">
        <is>
          <t>Harmony Youth Top</t>
        </is>
      </c>
      <c r="D3038" s="0" t="inlineStr">
        <is>
          <t>'112589</t>
        </is>
      </c>
      <c r="E3038" s="0" t="inlineStr">
        <is>
          <t>UNI HARMONY YOUTH PURPLE 12 PACK:112589Z-12PK</t>
        </is>
      </c>
      <c r="F3038" s="0" t="inlineStr">
        <is>
          <t>'802112589998</t>
        </is>
      </c>
      <c r="G3038" s="0" t="inlineStr">
        <is>
          <t>YOUTH</t>
        </is>
      </c>
      <c r="H3038" s="0" t="inlineStr">
        <is>
          <t>12 PACK</t>
        </is>
      </c>
      <c r="I3038" s="0">
        <v>203.89</v>
      </c>
      <c r="J3038" s="0">
        <v>0</v>
      </c>
    </row>
    <row r="3039" spans="1:10" customHeight="0">
      <c r="A3039" s="0">
        <f>HYPERLINK("https://dl.dropboxusercontent.com/scl/fi/49a32m2qlc8169mfe3kb3/111769-af.jpg?rlkey=4cx9yraqh9msjeei8veg7kzs8&amp;dl=0","Click to download Image")</f>
      </c>
      <c r="B3039" s="0">
        <f>HYPERLINK("https://dl.dropboxusercontent.com/scl/fi/01l8v8n4pjim1c0ide9g4/graphic-update22022-youth.jpg?rlkey=qjvhvd3wwe286lse6s10fglmg&amp;dl=0","Click to download SizeChart")</f>
      </c>
      <c r="C3039" s="0" t="inlineStr">
        <is>
          <t>Harmony Youth Top</t>
        </is>
      </c>
      <c r="D3039" s="0" t="inlineStr">
        <is>
          <t>'112588</t>
        </is>
      </c>
      <c r="E3039" s="0" t="inlineStr">
        <is>
          <t>ISU HARMONY YOUTH CARDINAL:B-YS</t>
        </is>
      </c>
      <c r="F3039" s="0" t="inlineStr">
        <is>
          <t>'801112588017</t>
        </is>
      </c>
      <c r="G3039" s="0" t="inlineStr">
        <is>
          <t>YOUTH</t>
        </is>
      </c>
      <c r="H3039" s="0" t="inlineStr">
        <is>
          <t>YS</t>
        </is>
      </c>
      <c r="I3039" s="0">
        <v>19.99</v>
      </c>
      <c r="J3039" s="0">
        <v>0</v>
      </c>
    </row>
    <row r="3040" spans="1:10" customHeight="0">
      <c r="A3040" s="0">
        <f>HYPERLINK("https://dl.dropboxusercontent.com/scl/fi/49a32m2qlc8169mfe3kb3/111769-af.jpg?rlkey=4cx9yraqh9msjeei8veg7kzs8&amp;dl=0","Click to download Image")</f>
      </c>
      <c r="B3040" s="0">
        <f>HYPERLINK("https://dl.dropboxusercontent.com/scl/fi/01l8v8n4pjim1c0ide9g4/graphic-update22022-youth.jpg?rlkey=qjvhvd3wwe286lse6s10fglmg&amp;dl=0","Click to download SizeChart")</f>
      </c>
      <c r="C3040" s="0" t="inlineStr">
        <is>
          <t>Harmony Youth Top</t>
        </is>
      </c>
      <c r="D3040" s="0" t="inlineStr">
        <is>
          <t>'112588</t>
        </is>
      </c>
      <c r="E3040" s="0" t="inlineStr">
        <is>
          <t>ISU HARMONY YOUTH CARDINAL:C-YM</t>
        </is>
      </c>
      <c r="F3040" s="0" t="inlineStr">
        <is>
          <t>'801112588024</t>
        </is>
      </c>
      <c r="G3040" s="0" t="inlineStr">
        <is>
          <t>YOUTH</t>
        </is>
      </c>
      <c r="H3040" s="0" t="inlineStr">
        <is>
          <t>YM</t>
        </is>
      </c>
      <c r="I3040" s="0">
        <v>19.99</v>
      </c>
      <c r="J3040" s="0">
        <v>0</v>
      </c>
    </row>
    <row r="3041" spans="1:10" customHeight="0">
      <c r="A3041" s="0">
        <f>HYPERLINK("https://dl.dropboxusercontent.com/scl/fi/49a32m2qlc8169mfe3kb3/111769-af.jpg?rlkey=4cx9yraqh9msjeei8veg7kzs8&amp;dl=0","Click to download Image")</f>
      </c>
      <c r="B3041" s="0">
        <f>HYPERLINK("https://dl.dropboxusercontent.com/scl/fi/01l8v8n4pjim1c0ide9g4/graphic-update22022-youth.jpg?rlkey=qjvhvd3wwe286lse6s10fglmg&amp;dl=0","Click to download SizeChart")</f>
      </c>
      <c r="C3041" s="0" t="inlineStr">
        <is>
          <t>Harmony Youth Top</t>
        </is>
      </c>
      <c r="D3041" s="0" t="inlineStr">
        <is>
          <t>'112588</t>
        </is>
      </c>
      <c r="E3041" s="0" t="inlineStr">
        <is>
          <t>ISU HARMONY YOUTH CARDINAL:D-YL</t>
        </is>
      </c>
      <c r="F3041" s="0" t="inlineStr">
        <is>
          <t>'801112588031</t>
        </is>
      </c>
      <c r="G3041" s="0" t="inlineStr">
        <is>
          <t>YOUTH</t>
        </is>
      </c>
      <c r="H3041" s="0" t="inlineStr">
        <is>
          <t>YL</t>
        </is>
      </c>
      <c r="I3041" s="0">
        <v>19.99</v>
      </c>
      <c r="J3041" s="0">
        <v>0</v>
      </c>
    </row>
    <row r="3042" spans="1:10" customHeight="0">
      <c r="A3042" s="0">
        <f>HYPERLINK("https://dl.dropboxusercontent.com/scl/fi/49a32m2qlc8169mfe3kb3/111769-af.jpg?rlkey=4cx9yraqh9msjeei8veg7kzs8&amp;dl=0","Click to download Image")</f>
      </c>
      <c r="B3042" s="0">
        <f>HYPERLINK("https://dl.dropboxusercontent.com/scl/fi/01l8v8n4pjim1c0ide9g4/graphic-update22022-youth.jpg?rlkey=qjvhvd3wwe286lse6s10fglmg&amp;dl=0","Click to download SizeChart")</f>
      </c>
      <c r="C3042" s="0" t="inlineStr">
        <is>
          <t>Harmony Youth Top</t>
        </is>
      </c>
      <c r="D3042" s="0" t="inlineStr">
        <is>
          <t>'112588</t>
        </is>
      </c>
      <c r="E3042" s="0" t="inlineStr">
        <is>
          <t>ISU HARMONY YOUTH CARDINAL:E-YXL</t>
        </is>
      </c>
      <c r="F3042" s="0" t="inlineStr">
        <is>
          <t>'801112588048</t>
        </is>
      </c>
      <c r="G3042" s="0" t="inlineStr">
        <is>
          <t>YOUTH</t>
        </is>
      </c>
      <c r="H3042" s="0" t="inlineStr">
        <is>
          <t>YXL</t>
        </is>
      </c>
      <c r="I3042" s="0">
        <v>19.99</v>
      </c>
      <c r="J3042" s="0">
        <v>8</v>
      </c>
    </row>
    <row r="3043" spans="1:10" customHeight="0">
      <c r="A3043" s="0">
        <f>HYPERLINK("https://dl.dropboxusercontent.com/scl/fi/49a32m2qlc8169mfe3kb3/111769-af.jpg?rlkey=4cx9yraqh9msjeei8veg7kzs8&amp;dl=0","Click to download Image")</f>
      </c>
      <c r="B3043" s="0">
        <f>HYPERLINK("https://dl.dropboxusercontent.com/scl/fi/01l8v8n4pjim1c0ide9g4/graphic-update22022-youth.jpg?rlkey=qjvhvd3wwe286lse6s10fglmg&amp;dl=0","Click to download SizeChart")</f>
      </c>
      <c r="C3043" s="0" t="inlineStr">
        <is>
          <t>Harmony Youth Top</t>
        </is>
      </c>
      <c r="D3043" s="0" t="inlineStr">
        <is>
          <t>'112588</t>
        </is>
      </c>
      <c r="E3043" s="0" t="inlineStr">
        <is>
          <t>ISU HARMONY YOUTH CARDINAL 12 PACK:Z-12PK</t>
        </is>
      </c>
      <c r="F3043" s="0" t="inlineStr">
        <is>
          <t>'801112588994</t>
        </is>
      </c>
      <c r="G3043" s="0" t="inlineStr">
        <is>
          <t>YOUTH</t>
        </is>
      </c>
      <c r="H3043" s="0" t="inlineStr">
        <is>
          <t>12 PACK</t>
        </is>
      </c>
      <c r="I3043" s="0">
        <v>203.89</v>
      </c>
      <c r="J3043" s="0">
        <v>0</v>
      </c>
    </row>
    <row r="3044" spans="1:10" customHeight="0">
      <c r="A3044" s="0">
        <f>HYPERLINK("https://dl.dropboxusercontent.com/scl/fi/kawqgiwmrysv043bmsaa1/109711-af.jpg?rlkey=6dhho66c0f9qff90humu6i4xr&amp;dl=0","Click to download Image")</f>
      </c>
      <c r="B3044" s="0">
        <f>HYPERLINK("https://dl.dropboxusercontent.com/scl/fi/01l8v8n4pjim1c0ide9g4/graphic-update22022-youth.jpg?rlkey=qjvhvd3wwe286lse6s10fglmg&amp;dl=0","Click to download SizeChart")</f>
      </c>
      <c r="C3044" s="0" t="inlineStr">
        <is>
          <t>Harmony Youth Top</t>
        </is>
      </c>
      <c r="D3044" s="0" t="inlineStr">
        <is>
          <t>'112587</t>
        </is>
      </c>
      <c r="E3044" s="0" t="inlineStr">
        <is>
          <t>IOWA HARMONY YOUTH GOLD:112587B-YS</t>
        </is>
      </c>
      <c r="F3044" s="0" t="inlineStr">
        <is>
          <t>'800112587013</t>
        </is>
      </c>
      <c r="G3044" s="0" t="inlineStr">
        <is>
          <t>YOUTH</t>
        </is>
      </c>
      <c r="H3044" s="0" t="inlineStr">
        <is>
          <t>YS</t>
        </is>
      </c>
      <c r="I3044" s="0">
        <v>19.99</v>
      </c>
      <c r="J3044" s="0">
        <v>26</v>
      </c>
    </row>
    <row r="3045" spans="1:10" customHeight="0">
      <c r="A3045" s="0">
        <f>HYPERLINK("https://dl.dropboxusercontent.com/scl/fi/kawqgiwmrysv043bmsaa1/109711-af.jpg?rlkey=6dhho66c0f9qff90humu6i4xr&amp;dl=0","Click to download Image")</f>
      </c>
      <c r="B3045" s="0">
        <f>HYPERLINK("https://dl.dropboxusercontent.com/scl/fi/01l8v8n4pjim1c0ide9g4/graphic-update22022-youth.jpg?rlkey=qjvhvd3wwe286lse6s10fglmg&amp;dl=0","Click to download SizeChart")</f>
      </c>
      <c r="C3045" s="0" t="inlineStr">
        <is>
          <t>Harmony Youth Top</t>
        </is>
      </c>
      <c r="D3045" s="0" t="inlineStr">
        <is>
          <t>'112587</t>
        </is>
      </c>
      <c r="E3045" s="0" t="inlineStr">
        <is>
          <t>IOWA HARMONY YOUTH GOLD:112587C-YM</t>
        </is>
      </c>
      <c r="F3045" s="0" t="inlineStr">
        <is>
          <t>'800112587020</t>
        </is>
      </c>
      <c r="G3045" s="0" t="inlineStr">
        <is>
          <t>YOUTH</t>
        </is>
      </c>
      <c r="H3045" s="0" t="inlineStr">
        <is>
          <t>YM</t>
        </is>
      </c>
      <c r="I3045" s="0">
        <v>19.99</v>
      </c>
      <c r="J3045" s="0">
        <v>27</v>
      </c>
    </row>
    <row r="3046" spans="1:10" customHeight="0">
      <c r="A3046" s="0">
        <f>HYPERLINK("https://dl.dropboxusercontent.com/scl/fi/kawqgiwmrysv043bmsaa1/109711-af.jpg?rlkey=6dhho66c0f9qff90humu6i4xr&amp;dl=0","Click to download Image")</f>
      </c>
      <c r="B3046" s="0">
        <f>HYPERLINK("https://dl.dropboxusercontent.com/scl/fi/01l8v8n4pjim1c0ide9g4/graphic-update22022-youth.jpg?rlkey=qjvhvd3wwe286lse6s10fglmg&amp;dl=0","Click to download SizeChart")</f>
      </c>
      <c r="C3046" s="0" t="inlineStr">
        <is>
          <t>Harmony Youth Top</t>
        </is>
      </c>
      <c r="D3046" s="0" t="inlineStr">
        <is>
          <t>'112587</t>
        </is>
      </c>
      <c r="E3046" s="0" t="inlineStr">
        <is>
          <t>IOWA HARMONY YOUTH GOLD:112587D-YL</t>
        </is>
      </c>
      <c r="F3046" s="0" t="inlineStr">
        <is>
          <t>'800112587037</t>
        </is>
      </c>
      <c r="G3046" s="0" t="inlineStr">
        <is>
          <t>YOUTH</t>
        </is>
      </c>
      <c r="H3046" s="0" t="inlineStr">
        <is>
          <t>YL</t>
        </is>
      </c>
      <c r="I3046" s="0">
        <v>19.99</v>
      </c>
      <c r="J3046" s="0">
        <v>27</v>
      </c>
    </row>
    <row r="3047" spans="1:10" customHeight="0">
      <c r="A3047" s="0">
        <f>HYPERLINK("https://dl.dropboxusercontent.com/scl/fi/kawqgiwmrysv043bmsaa1/109711-af.jpg?rlkey=6dhho66c0f9qff90humu6i4xr&amp;dl=0","Click to download Image")</f>
      </c>
      <c r="B3047" s="0">
        <f>HYPERLINK("https://dl.dropboxusercontent.com/scl/fi/01l8v8n4pjim1c0ide9g4/graphic-update22022-youth.jpg?rlkey=qjvhvd3wwe286lse6s10fglmg&amp;dl=0","Click to download SizeChart")</f>
      </c>
      <c r="C3047" s="0" t="inlineStr">
        <is>
          <t>Harmony Youth Top</t>
        </is>
      </c>
      <c r="D3047" s="0" t="inlineStr">
        <is>
          <t>'112587</t>
        </is>
      </c>
      <c r="E3047" s="0" t="inlineStr">
        <is>
          <t>IOWA HARMONY YOUTH GOLD:112587E-YXL</t>
        </is>
      </c>
      <c r="F3047" s="0" t="inlineStr">
        <is>
          <t>'800112587044</t>
        </is>
      </c>
      <c r="G3047" s="0" t="inlineStr">
        <is>
          <t>YOUTH</t>
        </is>
      </c>
      <c r="H3047" s="0" t="inlineStr">
        <is>
          <t>YXL</t>
        </is>
      </c>
      <c r="I3047" s="0">
        <v>19.99</v>
      </c>
      <c r="J3047" s="0">
        <v>27</v>
      </c>
    </row>
    <row r="3048" spans="1:10" customHeight="0">
      <c r="A3048" s="0">
        <f>HYPERLINK("https://dl.dropboxusercontent.com/scl/fi/kawqgiwmrysv043bmsaa1/109711-af.jpg?rlkey=6dhho66c0f9qff90humu6i4xr&amp;dl=0","Click to download Image")</f>
      </c>
      <c r="B3048" s="0">
        <f>HYPERLINK("https://dl.dropboxusercontent.com/scl/fi/01l8v8n4pjim1c0ide9g4/graphic-update22022-youth.jpg?rlkey=qjvhvd3wwe286lse6s10fglmg&amp;dl=0","Click to download SizeChart")</f>
      </c>
      <c r="C3048" s="0" t="inlineStr">
        <is>
          <t>Harmony Youth Top</t>
        </is>
      </c>
      <c r="D3048" s="0" t="inlineStr">
        <is>
          <t>'112587</t>
        </is>
      </c>
      <c r="E3048" s="0" t="inlineStr">
        <is>
          <t>IOWA HARMONY YOUTH GOLD 12 PACK:112587Z-12PK</t>
        </is>
      </c>
      <c r="F3048" s="0" t="inlineStr">
        <is>
          <t>'800112587990</t>
        </is>
      </c>
      <c r="G3048" s="0" t="inlineStr">
        <is>
          <t>YOUTH</t>
        </is>
      </c>
      <c r="H3048" s="0" t="inlineStr">
        <is>
          <t>12 PACK</t>
        </is>
      </c>
      <c r="I3048" s="0">
        <v>203.89</v>
      </c>
      <c r="J3048" s="0">
        <v>0</v>
      </c>
    </row>
    <row r="3049" spans="1:10" customHeight="0">
      <c r="A3049" s="0">
        <f>HYPERLINK("https://dl.dropboxusercontent.com/scl/fi/axg8bney94gi31kd88f5f/111886af.jpg?rlkey=eowelast87i5ouesha1rl6tbr&amp;dl=0","Click to download Image")</f>
      </c>
      <c r="B3049" s="0">
        <f>HYPERLINK("https://dl.dropboxusercontent.com/scl/fi/17w4r48ablkl0luz17mrj/womens-t-shirt-size-chartskaren.jpg?rlkey=114k67rppswz8ptnvpwn202e7&amp;dl=0","Click to download SizeChart")</f>
      </c>
      <c r="C3049" s="0" t="inlineStr">
        <is>
          <t>Karen Women's Twist Knot Crop T-Shirt</t>
        </is>
      </c>
      <c r="D3049" s="0" t="inlineStr">
        <is>
          <t>'111886</t>
        </is>
      </c>
      <c r="E3049" s="0" t="inlineStr">
        <is>
          <t>IOWA KAREN WHITE:111886AA-XS</t>
        </is>
      </c>
      <c r="F3049" s="0" t="inlineStr">
        <is>
          <t>'800111886032</t>
        </is>
      </c>
      <c r="G3049" s="0" t="inlineStr">
        <is>
          <t>WOMENS</t>
        </is>
      </c>
      <c r="H3049" s="0" t="inlineStr">
        <is>
          <t>XS</t>
        </is>
      </c>
      <c r="I3049" s="0">
        <v>29.99</v>
      </c>
      <c r="J3049" s="0">
        <v>4</v>
      </c>
    </row>
    <row r="3050" spans="1:10" customHeight="0">
      <c r="A3050" s="0">
        <f>HYPERLINK("https://dl.dropboxusercontent.com/scl/fi/axg8bney94gi31kd88f5f/111886af.jpg?rlkey=eowelast87i5ouesha1rl6tbr&amp;dl=0","Click to download Image")</f>
      </c>
      <c r="B3050" s="0">
        <f>HYPERLINK("https://dl.dropboxusercontent.com/scl/fi/17w4r48ablkl0luz17mrj/womens-t-shirt-size-chartskaren.jpg?rlkey=114k67rppswz8ptnvpwn202e7&amp;dl=0","Click to download SizeChart")</f>
      </c>
      <c r="C3050" s="0" t="inlineStr">
        <is>
          <t>Karen Women's Twist Knot Crop T-Shirt</t>
        </is>
      </c>
      <c r="D3050" s="0" t="inlineStr">
        <is>
          <t>'111886</t>
        </is>
      </c>
      <c r="E3050" s="0" t="inlineStr">
        <is>
          <t>IOWA KAREN WHITE:111886A-S</t>
        </is>
      </c>
      <c r="F3050" s="0" t="inlineStr">
        <is>
          <t>'800111886049</t>
        </is>
      </c>
      <c r="G3050" s="0" t="inlineStr">
        <is>
          <t>WOMENS</t>
        </is>
      </c>
      <c r="H3050" s="0" t="inlineStr">
        <is>
          <t>S</t>
        </is>
      </c>
      <c r="I3050" s="0">
        <v>29.99</v>
      </c>
      <c r="J3050" s="0">
        <v>0</v>
      </c>
    </row>
    <row r="3051" spans="1:10" customHeight="0">
      <c r="A3051" s="0">
        <f>HYPERLINK("https://dl.dropboxusercontent.com/scl/fi/axg8bney94gi31kd88f5f/111886af.jpg?rlkey=eowelast87i5ouesha1rl6tbr&amp;dl=0","Click to download Image")</f>
      </c>
      <c r="B3051" s="0">
        <f>HYPERLINK("https://dl.dropboxusercontent.com/scl/fi/17w4r48ablkl0luz17mrj/womens-t-shirt-size-chartskaren.jpg?rlkey=114k67rppswz8ptnvpwn202e7&amp;dl=0","Click to download SizeChart")</f>
      </c>
      <c r="C3051" s="0" t="inlineStr">
        <is>
          <t>Karen Women's Twist Knot Crop T-Shirt</t>
        </is>
      </c>
      <c r="D3051" s="0" t="inlineStr">
        <is>
          <t>'111886</t>
        </is>
      </c>
      <c r="E3051" s="0" t="inlineStr">
        <is>
          <t>IOWA KAREN WHITE:111886B-M</t>
        </is>
      </c>
      <c r="F3051" s="0" t="inlineStr">
        <is>
          <t>'800111886056</t>
        </is>
      </c>
      <c r="G3051" s="0" t="inlineStr">
        <is>
          <t>WOMENS</t>
        </is>
      </c>
      <c r="H3051" s="0" t="inlineStr">
        <is>
          <t>M</t>
        </is>
      </c>
      <c r="I3051" s="0">
        <v>29.99</v>
      </c>
      <c r="J3051" s="0">
        <v>0</v>
      </c>
    </row>
    <row r="3052" spans="1:10" customHeight="0">
      <c r="A3052" s="0">
        <f>HYPERLINK("https://dl.dropboxusercontent.com/scl/fi/axg8bney94gi31kd88f5f/111886af.jpg?rlkey=eowelast87i5ouesha1rl6tbr&amp;dl=0","Click to download Image")</f>
      </c>
      <c r="B3052" s="0">
        <f>HYPERLINK("https://dl.dropboxusercontent.com/scl/fi/17w4r48ablkl0luz17mrj/womens-t-shirt-size-chartskaren.jpg?rlkey=114k67rppswz8ptnvpwn202e7&amp;dl=0","Click to download SizeChart")</f>
      </c>
      <c r="C3052" s="0" t="inlineStr">
        <is>
          <t>Karen Women's Twist Knot Crop T-Shirt</t>
        </is>
      </c>
      <c r="D3052" s="0" t="inlineStr">
        <is>
          <t>'111886</t>
        </is>
      </c>
      <c r="E3052" s="0" t="inlineStr">
        <is>
          <t>IOWA KAREN WHITE:111886C-L</t>
        </is>
      </c>
      <c r="F3052" s="0" t="inlineStr">
        <is>
          <t>'800111886063</t>
        </is>
      </c>
      <c r="G3052" s="0" t="inlineStr">
        <is>
          <t>WOMENS</t>
        </is>
      </c>
      <c r="H3052" s="0" t="inlineStr">
        <is>
          <t>L</t>
        </is>
      </c>
      <c r="I3052" s="0">
        <v>29.99</v>
      </c>
      <c r="J3052" s="0">
        <v>0</v>
      </c>
    </row>
    <row r="3053" spans="1:10" customHeight="0">
      <c r="A3053" s="0">
        <f>HYPERLINK("https://dl.dropboxusercontent.com/scl/fi/axg8bney94gi31kd88f5f/111886af.jpg?rlkey=eowelast87i5ouesha1rl6tbr&amp;dl=0","Click to download Image")</f>
      </c>
      <c r="B3053" s="0">
        <f>HYPERLINK("https://dl.dropboxusercontent.com/scl/fi/17w4r48ablkl0luz17mrj/womens-t-shirt-size-chartskaren.jpg?rlkey=114k67rppswz8ptnvpwn202e7&amp;dl=0","Click to download SizeChart")</f>
      </c>
      <c r="C3053" s="0" t="inlineStr">
        <is>
          <t>Karen Women's Twist Knot Crop T-Shirt</t>
        </is>
      </c>
      <c r="D3053" s="0" t="inlineStr">
        <is>
          <t>'111886</t>
        </is>
      </c>
      <c r="E3053" s="0" t="inlineStr">
        <is>
          <t>IOWA KAREN WHITE:111886D-XL</t>
        </is>
      </c>
      <c r="F3053" s="0" t="inlineStr">
        <is>
          <t>'800111886070</t>
        </is>
      </c>
      <c r="G3053" s="0" t="inlineStr">
        <is>
          <t>WOMENS</t>
        </is>
      </c>
      <c r="H3053" s="0" t="inlineStr">
        <is>
          <t>XL</t>
        </is>
      </c>
      <c r="I3053" s="0">
        <v>29.99</v>
      </c>
      <c r="J3053" s="0">
        <v>1</v>
      </c>
    </row>
    <row r="3054" spans="1:10" customHeight="0">
      <c r="A3054" s="0">
        <f>HYPERLINK("https://dl.dropboxusercontent.com/scl/fi/axg8bney94gi31kd88f5f/111886af.jpg?rlkey=eowelast87i5ouesha1rl6tbr&amp;dl=0","Click to download Image")</f>
      </c>
      <c r="B3054" s="0">
        <f>HYPERLINK("https://dl.dropboxusercontent.com/scl/fi/17w4r48ablkl0luz17mrj/womens-t-shirt-size-chartskaren.jpg?rlkey=114k67rppswz8ptnvpwn202e7&amp;dl=0","Click to download SizeChart")</f>
      </c>
      <c r="C3054" s="0" t="inlineStr">
        <is>
          <t>Karen Women's Twist Knot Crop T-Shirt</t>
        </is>
      </c>
      <c r="D3054" s="0" t="inlineStr">
        <is>
          <t>'111886</t>
        </is>
      </c>
      <c r="E3054" s="0" t="inlineStr">
        <is>
          <t>IOWA KAREN WHITE:111886E-2XL</t>
        </is>
      </c>
      <c r="F3054" s="0" t="inlineStr">
        <is>
          <t>'800111886087</t>
        </is>
      </c>
      <c r="G3054" s="0" t="inlineStr">
        <is>
          <t>WOMENS</t>
        </is>
      </c>
      <c r="H3054" s="0" t="inlineStr">
        <is>
          <t>2XL</t>
        </is>
      </c>
      <c r="I3054" s="0">
        <v>31.99</v>
      </c>
      <c r="J3054" s="0">
        <v>0</v>
      </c>
    </row>
    <row r="3055" spans="1:10" customHeight="0">
      <c r="A3055" s="0">
        <f>HYPERLINK("https://dl.dropboxusercontent.com/scl/fi/axg8bney94gi31kd88f5f/111886af.jpg?rlkey=eowelast87i5ouesha1rl6tbr&amp;dl=0","Click to download Image")</f>
      </c>
      <c r="B3055" s="0">
        <f>HYPERLINK("https://dl.dropboxusercontent.com/scl/fi/17w4r48ablkl0luz17mrj/womens-t-shirt-size-chartskaren.jpg?rlkey=114k67rppswz8ptnvpwn202e7&amp;dl=0","Click to download SizeChart")</f>
      </c>
      <c r="C3055" s="0" t="inlineStr">
        <is>
          <t>Karen Women's Twist Knot Crop T-Shirt</t>
        </is>
      </c>
      <c r="D3055" s="0" t="inlineStr">
        <is>
          <t>'111886</t>
        </is>
      </c>
      <c r="E3055" s="0" t="inlineStr">
        <is>
          <t>IOWA KAREN WHITE:111886F-3XL</t>
        </is>
      </c>
      <c r="F3055" s="0" t="inlineStr">
        <is>
          <t>'800111886094</t>
        </is>
      </c>
      <c r="G3055" s="0" t="inlineStr">
        <is>
          <t>WOMENS</t>
        </is>
      </c>
      <c r="H3055" s="0" t="inlineStr">
        <is>
          <t>3XL</t>
        </is>
      </c>
      <c r="I3055" s="0">
        <v>31.99</v>
      </c>
      <c r="J3055" s="0">
        <v>12</v>
      </c>
    </row>
    <row r="3056" spans="1:10" customHeight="0">
      <c r="A3056" s="0">
        <f>HYPERLINK("https://dl.dropboxusercontent.com/scl/fi/axg8bney94gi31kd88f5f/111886af.jpg?rlkey=eowelast87i5ouesha1rl6tbr&amp;dl=0","Click to download Image")</f>
      </c>
      <c r="B3056" s="0">
        <f>HYPERLINK("https://dl.dropboxusercontent.com/scl/fi/17w4r48ablkl0luz17mrj/womens-t-shirt-size-chartskaren.jpg?rlkey=114k67rppswz8ptnvpwn202e7&amp;dl=0","Click to download SizeChart")</f>
      </c>
      <c r="C3056" s="0" t="inlineStr">
        <is>
          <t>Karen Women's Twist Knot Crop T-Shirt</t>
        </is>
      </c>
      <c r="D3056" s="0" t="inlineStr">
        <is>
          <t>'111886</t>
        </is>
      </c>
      <c r="E3056" s="0" t="inlineStr">
        <is>
          <t>IOWA KAREN WHITE 12 PACK:111886Z-12PK</t>
        </is>
      </c>
      <c r="F3056" s="0" t="inlineStr">
        <is>
          <t>'800111886995</t>
        </is>
      </c>
      <c r="G3056" s="0" t="inlineStr">
        <is>
          <t>WOMENS</t>
        </is>
      </c>
      <c r="H3056" s="0" t="inlineStr">
        <is>
          <t>12 PACK</t>
        </is>
      </c>
      <c r="I3056" s="0">
        <v>280</v>
      </c>
      <c r="J3056" s="0">
        <v>0</v>
      </c>
    </row>
    <row r="3057" spans="1:10" customHeight="0">
      <c r="A3057" s="0">
        <f>HYPERLINK("https://dl.dropboxusercontent.com/scl/fi/nunws770yfohr480ueot4/95972af.jpg?rlkey=uy5bwoa6qsyadmhmajdue1xl0&amp;dl=0","Click to download Image")</f>
      </c>
      <c r="C3057" s="0" t="inlineStr">
        <is>
          <t>Katelyn Duffle Bag</t>
        </is>
      </c>
      <c r="D3057" s="0" t="inlineStr">
        <is>
          <t>'95972</t>
        </is>
      </c>
      <c r="E3057" s="0" t="inlineStr">
        <is>
          <t>KATELYN:95972</t>
        </is>
      </c>
      <c r="F3057" s="0" t="inlineStr">
        <is>
          <t>'000000000000</t>
        </is>
      </c>
      <c r="H3057" s="0" t="inlineStr">
        <is>
          <t>21.5" W X 8.5" H  X 8.5" D</t>
        </is>
      </c>
      <c r="I3057" s="0">
        <v>39.99</v>
      </c>
      <c r="J3057" s="0">
        <v>389</v>
      </c>
    </row>
    <row r="3058" spans="1:10" customHeight="0">
      <c r="A3058" s="0">
        <f>HYPERLINK("https://dl.dropboxusercontent.com/scl/fi/0cggqyxeroxq1bolru5gi/111829af.jpg?rlkey=95txykngfu3b4bjj78txq2h0c&amp;dl=0","Click to download Image")</f>
      </c>
      <c r="B3058" s="0">
        <f>HYPERLINK("https://dl.dropboxusercontent.com/scl/fi/mput0zpwfeessspqc9p75/graphic-update2022-womens.jpg?rlkey=uvccmsxr95v1pqjcluzly49l8&amp;dl=0","Click to download SizeChart")</f>
      </c>
      <c r="C3058" s="0" t="inlineStr">
        <is>
          <t>Kayla Women's Crop Cutout Sweatshirt</t>
        </is>
      </c>
      <c r="D3058" s="0" t="inlineStr">
        <is>
          <t>'111829</t>
        </is>
      </c>
      <c r="E3058" s="0" t="inlineStr">
        <is>
          <t>IOWA KAYLA CROP:111829AA-XS</t>
        </is>
      </c>
      <c r="F3058" s="0" t="inlineStr">
        <is>
          <t>'800111829039</t>
        </is>
      </c>
      <c r="G3058" s="0" t="inlineStr">
        <is>
          <t>WOMENS</t>
        </is>
      </c>
      <c r="H3058" s="0" t="inlineStr">
        <is>
          <t>XS</t>
        </is>
      </c>
      <c r="I3058" s="0">
        <v>49.99</v>
      </c>
      <c r="J3058" s="0">
        <v>24</v>
      </c>
    </row>
    <row r="3059" spans="1:10" customHeight="0">
      <c r="A3059" s="0">
        <f>HYPERLINK("https://dl.dropboxusercontent.com/scl/fi/0cggqyxeroxq1bolru5gi/111829af.jpg?rlkey=95txykngfu3b4bjj78txq2h0c&amp;dl=0","Click to download Image")</f>
      </c>
      <c r="B3059" s="0">
        <f>HYPERLINK("https://dl.dropboxusercontent.com/scl/fi/mput0zpwfeessspqc9p75/graphic-update2022-womens.jpg?rlkey=uvccmsxr95v1pqjcluzly49l8&amp;dl=0","Click to download SizeChart")</f>
      </c>
      <c r="C3059" s="0" t="inlineStr">
        <is>
          <t>Kayla Women's Crop Cutout Sweatshirt</t>
        </is>
      </c>
      <c r="D3059" s="0" t="inlineStr">
        <is>
          <t>'111829</t>
        </is>
      </c>
      <c r="E3059" s="0" t="inlineStr">
        <is>
          <t>IOWA KAYLA CROP:111829A-S</t>
        </is>
      </c>
      <c r="F3059" s="0" t="inlineStr">
        <is>
          <t>'800111829046</t>
        </is>
      </c>
      <c r="G3059" s="0" t="inlineStr">
        <is>
          <t>WOMENS</t>
        </is>
      </c>
      <c r="H3059" s="0" t="inlineStr">
        <is>
          <t>S</t>
        </is>
      </c>
      <c r="I3059" s="0">
        <v>49.99</v>
      </c>
      <c r="J3059" s="0">
        <v>33</v>
      </c>
    </row>
    <row r="3060" spans="1:10" customHeight="0">
      <c r="A3060" s="0">
        <f>HYPERLINK("https://dl.dropboxusercontent.com/scl/fi/0cggqyxeroxq1bolru5gi/111829af.jpg?rlkey=95txykngfu3b4bjj78txq2h0c&amp;dl=0","Click to download Image")</f>
      </c>
      <c r="B3060" s="0">
        <f>HYPERLINK("https://dl.dropboxusercontent.com/scl/fi/mput0zpwfeessspqc9p75/graphic-update2022-womens.jpg?rlkey=uvccmsxr95v1pqjcluzly49l8&amp;dl=0","Click to download SizeChart")</f>
      </c>
      <c r="C3060" s="0" t="inlineStr">
        <is>
          <t>Kayla Women's Crop Cutout Sweatshirt</t>
        </is>
      </c>
      <c r="D3060" s="0" t="inlineStr">
        <is>
          <t>'111829</t>
        </is>
      </c>
      <c r="E3060" s="0" t="inlineStr">
        <is>
          <t>IOWA KAYLA CROP:111829B-M</t>
        </is>
      </c>
      <c r="F3060" s="0" t="inlineStr">
        <is>
          <t>'800111829053</t>
        </is>
      </c>
      <c r="G3060" s="0" t="inlineStr">
        <is>
          <t>WOMENS</t>
        </is>
      </c>
      <c r="H3060" s="0" t="inlineStr">
        <is>
          <t>M</t>
        </is>
      </c>
      <c r="I3060" s="0">
        <v>49.99</v>
      </c>
      <c r="J3060" s="0">
        <v>34</v>
      </c>
    </row>
    <row r="3061" spans="1:10" customHeight="0">
      <c r="A3061" s="0">
        <f>HYPERLINK("https://dl.dropboxusercontent.com/scl/fi/0cggqyxeroxq1bolru5gi/111829af.jpg?rlkey=95txykngfu3b4bjj78txq2h0c&amp;dl=0","Click to download Image")</f>
      </c>
      <c r="B3061" s="0">
        <f>HYPERLINK("https://dl.dropboxusercontent.com/scl/fi/mput0zpwfeessspqc9p75/graphic-update2022-womens.jpg?rlkey=uvccmsxr95v1pqjcluzly49l8&amp;dl=0","Click to download SizeChart")</f>
      </c>
      <c r="C3061" s="0" t="inlineStr">
        <is>
          <t>Kayla Women's Crop Cutout Sweatshirt</t>
        </is>
      </c>
      <c r="D3061" s="0" t="inlineStr">
        <is>
          <t>'111829</t>
        </is>
      </c>
      <c r="E3061" s="0" t="inlineStr">
        <is>
          <t>IOWA KAYLA CROP:111829C-L</t>
        </is>
      </c>
      <c r="F3061" s="0" t="inlineStr">
        <is>
          <t>'800111829060</t>
        </is>
      </c>
      <c r="G3061" s="0" t="inlineStr">
        <is>
          <t>WOMENS</t>
        </is>
      </c>
      <c r="H3061" s="0" t="inlineStr">
        <is>
          <t>L</t>
        </is>
      </c>
      <c r="I3061" s="0">
        <v>49.99</v>
      </c>
      <c r="J3061" s="0">
        <v>21</v>
      </c>
    </row>
    <row r="3062" spans="1:10" customHeight="0">
      <c r="A3062" s="0">
        <f>HYPERLINK("https://dl.dropboxusercontent.com/scl/fi/0cggqyxeroxq1bolru5gi/111829af.jpg?rlkey=95txykngfu3b4bjj78txq2h0c&amp;dl=0","Click to download Image")</f>
      </c>
      <c r="B3062" s="0">
        <f>HYPERLINK("https://dl.dropboxusercontent.com/scl/fi/mput0zpwfeessspqc9p75/graphic-update2022-womens.jpg?rlkey=uvccmsxr95v1pqjcluzly49l8&amp;dl=0","Click to download SizeChart")</f>
      </c>
      <c r="C3062" s="0" t="inlineStr">
        <is>
          <t>Kayla Women's Crop Cutout Sweatshirt</t>
        </is>
      </c>
      <c r="D3062" s="0" t="inlineStr">
        <is>
          <t>'111829</t>
        </is>
      </c>
      <c r="E3062" s="0" t="inlineStr">
        <is>
          <t>IOWA KAYLA CROP:111829D-XL</t>
        </is>
      </c>
      <c r="F3062" s="0" t="inlineStr">
        <is>
          <t>'800111829077</t>
        </is>
      </c>
      <c r="G3062" s="0" t="inlineStr">
        <is>
          <t>WOMENS</t>
        </is>
      </c>
      <c r="H3062" s="0" t="inlineStr">
        <is>
          <t>XL</t>
        </is>
      </c>
      <c r="I3062" s="0">
        <v>49.99</v>
      </c>
      <c r="J3062" s="0">
        <v>27</v>
      </c>
    </row>
    <row r="3063" spans="1:10" customHeight="0">
      <c r="A3063" s="0">
        <f>HYPERLINK("https://dl.dropboxusercontent.com/scl/fi/0cggqyxeroxq1bolru5gi/111829af.jpg?rlkey=95txykngfu3b4bjj78txq2h0c&amp;dl=0","Click to download Image")</f>
      </c>
      <c r="B3063" s="0">
        <f>HYPERLINK("https://dl.dropboxusercontent.com/scl/fi/mput0zpwfeessspqc9p75/graphic-update2022-womens.jpg?rlkey=uvccmsxr95v1pqjcluzly49l8&amp;dl=0","Click to download SizeChart")</f>
      </c>
      <c r="C3063" s="0" t="inlineStr">
        <is>
          <t>Kayla Women's Crop Cutout Sweatshirt</t>
        </is>
      </c>
      <c r="D3063" s="0" t="inlineStr">
        <is>
          <t>'111829</t>
        </is>
      </c>
      <c r="E3063" s="0" t="inlineStr">
        <is>
          <t>IOWA KAYLA CROP:111829E-2XL</t>
        </is>
      </c>
      <c r="F3063" s="0" t="inlineStr">
        <is>
          <t>'800111829084</t>
        </is>
      </c>
      <c r="G3063" s="0" t="inlineStr">
        <is>
          <t>WOMENS</t>
        </is>
      </c>
      <c r="H3063" s="0" t="inlineStr">
        <is>
          <t>2XL</t>
        </is>
      </c>
      <c r="I3063" s="0">
        <v>51.99</v>
      </c>
      <c r="J3063" s="0">
        <v>11</v>
      </c>
    </row>
    <row r="3064" spans="1:10" customHeight="0">
      <c r="A3064" s="0">
        <f>HYPERLINK("https://dl.dropboxusercontent.com/scl/fi/0cggqyxeroxq1bolru5gi/111829af.jpg?rlkey=95txykngfu3b4bjj78txq2h0c&amp;dl=0","Click to download Image")</f>
      </c>
      <c r="B3064" s="0">
        <f>HYPERLINK("https://dl.dropboxusercontent.com/scl/fi/mput0zpwfeessspqc9p75/graphic-update2022-womens.jpg?rlkey=uvccmsxr95v1pqjcluzly49l8&amp;dl=0","Click to download SizeChart")</f>
      </c>
      <c r="C3064" s="0" t="inlineStr">
        <is>
          <t>Kayla Women's Crop Cutout Sweatshirt</t>
        </is>
      </c>
      <c r="D3064" s="0" t="inlineStr">
        <is>
          <t>'111829</t>
        </is>
      </c>
      <c r="E3064" s="0" t="inlineStr">
        <is>
          <t>IOWA KAYLA CROP:111829F-3XL</t>
        </is>
      </c>
      <c r="F3064" s="0" t="inlineStr">
        <is>
          <t>'800111829091</t>
        </is>
      </c>
      <c r="G3064" s="0" t="inlineStr">
        <is>
          <t>WOMENS</t>
        </is>
      </c>
      <c r="H3064" s="0" t="inlineStr">
        <is>
          <t>3XL</t>
        </is>
      </c>
      <c r="I3064" s="0">
        <v>51.99</v>
      </c>
      <c r="J3064" s="0">
        <v>12</v>
      </c>
    </row>
    <row r="3065" spans="1:10" customHeight="0">
      <c r="A3065" s="0">
        <f>HYPERLINK("https://dl.dropboxusercontent.com/scl/fi/0cggqyxeroxq1bolru5gi/111829af.jpg?rlkey=95txykngfu3b4bjj78txq2h0c&amp;dl=0","Click to download Image")</f>
      </c>
      <c r="B3065" s="0">
        <f>HYPERLINK("https://dl.dropboxusercontent.com/scl/fi/mput0zpwfeessspqc9p75/graphic-update2022-womens.jpg?rlkey=uvccmsxr95v1pqjcluzly49l8&amp;dl=0","Click to download SizeChart")</f>
      </c>
      <c r="C3065" s="0" t="inlineStr">
        <is>
          <t>Kayla Women's Crop Cutout Sweatshirt</t>
        </is>
      </c>
      <c r="D3065" s="0" t="inlineStr">
        <is>
          <t>'111829</t>
        </is>
      </c>
      <c r="E3065" s="0" t="inlineStr">
        <is>
          <t>IOWA KAYLA CROP 12 PACK:111829Z-12PK</t>
        </is>
      </c>
      <c r="F3065" s="0" t="inlineStr">
        <is>
          <t>'800111829992</t>
        </is>
      </c>
      <c r="G3065" s="0" t="inlineStr">
        <is>
          <t>WOMENS</t>
        </is>
      </c>
      <c r="H3065" s="0" t="inlineStr">
        <is>
          <t>12 PACK</t>
        </is>
      </c>
      <c r="I3065" s="0">
        <v>480</v>
      </c>
      <c r="J3065" s="0">
        <v>0</v>
      </c>
    </row>
    <row r="3066" spans="1:10" customHeight="0">
      <c r="A3066" s="0">
        <f>HYPERLINK("https://dl.dropboxusercontent.com/scl/fi/ey7pwfpuwjt29pmx87puu/98492-f-full-outfit.jpg?rlkey=j2foyqg3o0k7nkt1xobmmboir&amp;dl=0","Click to download Image")</f>
      </c>
      <c r="C3066" s="0" t="inlineStr">
        <is>
          <t>Kendall Infant Set</t>
        </is>
      </c>
      <c r="D3066" s="0" t="inlineStr">
        <is>
          <t>'98491</t>
        </is>
      </c>
      <c r="E3066" s="0" t="inlineStr">
        <is>
          <t>KENDALL:98491A-0-3M</t>
        </is>
      </c>
      <c r="F3066" s="0" t="inlineStr">
        <is>
          <t>'000000000000</t>
        </is>
      </c>
      <c r="G3066" s="0" t="inlineStr">
        <is>
          <t>INFANT</t>
        </is>
      </c>
      <c r="H3066" s="0" t="inlineStr">
        <is>
          <t>0-3M</t>
        </is>
      </c>
      <c r="I3066" s="0">
        <v>34.99</v>
      </c>
      <c r="J3066" s="0">
        <v>173</v>
      </c>
    </row>
    <row r="3067" spans="1:10" customHeight="0">
      <c r="A3067" s="0">
        <f>HYPERLINK("https://dl.dropboxusercontent.com/scl/fi/ey7pwfpuwjt29pmx87puu/98492-f-full-outfit.jpg?rlkey=j2foyqg3o0k7nkt1xobmmboir&amp;dl=0","Click to download Image")</f>
      </c>
      <c r="C3067" s="0" t="inlineStr">
        <is>
          <t>Kendall Infant Set</t>
        </is>
      </c>
      <c r="D3067" s="0" t="inlineStr">
        <is>
          <t>'98491</t>
        </is>
      </c>
      <c r="E3067" s="0" t="inlineStr">
        <is>
          <t>KENDALL:98491B- 3-6M</t>
        </is>
      </c>
      <c r="F3067" s="0" t="inlineStr">
        <is>
          <t>'000000000000</t>
        </is>
      </c>
      <c r="G3067" s="0" t="inlineStr">
        <is>
          <t>INFANT</t>
        </is>
      </c>
      <c r="H3067" s="0" t="inlineStr">
        <is>
          <t>3-6M</t>
        </is>
      </c>
      <c r="I3067" s="0">
        <v>34.99</v>
      </c>
      <c r="J3067" s="0">
        <v>165</v>
      </c>
    </row>
    <row r="3068" spans="1:10" customHeight="0">
      <c r="A3068" s="0">
        <f>HYPERLINK("https://dl.dropboxusercontent.com/scl/fi/ey7pwfpuwjt29pmx87puu/98492-f-full-outfit.jpg?rlkey=j2foyqg3o0k7nkt1xobmmboir&amp;dl=0","Click to download Image")</f>
      </c>
      <c r="C3068" s="0" t="inlineStr">
        <is>
          <t>Kendall Infant Set</t>
        </is>
      </c>
      <c r="D3068" s="0" t="inlineStr">
        <is>
          <t>'98491</t>
        </is>
      </c>
      <c r="E3068" s="0" t="inlineStr">
        <is>
          <t>KENDALL:98491C- 6-9M</t>
        </is>
      </c>
      <c r="F3068" s="0" t="inlineStr">
        <is>
          <t>'000000000000</t>
        </is>
      </c>
      <c r="G3068" s="0" t="inlineStr">
        <is>
          <t>INFANT</t>
        </is>
      </c>
      <c r="H3068" s="0" t="inlineStr">
        <is>
          <t>6-9M</t>
        </is>
      </c>
      <c r="I3068" s="0">
        <v>34.99</v>
      </c>
      <c r="J3068" s="0">
        <v>152</v>
      </c>
    </row>
    <row r="3069" spans="1:10" customHeight="0">
      <c r="A3069" s="0">
        <f>HYPERLINK("https://dl.dropboxusercontent.com/scl/fi/ey7pwfpuwjt29pmx87puu/98492-f-full-outfit.jpg?rlkey=j2foyqg3o0k7nkt1xobmmboir&amp;dl=0","Click to download Image")</f>
      </c>
      <c r="C3069" s="0" t="inlineStr">
        <is>
          <t>Kendall Infant Set</t>
        </is>
      </c>
      <c r="D3069" s="0" t="inlineStr">
        <is>
          <t>'98491</t>
        </is>
      </c>
      <c r="E3069" s="0" t="inlineStr">
        <is>
          <t>KENDALL:98491D- 9-12M</t>
        </is>
      </c>
      <c r="F3069" s="0" t="inlineStr">
        <is>
          <t>'000000000000</t>
        </is>
      </c>
      <c r="G3069" s="0" t="inlineStr">
        <is>
          <t>INFANT</t>
        </is>
      </c>
      <c r="H3069" s="0" t="inlineStr">
        <is>
          <t>12M</t>
        </is>
      </c>
      <c r="I3069" s="0">
        <v>34.99</v>
      </c>
      <c r="J3069" s="0">
        <v>172</v>
      </c>
    </row>
    <row r="3070" spans="1:10" customHeight="0">
      <c r="A3070" s="0">
        <f>HYPERLINK("https://dl.dropboxusercontent.com/scl/fi/1zf40d2rmvavkznaf73ck/98879-f-whole-outfit.jpg?rlkey=gdya7gmrj8lmnwrgug0n07qlc&amp;dl=0","Click to download Image")</f>
      </c>
      <c r="C3070" s="0" t="inlineStr">
        <is>
          <t>Kendall Infant Set</t>
        </is>
      </c>
      <c r="D3070" s="0" t="inlineStr">
        <is>
          <t>'98880</t>
        </is>
      </c>
      <c r="E3070" s="0" t="inlineStr">
        <is>
          <t>KENDALL:98880A-0-3M</t>
        </is>
      </c>
      <c r="F3070" s="0" t="inlineStr">
        <is>
          <t>'000000000000</t>
        </is>
      </c>
      <c r="G3070" s="0" t="inlineStr">
        <is>
          <t>INFANT</t>
        </is>
      </c>
      <c r="H3070" s="0" t="inlineStr">
        <is>
          <t>0-3M</t>
        </is>
      </c>
      <c r="I3070" s="0">
        <v>34.99</v>
      </c>
      <c r="J3070" s="0">
        <v>23</v>
      </c>
    </row>
    <row r="3071" spans="1:10" customHeight="0">
      <c r="A3071" s="0">
        <f>HYPERLINK("https://dl.dropboxusercontent.com/scl/fi/1zf40d2rmvavkznaf73ck/98879-f-whole-outfit.jpg?rlkey=gdya7gmrj8lmnwrgug0n07qlc&amp;dl=0","Click to download Image")</f>
      </c>
      <c r="C3071" s="0" t="inlineStr">
        <is>
          <t>Kendall Infant Set</t>
        </is>
      </c>
      <c r="D3071" s="0" t="inlineStr">
        <is>
          <t>'98880</t>
        </is>
      </c>
      <c r="E3071" s="0" t="inlineStr">
        <is>
          <t>KENDALL:98880B- 3-6M</t>
        </is>
      </c>
      <c r="F3071" s="0" t="inlineStr">
        <is>
          <t>'000000000000</t>
        </is>
      </c>
      <c r="G3071" s="0" t="inlineStr">
        <is>
          <t>INFANT</t>
        </is>
      </c>
      <c r="H3071" s="0" t="inlineStr">
        <is>
          <t>3-6M</t>
        </is>
      </c>
      <c r="I3071" s="0">
        <v>34.99</v>
      </c>
      <c r="J3071" s="0">
        <v>3</v>
      </c>
    </row>
    <row r="3072" spans="1:10" customHeight="0">
      <c r="A3072" s="0">
        <f>HYPERLINK("https://dl.dropboxusercontent.com/scl/fi/1zf40d2rmvavkznaf73ck/98879-f-whole-outfit.jpg?rlkey=gdya7gmrj8lmnwrgug0n07qlc&amp;dl=0","Click to download Image")</f>
      </c>
      <c r="C3072" s="0" t="inlineStr">
        <is>
          <t>Kendall Infant Set</t>
        </is>
      </c>
      <c r="D3072" s="0" t="inlineStr">
        <is>
          <t>'98880</t>
        </is>
      </c>
      <c r="E3072" s="0" t="inlineStr">
        <is>
          <t>KENDALL:98880C- 6-9M</t>
        </is>
      </c>
      <c r="F3072" s="0" t="inlineStr">
        <is>
          <t>'000000000000</t>
        </is>
      </c>
      <c r="G3072" s="0" t="inlineStr">
        <is>
          <t>INFANT</t>
        </is>
      </c>
      <c r="H3072" s="0" t="inlineStr">
        <is>
          <t>6-9M</t>
        </is>
      </c>
      <c r="I3072" s="0">
        <v>34.99</v>
      </c>
      <c r="J3072" s="0">
        <v>28</v>
      </c>
    </row>
    <row r="3073" spans="1:10" customHeight="0">
      <c r="A3073" s="0">
        <f>HYPERLINK("https://dl.dropboxusercontent.com/scl/fi/1zf40d2rmvavkznaf73ck/98879-f-whole-outfit.jpg?rlkey=gdya7gmrj8lmnwrgug0n07qlc&amp;dl=0","Click to download Image")</f>
      </c>
      <c r="C3073" s="0" t="inlineStr">
        <is>
          <t>Kendall Infant Set</t>
        </is>
      </c>
      <c r="D3073" s="0" t="inlineStr">
        <is>
          <t>'98880</t>
        </is>
      </c>
      <c r="E3073" s="0" t="inlineStr">
        <is>
          <t>KENDALL:98880D- 9-12M</t>
        </is>
      </c>
      <c r="F3073" s="0" t="inlineStr">
        <is>
          <t>'000000000000</t>
        </is>
      </c>
      <c r="G3073" s="0" t="inlineStr">
        <is>
          <t>INFANT</t>
        </is>
      </c>
      <c r="H3073" s="0" t="inlineStr">
        <is>
          <t>12M</t>
        </is>
      </c>
      <c r="I3073" s="0">
        <v>34.99</v>
      </c>
      <c r="J3073" s="0">
        <v>43</v>
      </c>
    </row>
    <row r="3074" spans="1:10" customHeight="0">
      <c r="A3074" s="0">
        <f>HYPERLINK("https://dl.dropboxusercontent.com/scl/fi/xwvhqkta9adjt38ikka4n/94275af.jpg?rlkey=5k3c7v13q0vr6h74r9hkujpzn&amp;dl=0","Click to download Image")</f>
      </c>
      <c r="C3074" s="0" t="inlineStr">
        <is>
          <t>Kenneth Duffle Bag</t>
        </is>
      </c>
      <c r="D3074" s="0" t="inlineStr">
        <is>
          <t>'94275</t>
        </is>
      </c>
      <c r="E3074" s="0" t="inlineStr">
        <is>
          <t>KENNETH:94275</t>
        </is>
      </c>
      <c r="F3074" s="0" t="inlineStr">
        <is>
          <t>'000000000000</t>
        </is>
      </c>
      <c r="H3074" s="0" t="inlineStr">
        <is>
          <t>9.5" W X 25" H  X 11.5" D</t>
        </is>
      </c>
      <c r="I3074" s="0">
        <v>38.99</v>
      </c>
      <c r="J3074" s="0">
        <v>134</v>
      </c>
    </row>
    <row r="3075" spans="1:10" customHeight="0">
      <c r="A3075" s="0">
        <f>HYPERLINK("https://dl.dropboxusercontent.com/scl/fi/yxskyl26rupl4prnmehcg/95571af.jpg?rlkey=dzs832zvm6yf04byh3nwrk557&amp;dl=0","Click to download Image")</f>
      </c>
      <c r="C3075" s="0" t="inlineStr">
        <is>
          <t>Kenneth Duffle Bag</t>
        </is>
      </c>
      <c r="D3075" s="0" t="inlineStr">
        <is>
          <t>'95571</t>
        </is>
      </c>
      <c r="E3075" s="0" t="inlineStr">
        <is>
          <t>KENNETH:95571</t>
        </is>
      </c>
      <c r="F3075" s="0" t="inlineStr">
        <is>
          <t>'000000000000</t>
        </is>
      </c>
      <c r="H3075" s="0" t="inlineStr">
        <is>
          <t>9.5" W X 25" H  X 11.5" D</t>
        </is>
      </c>
      <c r="I3075" s="0">
        <v>38.99</v>
      </c>
      <c r="J3075" s="0">
        <v>300</v>
      </c>
    </row>
    <row r="3076" spans="1:10" customHeight="0">
      <c r="A3076" s="0">
        <f>HYPERLINK("https://dl.dropboxusercontent.com/scl/fi/2ll5zz8dvo3j1hdn9mp8l/99982af.jpg?rlkey=s0b31ql0i39agivqvgyd1gsu7&amp;dl=0","Click to download Image")</f>
      </c>
      <c r="C3076" s="0" t="inlineStr">
        <is>
          <t>Lara Convertible Backpack Duffle</t>
        </is>
      </c>
      <c r="D3076" s="0" t="inlineStr">
        <is>
          <t>'99982</t>
        </is>
      </c>
      <c r="E3076" s="0" t="inlineStr">
        <is>
          <t>LARA:99982</t>
        </is>
      </c>
      <c r="F3076" s="0" t="inlineStr">
        <is>
          <t>'000000000000</t>
        </is>
      </c>
      <c r="H3076" s="0" t="inlineStr">
        <is>
          <t>19" W X 10.25" H  X 9.5" D</t>
        </is>
      </c>
      <c r="I3076" s="0">
        <v>39.99</v>
      </c>
      <c r="J3076" s="0">
        <v>439</v>
      </c>
    </row>
    <row r="3077" spans="1:10" customHeight="0">
      <c r="A3077" s="0">
        <f>HYPERLINK("https://dl.dropboxusercontent.com/scl/fi/ihzie21l6ctus7gyf49po/ia-b.jpg?rlkey=hjstd7xv246msjup6tfqr8ydi&amp;dl=0","Click to download Image")</f>
      </c>
      <c r="B3077" s="0">
        <f>HYPERLINK("https://dl.dropboxusercontent.com/scl/fi/uxl0nxd0wnil745s1rhbq/mens-hoodie-size-charts-beckley.jpg?rlkey=4qgb7c0qapsw1gu9ru8r5r94n&amp;dl=0","Click to download SizeChart")</f>
      </c>
      <c r="C3077" s="0" t="inlineStr">
        <is>
          <t>Beckley Mens Hoodie</t>
        </is>
      </c>
      <c r="D3077" s="0" t="inlineStr">
        <is>
          <t>'109614</t>
        </is>
      </c>
      <c r="E3077" s="0" t="inlineStr">
        <is>
          <t>IOWA BECKLEY BLACK:109614A-S</t>
        </is>
      </c>
      <c r="F3077" s="0" t="inlineStr">
        <is>
          <t>'800109614012</t>
        </is>
      </c>
      <c r="G3077" s="0" t="inlineStr">
        <is>
          <t>MENS</t>
        </is>
      </c>
      <c r="H3077" s="0" t="inlineStr">
        <is>
          <t>S</t>
        </is>
      </c>
      <c r="I3077" s="0">
        <v>52.99</v>
      </c>
      <c r="J3077" s="0">
        <v>4</v>
      </c>
    </row>
    <row r="3078" spans="1:10" customHeight="0">
      <c r="A3078" s="0">
        <f>HYPERLINK("https://dl.dropboxusercontent.com/scl/fi/ihzie21l6ctus7gyf49po/ia-b.jpg?rlkey=hjstd7xv246msjup6tfqr8ydi&amp;dl=0","Click to download Image")</f>
      </c>
      <c r="B3078" s="0">
        <f>HYPERLINK("https://dl.dropboxusercontent.com/scl/fi/uxl0nxd0wnil745s1rhbq/mens-hoodie-size-charts-beckley.jpg?rlkey=4qgb7c0qapsw1gu9ru8r5r94n&amp;dl=0","Click to download SizeChart")</f>
      </c>
      <c r="C3078" s="0" t="inlineStr">
        <is>
          <t>Beckley Mens Hoodie</t>
        </is>
      </c>
      <c r="D3078" s="0" t="inlineStr">
        <is>
          <t>'109614</t>
        </is>
      </c>
      <c r="E3078" s="0" t="inlineStr">
        <is>
          <t>IOWA BECKLEY BLACK:109614B-M</t>
        </is>
      </c>
      <c r="F3078" s="0" t="inlineStr">
        <is>
          <t>'800109614029</t>
        </is>
      </c>
      <c r="G3078" s="0" t="inlineStr">
        <is>
          <t>MENS</t>
        </is>
      </c>
      <c r="H3078" s="0" t="inlineStr">
        <is>
          <t>M</t>
        </is>
      </c>
      <c r="I3078" s="0">
        <v>52.99</v>
      </c>
      <c r="J3078" s="0">
        <v>5</v>
      </c>
    </row>
    <row r="3079" spans="1:10" customHeight="0">
      <c r="A3079" s="0">
        <f>HYPERLINK("https://dl.dropboxusercontent.com/scl/fi/ihzie21l6ctus7gyf49po/ia-b.jpg?rlkey=hjstd7xv246msjup6tfqr8ydi&amp;dl=0","Click to download Image")</f>
      </c>
      <c r="B3079" s="0">
        <f>HYPERLINK("https://dl.dropboxusercontent.com/scl/fi/uxl0nxd0wnil745s1rhbq/mens-hoodie-size-charts-beckley.jpg?rlkey=4qgb7c0qapsw1gu9ru8r5r94n&amp;dl=0","Click to download SizeChart")</f>
      </c>
      <c r="C3079" s="0" t="inlineStr">
        <is>
          <t>Beckley Mens Hoodie</t>
        </is>
      </c>
      <c r="D3079" s="0" t="inlineStr">
        <is>
          <t>'109614</t>
        </is>
      </c>
      <c r="E3079" s="0" t="inlineStr">
        <is>
          <t>IOWA BECKLEY BLACK:109614C-L</t>
        </is>
      </c>
      <c r="F3079" s="0" t="inlineStr">
        <is>
          <t>'800109614036</t>
        </is>
      </c>
      <c r="G3079" s="0" t="inlineStr">
        <is>
          <t>MENS</t>
        </is>
      </c>
      <c r="H3079" s="0" t="inlineStr">
        <is>
          <t>L</t>
        </is>
      </c>
      <c r="I3079" s="0">
        <v>52.99</v>
      </c>
      <c r="J3079" s="0">
        <v>0</v>
      </c>
    </row>
    <row r="3080" spans="1:10" customHeight="0">
      <c r="A3080" s="0">
        <f>HYPERLINK("https://dl.dropboxusercontent.com/scl/fi/ihzie21l6ctus7gyf49po/ia-b.jpg?rlkey=hjstd7xv246msjup6tfqr8ydi&amp;dl=0","Click to download Image")</f>
      </c>
      <c r="B3080" s="0">
        <f>HYPERLINK("https://dl.dropboxusercontent.com/scl/fi/uxl0nxd0wnil745s1rhbq/mens-hoodie-size-charts-beckley.jpg?rlkey=4qgb7c0qapsw1gu9ru8r5r94n&amp;dl=0","Click to download SizeChart")</f>
      </c>
      <c r="C3080" s="0" t="inlineStr">
        <is>
          <t>Beckley Mens Hoodie</t>
        </is>
      </c>
      <c r="D3080" s="0" t="inlineStr">
        <is>
          <t>'109614</t>
        </is>
      </c>
      <c r="E3080" s="0" t="inlineStr">
        <is>
          <t>IOWA BECKLEY BLACK:109614D-XL</t>
        </is>
      </c>
      <c r="F3080" s="0" t="inlineStr">
        <is>
          <t>'800109614043</t>
        </is>
      </c>
      <c r="G3080" s="0" t="inlineStr">
        <is>
          <t>MENS</t>
        </is>
      </c>
      <c r="H3080" s="0" t="inlineStr">
        <is>
          <t>XL</t>
        </is>
      </c>
      <c r="I3080" s="0">
        <v>52.99</v>
      </c>
      <c r="J3080" s="0">
        <v>0</v>
      </c>
    </row>
    <row r="3081" spans="1:10" customHeight="0">
      <c r="A3081" s="0">
        <f>HYPERLINK("https://dl.dropboxusercontent.com/scl/fi/ihzie21l6ctus7gyf49po/ia-b.jpg?rlkey=hjstd7xv246msjup6tfqr8ydi&amp;dl=0","Click to download Image")</f>
      </c>
      <c r="B3081" s="0">
        <f>HYPERLINK("https://dl.dropboxusercontent.com/scl/fi/uxl0nxd0wnil745s1rhbq/mens-hoodie-size-charts-beckley.jpg?rlkey=4qgb7c0qapsw1gu9ru8r5r94n&amp;dl=0","Click to download SizeChart")</f>
      </c>
      <c r="C3081" s="0" t="inlineStr">
        <is>
          <t>Beckley Mens Hoodie</t>
        </is>
      </c>
      <c r="D3081" s="0" t="inlineStr">
        <is>
          <t>'109614</t>
        </is>
      </c>
      <c r="E3081" s="0" t="inlineStr">
        <is>
          <t>IOWA BECKLEY BLACK:109614E-2XL</t>
        </is>
      </c>
      <c r="F3081" s="0" t="inlineStr">
        <is>
          <t>'800109614050</t>
        </is>
      </c>
      <c r="G3081" s="0" t="inlineStr">
        <is>
          <t>MENS</t>
        </is>
      </c>
      <c r="H3081" s="0" t="inlineStr">
        <is>
          <t>2XL</t>
        </is>
      </c>
      <c r="I3081" s="0">
        <v>54.99</v>
      </c>
      <c r="J3081" s="0">
        <v>3</v>
      </c>
    </row>
    <row r="3082" spans="1:10" customHeight="0">
      <c r="A3082" s="0">
        <f>HYPERLINK("https://dl.dropboxusercontent.com/scl/fi/ihzie21l6ctus7gyf49po/ia-b.jpg?rlkey=hjstd7xv246msjup6tfqr8ydi&amp;dl=0","Click to download Image")</f>
      </c>
      <c r="B3082" s="0">
        <f>HYPERLINK("https://dl.dropboxusercontent.com/scl/fi/uxl0nxd0wnil745s1rhbq/mens-hoodie-size-charts-beckley.jpg?rlkey=4qgb7c0qapsw1gu9ru8r5r94n&amp;dl=0","Click to download SizeChart")</f>
      </c>
      <c r="C3082" s="0" t="inlineStr">
        <is>
          <t>Beckley Mens Hoodie</t>
        </is>
      </c>
      <c r="D3082" s="0" t="inlineStr">
        <is>
          <t>'109614</t>
        </is>
      </c>
      <c r="E3082" s="0" t="inlineStr">
        <is>
          <t>IOWA BECKLEY BLACK:109614F-3XL</t>
        </is>
      </c>
      <c r="F3082" s="0" t="inlineStr">
        <is>
          <t>'800109614067</t>
        </is>
      </c>
      <c r="G3082" s="0" t="inlineStr">
        <is>
          <t>MENS</t>
        </is>
      </c>
      <c r="H3082" s="0" t="inlineStr">
        <is>
          <t>3XL</t>
        </is>
      </c>
      <c r="I3082" s="0">
        <v>54.99</v>
      </c>
      <c r="J3082" s="0">
        <v>3</v>
      </c>
    </row>
    <row r="3083" spans="1:10" customHeight="0">
      <c r="A3083" s="0">
        <f>HYPERLINK("https://dl.dropboxusercontent.com/scl/fi/ihzie21l6ctus7gyf49po/ia-b.jpg?rlkey=hjstd7xv246msjup6tfqr8ydi&amp;dl=0","Click to download Image")</f>
      </c>
      <c r="B3083" s="0">
        <f>HYPERLINK("https://dl.dropboxusercontent.com/scl/fi/uxl0nxd0wnil745s1rhbq/mens-hoodie-size-charts-beckley.jpg?rlkey=4qgb7c0qapsw1gu9ru8r5r94n&amp;dl=0","Click to download SizeChart")</f>
      </c>
      <c r="C3083" s="0" t="inlineStr">
        <is>
          <t>Beckley Mens Hoodie</t>
        </is>
      </c>
      <c r="D3083" s="0" t="inlineStr">
        <is>
          <t>'109614</t>
        </is>
      </c>
      <c r="E3083" s="0" t="inlineStr">
        <is>
          <t>IOWA BECKLEY BLACK 12 PACK:109614Z-12PK</t>
        </is>
      </c>
      <c r="F3083" s="0" t="inlineStr">
        <is>
          <t>'800109614104</t>
        </is>
      </c>
      <c r="G3083" s="0" t="inlineStr">
        <is>
          <t>MENS</t>
        </is>
      </c>
      <c r="H3083" s="0" t="inlineStr">
        <is>
          <t>12 PACK</t>
        </is>
      </c>
      <c r="I3083" s="0">
        <v>617.88</v>
      </c>
      <c r="J3083" s="0">
        <v>0</v>
      </c>
    </row>
    <row r="3084" spans="1:10" customHeight="0">
      <c r="A3084" s="0">
        <f>HYPERLINK("https://dl.dropboxusercontent.com/scl/fi/4ez4icxigil9osoowyq66/isu-af.png?rlkey=69yflpixhv0hpgpjrerskseav&amp;dl=0","Click to download Image")</f>
      </c>
      <c r="B3084" s="0">
        <f>HYPERLINK("https://dl.dropboxusercontent.com/scl/fi/uxl0nxd0wnil745s1rhbq/mens-hoodie-size-charts-beckley.jpg?rlkey=4qgb7c0qapsw1gu9ru8r5r94n&amp;dl=0","Click to download SizeChart")</f>
      </c>
      <c r="C3084" s="0" t="inlineStr">
        <is>
          <t>Beckley Mens Hoodie</t>
        </is>
      </c>
      <c r="D3084" s="0" t="inlineStr">
        <is>
          <t>'111533</t>
        </is>
      </c>
      <c r="E3084" s="0" t="inlineStr">
        <is>
          <t>ISU BECKLEY CARDINAL:111533A-S</t>
        </is>
      </c>
      <c r="F3084" s="0" t="inlineStr">
        <is>
          <t>'801111533049</t>
        </is>
      </c>
      <c r="G3084" s="0" t="inlineStr">
        <is>
          <t>MENS</t>
        </is>
      </c>
      <c r="H3084" s="0" t="inlineStr">
        <is>
          <t>S</t>
        </is>
      </c>
      <c r="I3084" s="0">
        <v>52.99</v>
      </c>
      <c r="J3084" s="0">
        <v>4</v>
      </c>
    </row>
    <row r="3085" spans="1:10" customHeight="0">
      <c r="A3085" s="0">
        <f>HYPERLINK("https://dl.dropboxusercontent.com/scl/fi/4ez4icxigil9osoowyq66/isu-af.png?rlkey=69yflpixhv0hpgpjrerskseav&amp;dl=0","Click to download Image")</f>
      </c>
      <c r="B3085" s="0">
        <f>HYPERLINK("https://dl.dropboxusercontent.com/scl/fi/uxl0nxd0wnil745s1rhbq/mens-hoodie-size-charts-beckley.jpg?rlkey=4qgb7c0qapsw1gu9ru8r5r94n&amp;dl=0","Click to download SizeChart")</f>
      </c>
      <c r="C3085" s="0" t="inlineStr">
        <is>
          <t>Beckley Mens Hoodie</t>
        </is>
      </c>
      <c r="D3085" s="0" t="inlineStr">
        <is>
          <t>'111533</t>
        </is>
      </c>
      <c r="E3085" s="0" t="inlineStr">
        <is>
          <t>ISU BECKLEY CARDINAL:111533B-M</t>
        </is>
      </c>
      <c r="F3085" s="0" t="inlineStr">
        <is>
          <t>'801111533056</t>
        </is>
      </c>
      <c r="G3085" s="0" t="inlineStr">
        <is>
          <t>MENS</t>
        </is>
      </c>
      <c r="H3085" s="0" t="inlineStr">
        <is>
          <t>M</t>
        </is>
      </c>
      <c r="I3085" s="0">
        <v>52.99</v>
      </c>
      <c r="J3085" s="0">
        <v>7</v>
      </c>
    </row>
    <row r="3086" spans="1:10" customHeight="0">
      <c r="A3086" s="0">
        <f>HYPERLINK("https://dl.dropboxusercontent.com/scl/fi/4ez4icxigil9osoowyq66/isu-af.png?rlkey=69yflpixhv0hpgpjrerskseav&amp;dl=0","Click to download Image")</f>
      </c>
      <c r="B3086" s="0">
        <f>HYPERLINK("https://dl.dropboxusercontent.com/scl/fi/uxl0nxd0wnil745s1rhbq/mens-hoodie-size-charts-beckley.jpg?rlkey=4qgb7c0qapsw1gu9ru8r5r94n&amp;dl=0","Click to download SizeChart")</f>
      </c>
      <c r="C3086" s="0" t="inlineStr">
        <is>
          <t>Beckley Mens Hoodie</t>
        </is>
      </c>
      <c r="D3086" s="0" t="inlineStr">
        <is>
          <t>'111533</t>
        </is>
      </c>
      <c r="E3086" s="0" t="inlineStr">
        <is>
          <t>ISU BECKLEY CARDINAL:111533C-L</t>
        </is>
      </c>
      <c r="F3086" s="0" t="inlineStr">
        <is>
          <t>'801111533063</t>
        </is>
      </c>
      <c r="G3086" s="0" t="inlineStr">
        <is>
          <t>MENS</t>
        </is>
      </c>
      <c r="H3086" s="0" t="inlineStr">
        <is>
          <t>L</t>
        </is>
      </c>
      <c r="I3086" s="0">
        <v>52.99</v>
      </c>
      <c r="J3086" s="0">
        <v>4</v>
      </c>
    </row>
    <row r="3087" spans="1:10" customHeight="0">
      <c r="A3087" s="0">
        <f>HYPERLINK("https://dl.dropboxusercontent.com/scl/fi/4ez4icxigil9osoowyq66/isu-af.png?rlkey=69yflpixhv0hpgpjrerskseav&amp;dl=0","Click to download Image")</f>
      </c>
      <c r="B3087" s="0">
        <f>HYPERLINK("https://dl.dropboxusercontent.com/scl/fi/uxl0nxd0wnil745s1rhbq/mens-hoodie-size-charts-beckley.jpg?rlkey=4qgb7c0qapsw1gu9ru8r5r94n&amp;dl=0","Click to download SizeChart")</f>
      </c>
      <c r="C3087" s="0" t="inlineStr">
        <is>
          <t>Beckley Mens Hoodie</t>
        </is>
      </c>
      <c r="D3087" s="0" t="inlineStr">
        <is>
          <t>'111533</t>
        </is>
      </c>
      <c r="E3087" s="0" t="inlineStr">
        <is>
          <t>ISU BECKLEY CARDINAL:111533D-XL</t>
        </is>
      </c>
      <c r="F3087" s="0" t="inlineStr">
        <is>
          <t>'801111533070</t>
        </is>
      </c>
      <c r="G3087" s="0" t="inlineStr">
        <is>
          <t>MENS</t>
        </is>
      </c>
      <c r="H3087" s="0" t="inlineStr">
        <is>
          <t>XL</t>
        </is>
      </c>
      <c r="I3087" s="0">
        <v>52.99</v>
      </c>
      <c r="J3087" s="0">
        <v>3</v>
      </c>
    </row>
    <row r="3088" spans="1:10" customHeight="0">
      <c r="A3088" s="0">
        <f>HYPERLINK("https://dl.dropboxusercontent.com/scl/fi/4ez4icxigil9osoowyq66/isu-af.png?rlkey=69yflpixhv0hpgpjrerskseav&amp;dl=0","Click to download Image")</f>
      </c>
      <c r="B3088" s="0">
        <f>HYPERLINK("https://dl.dropboxusercontent.com/scl/fi/uxl0nxd0wnil745s1rhbq/mens-hoodie-size-charts-beckley.jpg?rlkey=4qgb7c0qapsw1gu9ru8r5r94n&amp;dl=0","Click to download SizeChart")</f>
      </c>
      <c r="C3088" s="0" t="inlineStr">
        <is>
          <t>Beckley Mens Hoodie</t>
        </is>
      </c>
      <c r="D3088" s="0" t="inlineStr">
        <is>
          <t>'111533</t>
        </is>
      </c>
      <c r="E3088" s="0" t="inlineStr">
        <is>
          <t>ISU BECKLEY CARDINAL:111533E-2XL</t>
        </is>
      </c>
      <c r="F3088" s="0" t="inlineStr">
        <is>
          <t>'801111533087</t>
        </is>
      </c>
      <c r="G3088" s="0" t="inlineStr">
        <is>
          <t>MENS</t>
        </is>
      </c>
      <c r="H3088" s="0" t="inlineStr">
        <is>
          <t>2XL</t>
        </is>
      </c>
      <c r="I3088" s="0">
        <v>54.99</v>
      </c>
      <c r="J3088" s="0">
        <v>5</v>
      </c>
    </row>
    <row r="3089" spans="1:10" customHeight="0">
      <c r="A3089" s="0">
        <f>HYPERLINK("https://dl.dropboxusercontent.com/scl/fi/4ez4icxigil9osoowyq66/isu-af.png?rlkey=69yflpixhv0hpgpjrerskseav&amp;dl=0","Click to download Image")</f>
      </c>
      <c r="B3089" s="0">
        <f>HYPERLINK("https://dl.dropboxusercontent.com/scl/fi/uxl0nxd0wnil745s1rhbq/mens-hoodie-size-charts-beckley.jpg?rlkey=4qgb7c0qapsw1gu9ru8r5r94n&amp;dl=0","Click to download SizeChart")</f>
      </c>
      <c r="C3089" s="0" t="inlineStr">
        <is>
          <t>Beckley Mens Hoodie</t>
        </is>
      </c>
      <c r="D3089" s="0" t="inlineStr">
        <is>
          <t>'111533</t>
        </is>
      </c>
      <c r="E3089" s="0" t="inlineStr">
        <is>
          <t>ISU BECKLEY CARDINAL:111533F-3XL</t>
        </is>
      </c>
      <c r="F3089" s="0" t="inlineStr">
        <is>
          <t>'801111533094</t>
        </is>
      </c>
      <c r="G3089" s="0" t="inlineStr">
        <is>
          <t>MENS</t>
        </is>
      </c>
      <c r="H3089" s="0" t="inlineStr">
        <is>
          <t>3XL</t>
        </is>
      </c>
      <c r="I3089" s="0">
        <v>54.99</v>
      </c>
      <c r="J3089" s="0">
        <v>4</v>
      </c>
    </row>
    <row r="3090" spans="1:10" customHeight="0">
      <c r="A3090" s="0">
        <f>HYPERLINK("https://dl.dropboxusercontent.com/scl/fi/4ez4icxigil9osoowyq66/isu-af.png?rlkey=69yflpixhv0hpgpjrerskseav&amp;dl=0","Click to download Image")</f>
      </c>
      <c r="B3090" s="0">
        <f>HYPERLINK("https://dl.dropboxusercontent.com/scl/fi/uxl0nxd0wnil745s1rhbq/mens-hoodie-size-charts-beckley.jpg?rlkey=4qgb7c0qapsw1gu9ru8r5r94n&amp;dl=0","Click to download SizeChart")</f>
      </c>
      <c r="C3090" s="0" t="inlineStr">
        <is>
          <t>Beckley Mens Hoodie</t>
        </is>
      </c>
      <c r="D3090" s="0" t="inlineStr">
        <is>
          <t>'111533</t>
        </is>
      </c>
      <c r="E3090" s="0" t="inlineStr">
        <is>
          <t>ISU BECKLEY CARDINAL 12 PACK:111533Z-12PK</t>
        </is>
      </c>
      <c r="F3090" s="0" t="inlineStr">
        <is>
          <t>'801111533040</t>
        </is>
      </c>
      <c r="G3090" s="0" t="inlineStr">
        <is>
          <t>MENS</t>
        </is>
      </c>
      <c r="H3090" s="0" t="inlineStr">
        <is>
          <t>12 PACK</t>
        </is>
      </c>
      <c r="I3090" s="0">
        <v>617.88</v>
      </c>
      <c r="J3090" s="0">
        <v>0</v>
      </c>
    </row>
    <row r="3091" spans="1:10" customHeight="0">
      <c r="A3091" s="0">
        <f>HYPERLINK("https://dl.dropboxusercontent.com/scl/fi/hopncyojpxbe4ihsnq1ly/iagreyaf.png?rlkey=5jkdg93ewreel911sl38vjkdo&amp;dl=0","Click to download Image")</f>
      </c>
      <c r="B3091" s="0">
        <f>HYPERLINK("https://dl.dropboxusercontent.com/scl/fi/uxl0nxd0wnil745s1rhbq/mens-hoodie-size-charts-beckley.jpg?rlkey=4qgb7c0qapsw1gu9ru8r5r94n&amp;dl=0","Click to download SizeChart")</f>
      </c>
      <c r="C3091" s="0" t="inlineStr">
        <is>
          <t>Beckley Mens Hoodie</t>
        </is>
      </c>
      <c r="D3091" s="0" t="inlineStr">
        <is>
          <t>'111532</t>
        </is>
      </c>
      <c r="E3091" s="0" t="inlineStr">
        <is>
          <t>IOWA BECKLEY LT GREY:111532A-S</t>
        </is>
      </c>
      <c r="F3091" s="0" t="inlineStr">
        <is>
          <t>'800111532045</t>
        </is>
      </c>
      <c r="G3091" s="0" t="inlineStr">
        <is>
          <t>MENS</t>
        </is>
      </c>
      <c r="H3091" s="0" t="inlineStr">
        <is>
          <t>S</t>
        </is>
      </c>
      <c r="I3091" s="0">
        <v>52.99</v>
      </c>
      <c r="J3091" s="0">
        <v>2</v>
      </c>
    </row>
    <row r="3092" spans="1:10" customHeight="0">
      <c r="A3092" s="0">
        <f>HYPERLINK("https://dl.dropboxusercontent.com/scl/fi/hopncyojpxbe4ihsnq1ly/iagreyaf.png?rlkey=5jkdg93ewreel911sl38vjkdo&amp;dl=0","Click to download Image")</f>
      </c>
      <c r="B3092" s="0">
        <f>HYPERLINK("https://dl.dropboxusercontent.com/scl/fi/uxl0nxd0wnil745s1rhbq/mens-hoodie-size-charts-beckley.jpg?rlkey=4qgb7c0qapsw1gu9ru8r5r94n&amp;dl=0","Click to download SizeChart")</f>
      </c>
      <c r="C3092" s="0" t="inlineStr">
        <is>
          <t>Beckley Mens Hoodie</t>
        </is>
      </c>
      <c r="D3092" s="0" t="inlineStr">
        <is>
          <t>'111532</t>
        </is>
      </c>
      <c r="E3092" s="0" t="inlineStr">
        <is>
          <t>IOWA BECKLEY LT GREY:111532B-M</t>
        </is>
      </c>
      <c r="F3092" s="0" t="inlineStr">
        <is>
          <t>'800111532052</t>
        </is>
      </c>
      <c r="G3092" s="0" t="inlineStr">
        <is>
          <t>MENS</t>
        </is>
      </c>
      <c r="H3092" s="0" t="inlineStr">
        <is>
          <t>M</t>
        </is>
      </c>
      <c r="I3092" s="0">
        <v>52.99</v>
      </c>
      <c r="J3092" s="0">
        <v>3</v>
      </c>
    </row>
    <row r="3093" spans="1:10" customHeight="0">
      <c r="A3093" s="0">
        <f>HYPERLINK("https://dl.dropboxusercontent.com/scl/fi/hopncyojpxbe4ihsnq1ly/iagreyaf.png?rlkey=5jkdg93ewreel911sl38vjkdo&amp;dl=0","Click to download Image")</f>
      </c>
      <c r="B3093" s="0">
        <f>HYPERLINK("https://dl.dropboxusercontent.com/scl/fi/uxl0nxd0wnil745s1rhbq/mens-hoodie-size-charts-beckley.jpg?rlkey=4qgb7c0qapsw1gu9ru8r5r94n&amp;dl=0","Click to download SizeChart")</f>
      </c>
      <c r="C3093" s="0" t="inlineStr">
        <is>
          <t>Beckley Mens Hoodie</t>
        </is>
      </c>
      <c r="D3093" s="0" t="inlineStr">
        <is>
          <t>'111532</t>
        </is>
      </c>
      <c r="E3093" s="0" t="inlineStr">
        <is>
          <t>IOWA BECKLEY LT GREY:111532C-L</t>
        </is>
      </c>
      <c r="F3093" s="0" t="inlineStr">
        <is>
          <t>'800111532069</t>
        </is>
      </c>
      <c r="G3093" s="0" t="inlineStr">
        <is>
          <t>MENS</t>
        </is>
      </c>
      <c r="H3093" s="0" t="inlineStr">
        <is>
          <t>L</t>
        </is>
      </c>
      <c r="I3093" s="0">
        <v>52.99</v>
      </c>
      <c r="J3093" s="0">
        <v>3</v>
      </c>
    </row>
    <row r="3094" spans="1:10" customHeight="0">
      <c r="A3094" s="0">
        <f>HYPERLINK("https://dl.dropboxusercontent.com/scl/fi/hopncyojpxbe4ihsnq1ly/iagreyaf.png?rlkey=5jkdg93ewreel911sl38vjkdo&amp;dl=0","Click to download Image")</f>
      </c>
      <c r="B3094" s="0">
        <f>HYPERLINK("https://dl.dropboxusercontent.com/scl/fi/uxl0nxd0wnil745s1rhbq/mens-hoodie-size-charts-beckley.jpg?rlkey=4qgb7c0qapsw1gu9ru8r5r94n&amp;dl=0","Click to download SizeChart")</f>
      </c>
      <c r="C3094" s="0" t="inlineStr">
        <is>
          <t>Beckley Mens Hoodie</t>
        </is>
      </c>
      <c r="D3094" s="0" t="inlineStr">
        <is>
          <t>'111532</t>
        </is>
      </c>
      <c r="E3094" s="0" t="inlineStr">
        <is>
          <t>IOWA BECKLEY LT GREY:111532D-XL</t>
        </is>
      </c>
      <c r="F3094" s="0" t="inlineStr">
        <is>
          <t>'800111532076</t>
        </is>
      </c>
      <c r="G3094" s="0" t="inlineStr">
        <is>
          <t>MENS</t>
        </is>
      </c>
      <c r="H3094" s="0" t="inlineStr">
        <is>
          <t>XL</t>
        </is>
      </c>
      <c r="I3094" s="0">
        <v>52.99</v>
      </c>
      <c r="J3094" s="0">
        <v>3</v>
      </c>
    </row>
    <row r="3095" spans="1:10" customHeight="0">
      <c r="A3095" s="0">
        <f>HYPERLINK("https://dl.dropboxusercontent.com/scl/fi/hopncyojpxbe4ihsnq1ly/iagreyaf.png?rlkey=5jkdg93ewreel911sl38vjkdo&amp;dl=0","Click to download Image")</f>
      </c>
      <c r="B3095" s="0">
        <f>HYPERLINK("https://dl.dropboxusercontent.com/scl/fi/uxl0nxd0wnil745s1rhbq/mens-hoodie-size-charts-beckley.jpg?rlkey=4qgb7c0qapsw1gu9ru8r5r94n&amp;dl=0","Click to download SizeChart")</f>
      </c>
      <c r="C3095" s="0" t="inlineStr">
        <is>
          <t>Beckley Mens Hoodie</t>
        </is>
      </c>
      <c r="D3095" s="0" t="inlineStr">
        <is>
          <t>'111532</t>
        </is>
      </c>
      <c r="E3095" s="0" t="inlineStr">
        <is>
          <t>IOWA BECKLEY LT GREY:111532E-2XL</t>
        </is>
      </c>
      <c r="F3095" s="0" t="inlineStr">
        <is>
          <t>'800111532083</t>
        </is>
      </c>
      <c r="G3095" s="0" t="inlineStr">
        <is>
          <t>MENS</t>
        </is>
      </c>
      <c r="H3095" s="0" t="inlineStr">
        <is>
          <t>2XL</t>
        </is>
      </c>
      <c r="I3095" s="0">
        <v>54.99</v>
      </c>
      <c r="J3095" s="0">
        <v>2</v>
      </c>
    </row>
    <row r="3096" spans="1:10" customHeight="0">
      <c r="A3096" s="0">
        <f>HYPERLINK("https://dl.dropboxusercontent.com/scl/fi/hopncyojpxbe4ihsnq1ly/iagreyaf.png?rlkey=5jkdg93ewreel911sl38vjkdo&amp;dl=0","Click to download Image")</f>
      </c>
      <c r="B3096" s="0">
        <f>HYPERLINK("https://dl.dropboxusercontent.com/scl/fi/uxl0nxd0wnil745s1rhbq/mens-hoodie-size-charts-beckley.jpg?rlkey=4qgb7c0qapsw1gu9ru8r5r94n&amp;dl=0","Click to download SizeChart")</f>
      </c>
      <c r="C3096" s="0" t="inlineStr">
        <is>
          <t>Beckley Mens Hoodie</t>
        </is>
      </c>
      <c r="D3096" s="0" t="inlineStr">
        <is>
          <t>'111532</t>
        </is>
      </c>
      <c r="E3096" s="0" t="inlineStr">
        <is>
          <t>IOWA BECKLEY LT GREY:111532F-3XL</t>
        </is>
      </c>
      <c r="F3096" s="0" t="inlineStr">
        <is>
          <t>'800111532090</t>
        </is>
      </c>
      <c r="G3096" s="0" t="inlineStr">
        <is>
          <t>MENS</t>
        </is>
      </c>
      <c r="H3096" s="0" t="inlineStr">
        <is>
          <t>3XL</t>
        </is>
      </c>
      <c r="I3096" s="0">
        <v>54.99</v>
      </c>
      <c r="J3096" s="0">
        <v>0</v>
      </c>
    </row>
    <row r="3097" spans="1:10" customHeight="0">
      <c r="A3097" s="0">
        <f>HYPERLINK("https://dl.dropboxusercontent.com/scl/fi/hopncyojpxbe4ihsnq1ly/iagreyaf.png?rlkey=5jkdg93ewreel911sl38vjkdo&amp;dl=0","Click to download Image")</f>
      </c>
      <c r="B3097" s="0">
        <f>HYPERLINK("https://dl.dropboxusercontent.com/scl/fi/uxl0nxd0wnil745s1rhbq/mens-hoodie-size-charts-beckley.jpg?rlkey=4qgb7c0qapsw1gu9ru8r5r94n&amp;dl=0","Click to download SizeChart")</f>
      </c>
      <c r="C3097" s="0" t="inlineStr">
        <is>
          <t>Beckley Mens Hoodie</t>
        </is>
      </c>
      <c r="D3097" s="0" t="inlineStr">
        <is>
          <t>'111532</t>
        </is>
      </c>
      <c r="E3097" s="0" t="inlineStr">
        <is>
          <t>IOWA BECKLEY LT GREY 12 PACK:111532Z-12PK</t>
        </is>
      </c>
      <c r="F3097" s="0" t="inlineStr">
        <is>
          <t>'800111532040</t>
        </is>
      </c>
      <c r="G3097" s="0" t="inlineStr">
        <is>
          <t>MENS</t>
        </is>
      </c>
      <c r="H3097" s="0" t="inlineStr">
        <is>
          <t>12 PACK</t>
        </is>
      </c>
      <c r="I3097" s="0">
        <v>617.88</v>
      </c>
      <c r="J3097" s="0">
        <v>0</v>
      </c>
    </row>
    <row r="3098" spans="1:10" customHeight="0">
      <c r="A3098" s="0">
        <f>HYPERLINK("https://dl.dropboxusercontent.com/scl/fi/07gb5es48ihfd8bsxdnbu/ndsu-af.jpg?rlkey=q55wztw86pod6yj4lo9wr7pjb&amp;dl=0","Click to download Image")</f>
      </c>
      <c r="B3098" s="0">
        <f>HYPERLINK("https://dl.dropboxusercontent.com/scl/fi/uxl0nxd0wnil745s1rhbq/mens-hoodie-size-charts-beckley.jpg?rlkey=4qgb7c0qapsw1gu9ru8r5r94n&amp;dl=0","Click to download SizeChart")</f>
      </c>
      <c r="C3098" s="0" t="inlineStr">
        <is>
          <t>Beckley Mens Hoodie</t>
        </is>
      </c>
      <c r="D3098" s="0" t="inlineStr">
        <is>
          <t>'121391</t>
        </is>
      </c>
      <c r="E3098" s="0" t="inlineStr">
        <is>
          <t>NDSU BECKLEY:121391A-S</t>
        </is>
      </c>
      <c r="F3098" s="0" t="inlineStr">
        <is>
          <t>'813121391045</t>
        </is>
      </c>
      <c r="G3098" s="0" t="inlineStr">
        <is>
          <t>MENS</t>
        </is>
      </c>
      <c r="H3098" s="0" t="inlineStr">
        <is>
          <t>S</t>
        </is>
      </c>
      <c r="I3098" s="0">
        <v>52.99</v>
      </c>
      <c r="J3098" s="0">
        <v>2</v>
      </c>
    </row>
    <row r="3099" spans="1:10" customHeight="0">
      <c r="A3099" s="0">
        <f>HYPERLINK("https://dl.dropboxusercontent.com/scl/fi/07gb5es48ihfd8bsxdnbu/ndsu-af.jpg?rlkey=q55wztw86pod6yj4lo9wr7pjb&amp;dl=0","Click to download Image")</f>
      </c>
      <c r="B3099" s="0">
        <f>HYPERLINK("https://dl.dropboxusercontent.com/scl/fi/uxl0nxd0wnil745s1rhbq/mens-hoodie-size-charts-beckley.jpg?rlkey=4qgb7c0qapsw1gu9ru8r5r94n&amp;dl=0","Click to download SizeChart")</f>
      </c>
      <c r="C3099" s="0" t="inlineStr">
        <is>
          <t>Beckley Mens Hoodie</t>
        </is>
      </c>
      <c r="D3099" s="0" t="inlineStr">
        <is>
          <t>'121391</t>
        </is>
      </c>
      <c r="E3099" s="0" t="inlineStr">
        <is>
          <t>NDSU BECKLEY:121391B-M</t>
        </is>
      </c>
      <c r="F3099" s="0" t="inlineStr">
        <is>
          <t>'813121391052</t>
        </is>
      </c>
      <c r="G3099" s="0" t="inlineStr">
        <is>
          <t>MENS</t>
        </is>
      </c>
      <c r="H3099" s="0" t="inlineStr">
        <is>
          <t>M</t>
        </is>
      </c>
      <c r="I3099" s="0">
        <v>52.99</v>
      </c>
      <c r="J3099" s="0">
        <v>8</v>
      </c>
    </row>
    <row r="3100" spans="1:10" customHeight="0">
      <c r="A3100" s="0">
        <f>HYPERLINK("https://dl.dropboxusercontent.com/scl/fi/07gb5es48ihfd8bsxdnbu/ndsu-af.jpg?rlkey=q55wztw86pod6yj4lo9wr7pjb&amp;dl=0","Click to download Image")</f>
      </c>
      <c r="B3100" s="0">
        <f>HYPERLINK("https://dl.dropboxusercontent.com/scl/fi/uxl0nxd0wnil745s1rhbq/mens-hoodie-size-charts-beckley.jpg?rlkey=4qgb7c0qapsw1gu9ru8r5r94n&amp;dl=0","Click to download SizeChart")</f>
      </c>
      <c r="C3100" s="0" t="inlineStr">
        <is>
          <t>Beckley Mens Hoodie</t>
        </is>
      </c>
      <c r="D3100" s="0" t="inlineStr">
        <is>
          <t>'121391</t>
        </is>
      </c>
      <c r="E3100" s="0" t="inlineStr">
        <is>
          <t>NDSU BECKLEY:121391C-L</t>
        </is>
      </c>
      <c r="F3100" s="0" t="inlineStr">
        <is>
          <t>'813121391069</t>
        </is>
      </c>
      <c r="G3100" s="0" t="inlineStr">
        <is>
          <t>MENS</t>
        </is>
      </c>
      <c r="H3100" s="0" t="inlineStr">
        <is>
          <t>L</t>
        </is>
      </c>
      <c r="I3100" s="0">
        <v>52.99</v>
      </c>
      <c r="J3100" s="0">
        <v>8</v>
      </c>
    </row>
    <row r="3101" spans="1:10" customHeight="0">
      <c r="A3101" s="0">
        <f>HYPERLINK("https://dl.dropboxusercontent.com/scl/fi/07gb5es48ihfd8bsxdnbu/ndsu-af.jpg?rlkey=q55wztw86pod6yj4lo9wr7pjb&amp;dl=0","Click to download Image")</f>
      </c>
      <c r="B3101" s="0">
        <f>HYPERLINK("https://dl.dropboxusercontent.com/scl/fi/uxl0nxd0wnil745s1rhbq/mens-hoodie-size-charts-beckley.jpg?rlkey=4qgb7c0qapsw1gu9ru8r5r94n&amp;dl=0","Click to download SizeChart")</f>
      </c>
      <c r="C3101" s="0" t="inlineStr">
        <is>
          <t>Beckley Mens Hoodie</t>
        </is>
      </c>
      <c r="D3101" s="0" t="inlineStr">
        <is>
          <t>'121391</t>
        </is>
      </c>
      <c r="E3101" s="0" t="inlineStr">
        <is>
          <t>NDSU BECKLEY:121391D-XL</t>
        </is>
      </c>
      <c r="F3101" s="0" t="inlineStr">
        <is>
          <t>'813121391076</t>
        </is>
      </c>
      <c r="G3101" s="0" t="inlineStr">
        <is>
          <t>MENS</t>
        </is>
      </c>
      <c r="H3101" s="0" t="inlineStr">
        <is>
          <t>XL</t>
        </is>
      </c>
      <c r="I3101" s="0">
        <v>52.99</v>
      </c>
      <c r="J3101" s="0">
        <v>5</v>
      </c>
    </row>
    <row r="3102" spans="1:10" customHeight="0">
      <c r="A3102" s="0">
        <f>HYPERLINK("https://dl.dropboxusercontent.com/scl/fi/07gb5es48ihfd8bsxdnbu/ndsu-af.jpg?rlkey=q55wztw86pod6yj4lo9wr7pjb&amp;dl=0","Click to download Image")</f>
      </c>
      <c r="B3102" s="0">
        <f>HYPERLINK("https://dl.dropboxusercontent.com/scl/fi/uxl0nxd0wnil745s1rhbq/mens-hoodie-size-charts-beckley.jpg?rlkey=4qgb7c0qapsw1gu9ru8r5r94n&amp;dl=0","Click to download SizeChart")</f>
      </c>
      <c r="C3102" s="0" t="inlineStr">
        <is>
          <t>Beckley Mens Hoodie</t>
        </is>
      </c>
      <c r="D3102" s="0" t="inlineStr">
        <is>
          <t>'121391</t>
        </is>
      </c>
      <c r="E3102" s="0" t="inlineStr">
        <is>
          <t>NDSU BECKLEY:121391E-2XL</t>
        </is>
      </c>
      <c r="F3102" s="0" t="inlineStr">
        <is>
          <t>'813121391083</t>
        </is>
      </c>
      <c r="G3102" s="0" t="inlineStr">
        <is>
          <t>MENS</t>
        </is>
      </c>
      <c r="H3102" s="0" t="inlineStr">
        <is>
          <t>2XL</t>
        </is>
      </c>
      <c r="I3102" s="0">
        <v>54.99</v>
      </c>
      <c r="J3102" s="0">
        <v>2</v>
      </c>
    </row>
    <row r="3103" spans="1:10" customHeight="0">
      <c r="A3103" s="0">
        <f>HYPERLINK("https://dl.dropboxusercontent.com/scl/fi/07gb5es48ihfd8bsxdnbu/ndsu-af.jpg?rlkey=q55wztw86pod6yj4lo9wr7pjb&amp;dl=0","Click to download Image")</f>
      </c>
      <c r="B3103" s="0">
        <f>HYPERLINK("https://dl.dropboxusercontent.com/scl/fi/uxl0nxd0wnil745s1rhbq/mens-hoodie-size-charts-beckley.jpg?rlkey=4qgb7c0qapsw1gu9ru8r5r94n&amp;dl=0","Click to download SizeChart")</f>
      </c>
      <c r="C3103" s="0" t="inlineStr">
        <is>
          <t>Beckley Mens Hoodie</t>
        </is>
      </c>
      <c r="D3103" s="0" t="inlineStr">
        <is>
          <t>'121391</t>
        </is>
      </c>
      <c r="E3103" s="0" t="inlineStr">
        <is>
          <t>NDSU BECKLEY:121391F-3XL</t>
        </is>
      </c>
      <c r="F3103" s="0" t="inlineStr">
        <is>
          <t>'813121391090</t>
        </is>
      </c>
      <c r="G3103" s="0" t="inlineStr">
        <is>
          <t>MENS</t>
        </is>
      </c>
      <c r="H3103" s="0" t="inlineStr">
        <is>
          <t>3XL</t>
        </is>
      </c>
      <c r="I3103" s="0">
        <v>54.99</v>
      </c>
      <c r="J3103" s="0">
        <v>1</v>
      </c>
    </row>
    <row r="3104" spans="1:10" customHeight="0">
      <c r="A3104" s="0">
        <f>HYPERLINK("https://dl.dropboxusercontent.com/scl/fi/07gb5es48ihfd8bsxdnbu/ndsu-af.jpg?rlkey=q55wztw86pod6yj4lo9wr7pjb&amp;dl=0","Click to download Image")</f>
      </c>
      <c r="B3104" s="0">
        <f>HYPERLINK("https://dl.dropboxusercontent.com/scl/fi/uxl0nxd0wnil745s1rhbq/mens-hoodie-size-charts-beckley.jpg?rlkey=4qgb7c0qapsw1gu9ru8r5r94n&amp;dl=0","Click to download SizeChart")</f>
      </c>
      <c r="C3104" s="0" t="inlineStr">
        <is>
          <t>Beckley Mens Hoodie</t>
        </is>
      </c>
      <c r="D3104" s="0" t="inlineStr">
        <is>
          <t>'121391</t>
        </is>
      </c>
      <c r="E3104" s="0" t="inlineStr">
        <is>
          <t>NDSU BECKLEY 12 PK (121391)</t>
        </is>
      </c>
      <c r="F3104" s="0" t="inlineStr">
        <is>
          <t>'813121391991</t>
        </is>
      </c>
      <c r="G3104" s="0" t="inlineStr">
        <is>
          <t>MENS</t>
        </is>
      </c>
      <c r="H3104" s="0" t="inlineStr">
        <is>
          <t>12 PACK</t>
        </is>
      </c>
      <c r="I3104" s="0">
        <v>617.88</v>
      </c>
      <c r="J3104" s="0">
        <v>0</v>
      </c>
    </row>
    <row r="3105" spans="1:10" customHeight="0">
      <c r="A3105" s="0">
        <f>HYPERLINK("https://dl.dropboxusercontent.com/scl/fi/vjjwfnnsy2dpwxycfj93m/isuaf.jpg?rlkey=jfcjri0hr1wgvellc1m6zmu1r&amp;dl=0","Click to download Image")</f>
      </c>
      <c r="B3105" s="0">
        <f>HYPERLINK("https://dl.dropboxusercontent.com/scl/fi/266zo55b0k8x0t1t6hvzq/womens-tank-top-size-chartsaddie.jpg?rlkey=ivnhelszngy31uut057gndxh2&amp;dl=0","Click to download SizeChart")</f>
      </c>
      <c r="C3105" s="0" t="inlineStr">
        <is>
          <t>Addie Womens Tank</t>
        </is>
      </c>
      <c r="D3105" s="0" t="inlineStr">
        <is>
          <t>'108137</t>
        </is>
      </c>
      <c r="E3105" s="0" t="inlineStr">
        <is>
          <t>ISU ADDIE WHITE:108137A-S</t>
        </is>
      </c>
      <c r="F3105" s="0" t="inlineStr">
        <is>
          <t>'800108137017</t>
        </is>
      </c>
      <c r="G3105" s="0" t="inlineStr">
        <is>
          <t>WOMENS</t>
        </is>
      </c>
      <c r="H3105" s="0" t="inlineStr">
        <is>
          <t>S</t>
        </is>
      </c>
      <c r="I3105" s="0">
        <v>34.99</v>
      </c>
      <c r="J3105" s="0">
        <v>12</v>
      </c>
    </row>
    <row r="3106" spans="1:10" customHeight="0">
      <c r="A3106" s="0">
        <f>HYPERLINK("https://dl.dropboxusercontent.com/scl/fi/vjjwfnnsy2dpwxycfj93m/isuaf.jpg?rlkey=jfcjri0hr1wgvellc1m6zmu1r&amp;dl=0","Click to download Image")</f>
      </c>
      <c r="B3106" s="0">
        <f>HYPERLINK("https://dl.dropboxusercontent.com/scl/fi/266zo55b0k8x0t1t6hvzq/womens-tank-top-size-chartsaddie.jpg?rlkey=ivnhelszngy31uut057gndxh2&amp;dl=0","Click to download SizeChart")</f>
      </c>
      <c r="C3106" s="0" t="inlineStr">
        <is>
          <t>Addie Womens Tank</t>
        </is>
      </c>
      <c r="D3106" s="0" t="inlineStr">
        <is>
          <t>'108137</t>
        </is>
      </c>
      <c r="E3106" s="0" t="inlineStr">
        <is>
          <t>ISU ADDIE WHITE:108137B-M</t>
        </is>
      </c>
      <c r="F3106" s="0" t="inlineStr">
        <is>
          <t>'800108137024</t>
        </is>
      </c>
      <c r="G3106" s="0" t="inlineStr">
        <is>
          <t>WOMENS</t>
        </is>
      </c>
      <c r="H3106" s="0" t="inlineStr">
        <is>
          <t>M</t>
        </is>
      </c>
      <c r="I3106" s="0">
        <v>34.99</v>
      </c>
      <c r="J3106" s="0">
        <v>24</v>
      </c>
    </row>
    <row r="3107" spans="1:10" customHeight="0">
      <c r="A3107" s="0">
        <f>HYPERLINK("https://dl.dropboxusercontent.com/scl/fi/vjjwfnnsy2dpwxycfj93m/isuaf.jpg?rlkey=jfcjri0hr1wgvellc1m6zmu1r&amp;dl=0","Click to download Image")</f>
      </c>
      <c r="B3107" s="0">
        <f>HYPERLINK("https://dl.dropboxusercontent.com/scl/fi/266zo55b0k8x0t1t6hvzq/womens-tank-top-size-chartsaddie.jpg?rlkey=ivnhelszngy31uut057gndxh2&amp;dl=0","Click to download SizeChart")</f>
      </c>
      <c r="C3107" s="0" t="inlineStr">
        <is>
          <t>Addie Womens Tank</t>
        </is>
      </c>
      <c r="D3107" s="0" t="inlineStr">
        <is>
          <t>'108137</t>
        </is>
      </c>
      <c r="E3107" s="0" t="inlineStr">
        <is>
          <t>ISU ADDIE WHITE:108137C-L</t>
        </is>
      </c>
      <c r="F3107" s="0" t="inlineStr">
        <is>
          <t>'800108137031</t>
        </is>
      </c>
      <c r="G3107" s="0" t="inlineStr">
        <is>
          <t>WOMENS</t>
        </is>
      </c>
      <c r="H3107" s="0" t="inlineStr">
        <is>
          <t>L</t>
        </is>
      </c>
      <c r="I3107" s="0">
        <v>34.99</v>
      </c>
      <c r="J3107" s="0">
        <v>24</v>
      </c>
    </row>
    <row r="3108" spans="1:10" customHeight="0">
      <c r="A3108" s="0">
        <f>HYPERLINK("https://dl.dropboxusercontent.com/scl/fi/vjjwfnnsy2dpwxycfj93m/isuaf.jpg?rlkey=jfcjri0hr1wgvellc1m6zmu1r&amp;dl=0","Click to download Image")</f>
      </c>
      <c r="B3108" s="0">
        <f>HYPERLINK("https://dl.dropboxusercontent.com/scl/fi/266zo55b0k8x0t1t6hvzq/womens-tank-top-size-chartsaddie.jpg?rlkey=ivnhelszngy31uut057gndxh2&amp;dl=0","Click to download SizeChart")</f>
      </c>
      <c r="C3108" s="0" t="inlineStr">
        <is>
          <t>Addie Womens Tank</t>
        </is>
      </c>
      <c r="D3108" s="0" t="inlineStr">
        <is>
          <t>'108137</t>
        </is>
      </c>
      <c r="E3108" s="0" t="inlineStr">
        <is>
          <t>ISU ADDIE WHITE:108137D-XL</t>
        </is>
      </c>
      <c r="F3108" s="0" t="inlineStr">
        <is>
          <t>'800108137048</t>
        </is>
      </c>
      <c r="G3108" s="0" t="inlineStr">
        <is>
          <t>WOMENS</t>
        </is>
      </c>
      <c r="H3108" s="0" t="inlineStr">
        <is>
          <t>XL</t>
        </is>
      </c>
      <c r="I3108" s="0">
        <v>34.99</v>
      </c>
      <c r="J3108" s="0">
        <v>12</v>
      </c>
    </row>
    <row r="3109" spans="1:10" customHeight="0">
      <c r="A3109" s="0">
        <f>HYPERLINK("https://dl.dropboxusercontent.com/scl/fi/vjjwfnnsy2dpwxycfj93m/isuaf.jpg?rlkey=jfcjri0hr1wgvellc1m6zmu1r&amp;dl=0","Click to download Image")</f>
      </c>
      <c r="B3109" s="0">
        <f>HYPERLINK("https://dl.dropboxusercontent.com/scl/fi/266zo55b0k8x0t1t6hvzq/womens-tank-top-size-chartsaddie.jpg?rlkey=ivnhelszngy31uut057gndxh2&amp;dl=0","Click to download SizeChart")</f>
      </c>
      <c r="C3109" s="0" t="inlineStr">
        <is>
          <t>Addie Womens Tank</t>
        </is>
      </c>
      <c r="D3109" s="0" t="inlineStr">
        <is>
          <t>'108137</t>
        </is>
      </c>
      <c r="E3109" s="0" t="inlineStr">
        <is>
          <t>ISU ADDIE WHITE:108137E-2XL</t>
        </is>
      </c>
      <c r="F3109" s="0" t="inlineStr">
        <is>
          <t>'800108137055</t>
        </is>
      </c>
      <c r="G3109" s="0" t="inlineStr">
        <is>
          <t>WOMENS</t>
        </is>
      </c>
      <c r="H3109" s="0" t="inlineStr">
        <is>
          <t>2XL</t>
        </is>
      </c>
      <c r="I3109" s="0">
        <v>36.99</v>
      </c>
      <c r="J3109" s="0">
        <v>6</v>
      </c>
    </row>
    <row r="3110" spans="1:10" customHeight="0">
      <c r="A3110" s="0">
        <f>HYPERLINK("https://dl.dropboxusercontent.com/scl/fi/vjjwfnnsy2dpwxycfj93m/isuaf.jpg?rlkey=jfcjri0hr1wgvellc1m6zmu1r&amp;dl=0","Click to download Image")</f>
      </c>
      <c r="B3110" s="0">
        <f>HYPERLINK("https://dl.dropboxusercontent.com/scl/fi/266zo55b0k8x0t1t6hvzq/womens-tank-top-size-chartsaddie.jpg?rlkey=ivnhelszngy31uut057gndxh2&amp;dl=0","Click to download SizeChart")</f>
      </c>
      <c r="C3110" s="0" t="inlineStr">
        <is>
          <t>Addie Womens Tank</t>
        </is>
      </c>
      <c r="D3110" s="0" t="inlineStr">
        <is>
          <t>'108137</t>
        </is>
      </c>
      <c r="E3110" s="0" t="inlineStr">
        <is>
          <t>ISU ADDIE WHITE:108137F-3XL</t>
        </is>
      </c>
      <c r="F3110" s="0" t="inlineStr">
        <is>
          <t>'800108137062</t>
        </is>
      </c>
      <c r="G3110" s="0" t="inlineStr">
        <is>
          <t>WOMENS</t>
        </is>
      </c>
      <c r="H3110" s="0" t="inlineStr">
        <is>
          <t>3XL</t>
        </is>
      </c>
      <c r="I3110" s="0">
        <v>36.99</v>
      </c>
      <c r="J3110" s="0">
        <v>2</v>
      </c>
    </row>
    <row r="3111" spans="1:10" customHeight="0">
      <c r="A3111" s="0">
        <f>HYPERLINK("https://dl.dropboxusercontent.com/scl/fi/vjjwfnnsy2dpwxycfj93m/isuaf.jpg?rlkey=jfcjri0hr1wgvellc1m6zmu1r&amp;dl=0","Click to download Image")</f>
      </c>
      <c r="B3111" s="0">
        <f>HYPERLINK("https://dl.dropboxusercontent.com/scl/fi/266zo55b0k8x0t1t6hvzq/womens-tank-top-size-chartsaddie.jpg?rlkey=ivnhelszngy31uut057gndxh2&amp;dl=0","Click to download SizeChart")</f>
      </c>
      <c r="C3111" s="0" t="inlineStr">
        <is>
          <t>Addie Womens Tank</t>
        </is>
      </c>
      <c r="D3111" s="0" t="inlineStr">
        <is>
          <t>'108137</t>
        </is>
      </c>
      <c r="E3111" s="0" t="inlineStr">
        <is>
          <t>ISU ADDIE WHITE 12 PACK:108137Z-12PK</t>
        </is>
      </c>
      <c r="F3111" s="0" t="inlineStr">
        <is>
          <t>'800108137109</t>
        </is>
      </c>
      <c r="G3111" s="0" t="inlineStr">
        <is>
          <t>WOMENS</t>
        </is>
      </c>
      <c r="H3111" s="0" t="inlineStr">
        <is>
          <t>12 PACK</t>
        </is>
      </c>
      <c r="I3111" s="0">
        <v>395.88</v>
      </c>
      <c r="J3111" s="0">
        <v>0</v>
      </c>
    </row>
    <row r="3112" spans="1:10" customHeight="0">
      <c r="A3112" s="0">
        <f>HYPERLINK("https://dl.dropboxusercontent.com/scl/fi/w409hupi4v2g4js4f3r2e/iowaaf.jpg?rlkey=c78o1866yliohhmmfm2w08akj&amp;dl=0","Click to download Image")</f>
      </c>
      <c r="B3112" s="0">
        <f>HYPERLINK("https://dl.dropboxusercontent.com/scl/fi/266zo55b0k8x0t1t6hvzq/womens-tank-top-size-chartsaddie.jpg?rlkey=ivnhelszngy31uut057gndxh2&amp;dl=0","Click to download SizeChart")</f>
      </c>
      <c r="C3112" s="0" t="inlineStr">
        <is>
          <t>Addie Womens Tank</t>
        </is>
      </c>
      <c r="D3112" s="0" t="inlineStr">
        <is>
          <t>'108136</t>
        </is>
      </c>
      <c r="E3112" s="0" t="inlineStr">
        <is>
          <t>IOWA ADDIE WHITE:108136A-S</t>
        </is>
      </c>
      <c r="F3112" s="0" t="inlineStr">
        <is>
          <t>'800108136010</t>
        </is>
      </c>
      <c r="G3112" s="0" t="inlineStr">
        <is>
          <t>WOMENS</t>
        </is>
      </c>
      <c r="H3112" s="0" t="inlineStr">
        <is>
          <t>S</t>
        </is>
      </c>
      <c r="I3112" s="0">
        <v>34.99</v>
      </c>
      <c r="J3112" s="0">
        <v>17</v>
      </c>
    </row>
    <row r="3113" spans="1:10" customHeight="0">
      <c r="A3113" s="0">
        <f>HYPERLINK("https://dl.dropboxusercontent.com/scl/fi/w409hupi4v2g4js4f3r2e/iowaaf.jpg?rlkey=c78o1866yliohhmmfm2w08akj&amp;dl=0","Click to download Image")</f>
      </c>
      <c r="B3113" s="0">
        <f>HYPERLINK("https://dl.dropboxusercontent.com/scl/fi/266zo55b0k8x0t1t6hvzq/womens-tank-top-size-chartsaddie.jpg?rlkey=ivnhelszngy31uut057gndxh2&amp;dl=0","Click to download SizeChart")</f>
      </c>
      <c r="C3113" s="0" t="inlineStr">
        <is>
          <t>Addie Womens Tank</t>
        </is>
      </c>
      <c r="D3113" s="0" t="inlineStr">
        <is>
          <t>'108136</t>
        </is>
      </c>
      <c r="E3113" s="0" t="inlineStr">
        <is>
          <t>IOWA ADDIE WHITE:108136B-M</t>
        </is>
      </c>
      <c r="F3113" s="0" t="inlineStr">
        <is>
          <t>'800108136027</t>
        </is>
      </c>
      <c r="G3113" s="0" t="inlineStr">
        <is>
          <t>WOMENS</t>
        </is>
      </c>
      <c r="H3113" s="0" t="inlineStr">
        <is>
          <t>M</t>
        </is>
      </c>
      <c r="I3113" s="0">
        <v>34.99</v>
      </c>
      <c r="J3113" s="0">
        <v>35</v>
      </c>
    </row>
    <row r="3114" spans="1:10" customHeight="0">
      <c r="A3114" s="0">
        <f>HYPERLINK("https://dl.dropboxusercontent.com/scl/fi/w409hupi4v2g4js4f3r2e/iowaaf.jpg?rlkey=c78o1866yliohhmmfm2w08akj&amp;dl=0","Click to download Image")</f>
      </c>
      <c r="B3114" s="0">
        <f>HYPERLINK("https://dl.dropboxusercontent.com/scl/fi/266zo55b0k8x0t1t6hvzq/womens-tank-top-size-chartsaddie.jpg?rlkey=ivnhelszngy31uut057gndxh2&amp;dl=0","Click to download SizeChart")</f>
      </c>
      <c r="C3114" s="0" t="inlineStr">
        <is>
          <t>Addie Womens Tank</t>
        </is>
      </c>
      <c r="D3114" s="0" t="inlineStr">
        <is>
          <t>'108136</t>
        </is>
      </c>
      <c r="E3114" s="0" t="inlineStr">
        <is>
          <t>IOWA ADDIE WHITE:108136C-L</t>
        </is>
      </c>
      <c r="F3114" s="0" t="inlineStr">
        <is>
          <t>'800108136034</t>
        </is>
      </c>
      <c r="G3114" s="0" t="inlineStr">
        <is>
          <t>WOMENS</t>
        </is>
      </c>
      <c r="H3114" s="0" t="inlineStr">
        <is>
          <t>L</t>
        </is>
      </c>
      <c r="I3114" s="0">
        <v>34.99</v>
      </c>
      <c r="J3114" s="0">
        <v>35</v>
      </c>
    </row>
    <row r="3115" spans="1:10" customHeight="0">
      <c r="A3115" s="0">
        <f>HYPERLINK("https://dl.dropboxusercontent.com/scl/fi/w409hupi4v2g4js4f3r2e/iowaaf.jpg?rlkey=c78o1866yliohhmmfm2w08akj&amp;dl=0","Click to download Image")</f>
      </c>
      <c r="B3115" s="0">
        <f>HYPERLINK("https://dl.dropboxusercontent.com/scl/fi/266zo55b0k8x0t1t6hvzq/womens-tank-top-size-chartsaddie.jpg?rlkey=ivnhelszngy31uut057gndxh2&amp;dl=0","Click to download SizeChart")</f>
      </c>
      <c r="C3115" s="0" t="inlineStr">
        <is>
          <t>Addie Womens Tank</t>
        </is>
      </c>
      <c r="D3115" s="0" t="inlineStr">
        <is>
          <t>'108136</t>
        </is>
      </c>
      <c r="E3115" s="0" t="inlineStr">
        <is>
          <t>IOWA ADDIE WHITE:108136D-XL</t>
        </is>
      </c>
      <c r="F3115" s="0" t="inlineStr">
        <is>
          <t>'800108136041</t>
        </is>
      </c>
      <c r="G3115" s="0" t="inlineStr">
        <is>
          <t>WOMENS</t>
        </is>
      </c>
      <c r="H3115" s="0" t="inlineStr">
        <is>
          <t>XL</t>
        </is>
      </c>
      <c r="I3115" s="0">
        <v>34.99</v>
      </c>
      <c r="J3115" s="0">
        <v>17</v>
      </c>
    </row>
    <row r="3116" spans="1:10" customHeight="0">
      <c r="A3116" s="0">
        <f>HYPERLINK("https://dl.dropboxusercontent.com/scl/fi/w409hupi4v2g4js4f3r2e/iowaaf.jpg?rlkey=c78o1866yliohhmmfm2w08akj&amp;dl=0","Click to download Image")</f>
      </c>
      <c r="B3116" s="0">
        <f>HYPERLINK("https://dl.dropboxusercontent.com/scl/fi/266zo55b0k8x0t1t6hvzq/womens-tank-top-size-chartsaddie.jpg?rlkey=ivnhelszngy31uut057gndxh2&amp;dl=0","Click to download SizeChart")</f>
      </c>
      <c r="C3116" s="0" t="inlineStr">
        <is>
          <t>Addie Womens Tank</t>
        </is>
      </c>
      <c r="D3116" s="0" t="inlineStr">
        <is>
          <t>'108136</t>
        </is>
      </c>
      <c r="E3116" s="0" t="inlineStr">
        <is>
          <t>IOWA ADDIE WHITE:108136E-2XL</t>
        </is>
      </c>
      <c r="F3116" s="0" t="inlineStr">
        <is>
          <t>'800108136058</t>
        </is>
      </c>
      <c r="G3116" s="0" t="inlineStr">
        <is>
          <t>WOMENS</t>
        </is>
      </c>
      <c r="H3116" s="0" t="inlineStr">
        <is>
          <t>2XL</t>
        </is>
      </c>
      <c r="I3116" s="0">
        <v>36.99</v>
      </c>
      <c r="J3116" s="0">
        <v>9</v>
      </c>
    </row>
    <row r="3117" spans="1:10" customHeight="0">
      <c r="A3117" s="0">
        <f>HYPERLINK("https://dl.dropboxusercontent.com/scl/fi/w409hupi4v2g4js4f3r2e/iowaaf.jpg?rlkey=c78o1866yliohhmmfm2w08akj&amp;dl=0","Click to download Image")</f>
      </c>
      <c r="B3117" s="0">
        <f>HYPERLINK("https://dl.dropboxusercontent.com/scl/fi/266zo55b0k8x0t1t6hvzq/womens-tank-top-size-chartsaddie.jpg?rlkey=ivnhelszngy31uut057gndxh2&amp;dl=0","Click to download SizeChart")</f>
      </c>
      <c r="C3117" s="0" t="inlineStr">
        <is>
          <t>Addie Womens Tank</t>
        </is>
      </c>
      <c r="D3117" s="0" t="inlineStr">
        <is>
          <t>'108136</t>
        </is>
      </c>
      <c r="E3117" s="0" t="inlineStr">
        <is>
          <t>IOWA ADDIE WHITE:108136F-3XL</t>
        </is>
      </c>
      <c r="F3117" s="0" t="inlineStr">
        <is>
          <t>'800108136065</t>
        </is>
      </c>
      <c r="G3117" s="0" t="inlineStr">
        <is>
          <t>WOMENS</t>
        </is>
      </c>
      <c r="H3117" s="0" t="inlineStr">
        <is>
          <t>3XL</t>
        </is>
      </c>
      <c r="I3117" s="0">
        <v>36.99</v>
      </c>
      <c r="J3117" s="0">
        <v>4</v>
      </c>
    </row>
    <row r="3118" spans="1:10" customHeight="0">
      <c r="A3118" s="0">
        <f>HYPERLINK("https://dl.dropboxusercontent.com/scl/fi/w409hupi4v2g4js4f3r2e/iowaaf.jpg?rlkey=c78o1866yliohhmmfm2w08akj&amp;dl=0","Click to download Image")</f>
      </c>
      <c r="B3118" s="0">
        <f>HYPERLINK("https://dl.dropboxusercontent.com/scl/fi/266zo55b0k8x0t1t6hvzq/womens-tank-top-size-chartsaddie.jpg?rlkey=ivnhelszngy31uut057gndxh2&amp;dl=0","Click to download SizeChart")</f>
      </c>
      <c r="C3118" s="0" t="inlineStr">
        <is>
          <t>Addie Womens Tank</t>
        </is>
      </c>
      <c r="D3118" s="0" t="inlineStr">
        <is>
          <t>'108136</t>
        </is>
      </c>
      <c r="E3118" s="0" t="inlineStr">
        <is>
          <t>IOWA ADDIE WHITE 12 PACK:108136Z-12PK</t>
        </is>
      </c>
      <c r="F3118" s="0" t="inlineStr">
        <is>
          <t>'800108136102</t>
        </is>
      </c>
      <c r="G3118" s="0" t="inlineStr">
        <is>
          <t>WOMENS</t>
        </is>
      </c>
      <c r="H3118" s="0" t="inlineStr">
        <is>
          <t>12 PACK</t>
        </is>
      </c>
      <c r="I3118" s="0">
        <v>395.88</v>
      </c>
      <c r="J3118" s="0">
        <v>0</v>
      </c>
    </row>
    <row r="3119" spans="1:10" customHeight="0">
      <c r="A3119" s="0">
        <f>HYPERLINK("https://dl.dropboxusercontent.com/scl/fi/gbjoi663mavcqnoc653ee/isucardaf.jpg?rlkey=4ynwsgpq6siyui8go4hoher0n&amp;dl=0","Click to download Image")</f>
      </c>
      <c r="B3119" s="0">
        <f>HYPERLINK("https://dl.dropboxusercontent.com/scl/fi/266zo55b0k8x0t1t6hvzq/womens-tank-top-size-chartsaddie.jpg?rlkey=ivnhelszngy31uut057gndxh2&amp;dl=0","Click to download SizeChart")</f>
      </c>
      <c r="C3119" s="0" t="inlineStr">
        <is>
          <t>Addie Womens Tank</t>
        </is>
      </c>
      <c r="D3119" s="0" t="inlineStr">
        <is>
          <t>'111431</t>
        </is>
      </c>
      <c r="E3119" s="0" t="inlineStr">
        <is>
          <t>ISU ADDIE CARDINAL:111431A-S</t>
        </is>
      </c>
      <c r="F3119" s="0" t="inlineStr">
        <is>
          <t>'801111431048</t>
        </is>
      </c>
      <c r="G3119" s="0" t="inlineStr">
        <is>
          <t>WOMENS</t>
        </is>
      </c>
      <c r="H3119" s="0" t="inlineStr">
        <is>
          <t>S</t>
        </is>
      </c>
      <c r="I3119" s="0">
        <v>34.99</v>
      </c>
      <c r="J3119" s="0">
        <v>12</v>
      </c>
    </row>
    <row r="3120" spans="1:10" customHeight="0">
      <c r="A3120" s="0">
        <f>HYPERLINK("https://dl.dropboxusercontent.com/scl/fi/gbjoi663mavcqnoc653ee/isucardaf.jpg?rlkey=4ynwsgpq6siyui8go4hoher0n&amp;dl=0","Click to download Image")</f>
      </c>
      <c r="B3120" s="0">
        <f>HYPERLINK("https://dl.dropboxusercontent.com/scl/fi/266zo55b0k8x0t1t6hvzq/womens-tank-top-size-chartsaddie.jpg?rlkey=ivnhelszngy31uut057gndxh2&amp;dl=0","Click to download SizeChart")</f>
      </c>
      <c r="C3120" s="0" t="inlineStr">
        <is>
          <t>Addie Womens Tank</t>
        </is>
      </c>
      <c r="D3120" s="0" t="inlineStr">
        <is>
          <t>'111431</t>
        </is>
      </c>
      <c r="E3120" s="0" t="inlineStr">
        <is>
          <t>ISU ADDIE CARDINAL:111431B-M</t>
        </is>
      </c>
      <c r="F3120" s="0" t="inlineStr">
        <is>
          <t>'801111431055</t>
        </is>
      </c>
      <c r="G3120" s="0" t="inlineStr">
        <is>
          <t>WOMENS</t>
        </is>
      </c>
      <c r="H3120" s="0" t="inlineStr">
        <is>
          <t>M</t>
        </is>
      </c>
      <c r="I3120" s="0">
        <v>34.99</v>
      </c>
      <c r="J3120" s="0">
        <v>24</v>
      </c>
    </row>
    <row r="3121" spans="1:10" customHeight="0">
      <c r="A3121" s="0">
        <f>HYPERLINK("https://dl.dropboxusercontent.com/scl/fi/gbjoi663mavcqnoc653ee/isucardaf.jpg?rlkey=4ynwsgpq6siyui8go4hoher0n&amp;dl=0","Click to download Image")</f>
      </c>
      <c r="B3121" s="0">
        <f>HYPERLINK("https://dl.dropboxusercontent.com/scl/fi/266zo55b0k8x0t1t6hvzq/womens-tank-top-size-chartsaddie.jpg?rlkey=ivnhelszngy31uut057gndxh2&amp;dl=0","Click to download SizeChart")</f>
      </c>
      <c r="C3121" s="0" t="inlineStr">
        <is>
          <t>Addie Womens Tank</t>
        </is>
      </c>
      <c r="D3121" s="0" t="inlineStr">
        <is>
          <t>'111431</t>
        </is>
      </c>
      <c r="E3121" s="0" t="inlineStr">
        <is>
          <t>ISU ADDIE CARDINAL:111431C-L</t>
        </is>
      </c>
      <c r="F3121" s="0" t="inlineStr">
        <is>
          <t>'801111431062</t>
        </is>
      </c>
      <c r="G3121" s="0" t="inlineStr">
        <is>
          <t>WOMENS</t>
        </is>
      </c>
      <c r="H3121" s="0" t="inlineStr">
        <is>
          <t>L</t>
        </is>
      </c>
      <c r="I3121" s="0">
        <v>34.99</v>
      </c>
      <c r="J3121" s="0">
        <v>24</v>
      </c>
    </row>
    <row r="3122" spans="1:10" customHeight="0">
      <c r="A3122" s="0">
        <f>HYPERLINK("https://dl.dropboxusercontent.com/scl/fi/gbjoi663mavcqnoc653ee/isucardaf.jpg?rlkey=4ynwsgpq6siyui8go4hoher0n&amp;dl=0","Click to download Image")</f>
      </c>
      <c r="B3122" s="0">
        <f>HYPERLINK("https://dl.dropboxusercontent.com/scl/fi/266zo55b0k8x0t1t6hvzq/womens-tank-top-size-chartsaddie.jpg?rlkey=ivnhelszngy31uut057gndxh2&amp;dl=0","Click to download SizeChart")</f>
      </c>
      <c r="C3122" s="0" t="inlineStr">
        <is>
          <t>Addie Womens Tank</t>
        </is>
      </c>
      <c r="D3122" s="0" t="inlineStr">
        <is>
          <t>'111431</t>
        </is>
      </c>
      <c r="E3122" s="0" t="inlineStr">
        <is>
          <t>ISU ADDIE CARDINAL:111431D-XL</t>
        </is>
      </c>
      <c r="F3122" s="0" t="inlineStr">
        <is>
          <t>'801111431079</t>
        </is>
      </c>
      <c r="G3122" s="0" t="inlineStr">
        <is>
          <t>WOMENS</t>
        </is>
      </c>
      <c r="H3122" s="0" t="inlineStr">
        <is>
          <t>XL</t>
        </is>
      </c>
      <c r="I3122" s="0">
        <v>34.99</v>
      </c>
      <c r="J3122" s="0">
        <v>12</v>
      </c>
    </row>
    <row r="3123" spans="1:10" customHeight="0">
      <c r="A3123" s="0">
        <f>HYPERLINK("https://dl.dropboxusercontent.com/scl/fi/gbjoi663mavcqnoc653ee/isucardaf.jpg?rlkey=4ynwsgpq6siyui8go4hoher0n&amp;dl=0","Click to download Image")</f>
      </c>
      <c r="B3123" s="0">
        <f>HYPERLINK("https://dl.dropboxusercontent.com/scl/fi/266zo55b0k8x0t1t6hvzq/womens-tank-top-size-chartsaddie.jpg?rlkey=ivnhelszngy31uut057gndxh2&amp;dl=0","Click to download SizeChart")</f>
      </c>
      <c r="C3123" s="0" t="inlineStr">
        <is>
          <t>Addie Womens Tank</t>
        </is>
      </c>
      <c r="D3123" s="0" t="inlineStr">
        <is>
          <t>'111431</t>
        </is>
      </c>
      <c r="E3123" s="0" t="inlineStr">
        <is>
          <t>ISU ADDIE CARDINAL:111431E-2XL</t>
        </is>
      </c>
      <c r="F3123" s="0" t="inlineStr">
        <is>
          <t>'801111431086</t>
        </is>
      </c>
      <c r="G3123" s="0" t="inlineStr">
        <is>
          <t>WOMENS</t>
        </is>
      </c>
      <c r="H3123" s="0" t="inlineStr">
        <is>
          <t>2XL</t>
        </is>
      </c>
      <c r="I3123" s="0">
        <v>36.99</v>
      </c>
      <c r="J3123" s="0">
        <v>5</v>
      </c>
    </row>
    <row r="3124" spans="1:10" customHeight="0">
      <c r="A3124" s="0">
        <f>HYPERLINK("https://dl.dropboxusercontent.com/scl/fi/gbjoi663mavcqnoc653ee/isucardaf.jpg?rlkey=4ynwsgpq6siyui8go4hoher0n&amp;dl=0","Click to download Image")</f>
      </c>
      <c r="B3124" s="0">
        <f>HYPERLINK("https://dl.dropboxusercontent.com/scl/fi/266zo55b0k8x0t1t6hvzq/womens-tank-top-size-chartsaddie.jpg?rlkey=ivnhelszngy31uut057gndxh2&amp;dl=0","Click to download SizeChart")</f>
      </c>
      <c r="C3124" s="0" t="inlineStr">
        <is>
          <t>Addie Womens Tank</t>
        </is>
      </c>
      <c r="D3124" s="0" t="inlineStr">
        <is>
          <t>'111431</t>
        </is>
      </c>
      <c r="E3124" s="0" t="inlineStr">
        <is>
          <t>ISU ADDIE CARDINAL:111431F-3XL</t>
        </is>
      </c>
      <c r="F3124" s="0" t="inlineStr">
        <is>
          <t>'801111431093</t>
        </is>
      </c>
      <c r="G3124" s="0" t="inlineStr">
        <is>
          <t>WOMENS</t>
        </is>
      </c>
      <c r="H3124" s="0" t="inlineStr">
        <is>
          <t>3XL</t>
        </is>
      </c>
      <c r="I3124" s="0">
        <v>36.99</v>
      </c>
      <c r="J3124" s="0">
        <v>3</v>
      </c>
    </row>
    <row r="3125" spans="1:10" customHeight="0">
      <c r="A3125" s="0">
        <f>HYPERLINK("https://dl.dropboxusercontent.com/scl/fi/gbjoi663mavcqnoc653ee/isucardaf.jpg?rlkey=4ynwsgpq6siyui8go4hoher0n&amp;dl=0","Click to download Image")</f>
      </c>
      <c r="B3125" s="0">
        <f>HYPERLINK("https://dl.dropboxusercontent.com/scl/fi/266zo55b0k8x0t1t6hvzq/womens-tank-top-size-chartsaddie.jpg?rlkey=ivnhelszngy31uut057gndxh2&amp;dl=0","Click to download SizeChart")</f>
      </c>
      <c r="C3125" s="0" t="inlineStr">
        <is>
          <t>Addie Womens Tank</t>
        </is>
      </c>
      <c r="D3125" s="0" t="inlineStr">
        <is>
          <t>'111431</t>
        </is>
      </c>
      <c r="E3125" s="0" t="inlineStr">
        <is>
          <t>ISU ADDIE CARDINAL 12 PACK:111431Z-12PK</t>
        </is>
      </c>
      <c r="F3125" s="0" t="inlineStr">
        <is>
          <t>'801111431994</t>
        </is>
      </c>
      <c r="G3125" s="0" t="inlineStr">
        <is>
          <t>WOMENS</t>
        </is>
      </c>
      <c r="H3125" s="0" t="inlineStr">
        <is>
          <t>12 PACK</t>
        </is>
      </c>
      <c r="I3125" s="0">
        <v>395.88</v>
      </c>
      <c r="J3125" s="0">
        <v>0</v>
      </c>
    </row>
    <row r="3126" spans="1:10" customHeight="0">
      <c r="A3126" s="0">
        <f>HYPERLINK("https://dl.dropboxusercontent.com/scl/fi/ygk7ptwz6s4ujfnd83ng3/iowablackaf.jpg?rlkey=scz5n191myf6w4dcn0m0ktzg0&amp;dl=0","Click to download Image")</f>
      </c>
      <c r="B3126" s="0">
        <f>HYPERLINK("https://dl.dropboxusercontent.com/scl/fi/266zo55b0k8x0t1t6hvzq/womens-tank-top-size-chartsaddie.jpg?rlkey=ivnhelszngy31uut057gndxh2&amp;dl=0","Click to download SizeChart")</f>
      </c>
      <c r="C3126" s="0" t="inlineStr">
        <is>
          <t>Addie Womens Tank</t>
        </is>
      </c>
      <c r="D3126" s="0" t="inlineStr">
        <is>
          <t>'111430</t>
        </is>
      </c>
      <c r="E3126" s="0" t="inlineStr">
        <is>
          <t>IOWA ADDIE BLACK:111430A-S</t>
        </is>
      </c>
      <c r="F3126" s="0" t="inlineStr">
        <is>
          <t>'800111430044</t>
        </is>
      </c>
      <c r="G3126" s="0" t="inlineStr">
        <is>
          <t>WOMENS</t>
        </is>
      </c>
      <c r="H3126" s="0" t="inlineStr">
        <is>
          <t>S</t>
        </is>
      </c>
      <c r="I3126" s="0">
        <v>34.99</v>
      </c>
      <c r="J3126" s="0">
        <v>20</v>
      </c>
    </row>
    <row r="3127" spans="1:10" customHeight="0">
      <c r="A3127" s="0">
        <f>HYPERLINK("https://dl.dropboxusercontent.com/scl/fi/ygk7ptwz6s4ujfnd83ng3/iowablackaf.jpg?rlkey=scz5n191myf6w4dcn0m0ktzg0&amp;dl=0","Click to download Image")</f>
      </c>
      <c r="B3127" s="0">
        <f>HYPERLINK("https://dl.dropboxusercontent.com/scl/fi/266zo55b0k8x0t1t6hvzq/womens-tank-top-size-chartsaddie.jpg?rlkey=ivnhelszngy31uut057gndxh2&amp;dl=0","Click to download SizeChart")</f>
      </c>
      <c r="C3127" s="0" t="inlineStr">
        <is>
          <t>Addie Womens Tank</t>
        </is>
      </c>
      <c r="D3127" s="0" t="inlineStr">
        <is>
          <t>'111430</t>
        </is>
      </c>
      <c r="E3127" s="0" t="inlineStr">
        <is>
          <t>IOWA ADDIE BLACK:111430B-M</t>
        </is>
      </c>
      <c r="F3127" s="0" t="inlineStr">
        <is>
          <t>'800111430051</t>
        </is>
      </c>
      <c r="G3127" s="0" t="inlineStr">
        <is>
          <t>WOMENS</t>
        </is>
      </c>
      <c r="H3127" s="0" t="inlineStr">
        <is>
          <t>M</t>
        </is>
      </c>
      <c r="I3127" s="0">
        <v>34.99</v>
      </c>
      <c r="J3127" s="0">
        <v>40</v>
      </c>
    </row>
    <row r="3128" spans="1:10" customHeight="0">
      <c r="A3128" s="0">
        <f>HYPERLINK("https://dl.dropboxusercontent.com/scl/fi/ygk7ptwz6s4ujfnd83ng3/iowablackaf.jpg?rlkey=scz5n191myf6w4dcn0m0ktzg0&amp;dl=0","Click to download Image")</f>
      </c>
      <c r="B3128" s="0">
        <f>HYPERLINK("https://dl.dropboxusercontent.com/scl/fi/266zo55b0k8x0t1t6hvzq/womens-tank-top-size-chartsaddie.jpg?rlkey=ivnhelszngy31uut057gndxh2&amp;dl=0","Click to download SizeChart")</f>
      </c>
      <c r="C3128" s="0" t="inlineStr">
        <is>
          <t>Addie Womens Tank</t>
        </is>
      </c>
      <c r="D3128" s="0" t="inlineStr">
        <is>
          <t>'111430</t>
        </is>
      </c>
      <c r="E3128" s="0" t="inlineStr">
        <is>
          <t>IOWA ADDIE BLACK:111430C-L</t>
        </is>
      </c>
      <c r="F3128" s="0" t="inlineStr">
        <is>
          <t>'800111430068</t>
        </is>
      </c>
      <c r="G3128" s="0" t="inlineStr">
        <is>
          <t>WOMENS</t>
        </is>
      </c>
      <c r="H3128" s="0" t="inlineStr">
        <is>
          <t>L</t>
        </is>
      </c>
      <c r="I3128" s="0">
        <v>34.99</v>
      </c>
      <c r="J3128" s="0">
        <v>40</v>
      </c>
    </row>
    <row r="3129" spans="1:10" customHeight="0">
      <c r="A3129" s="0">
        <f>HYPERLINK("https://dl.dropboxusercontent.com/scl/fi/ygk7ptwz6s4ujfnd83ng3/iowablackaf.jpg?rlkey=scz5n191myf6w4dcn0m0ktzg0&amp;dl=0","Click to download Image")</f>
      </c>
      <c r="B3129" s="0">
        <f>HYPERLINK("https://dl.dropboxusercontent.com/scl/fi/266zo55b0k8x0t1t6hvzq/womens-tank-top-size-chartsaddie.jpg?rlkey=ivnhelszngy31uut057gndxh2&amp;dl=0","Click to download SizeChart")</f>
      </c>
      <c r="C3129" s="0" t="inlineStr">
        <is>
          <t>Addie Womens Tank</t>
        </is>
      </c>
      <c r="D3129" s="0" t="inlineStr">
        <is>
          <t>'111430</t>
        </is>
      </c>
      <c r="E3129" s="0" t="inlineStr">
        <is>
          <t>IOWA ADDIE BLACK:111430D-XL</t>
        </is>
      </c>
      <c r="F3129" s="0" t="inlineStr">
        <is>
          <t>'800111430075</t>
        </is>
      </c>
      <c r="G3129" s="0" t="inlineStr">
        <is>
          <t>WOMENS</t>
        </is>
      </c>
      <c r="H3129" s="0" t="inlineStr">
        <is>
          <t>XL</t>
        </is>
      </c>
      <c r="I3129" s="0">
        <v>34.99</v>
      </c>
      <c r="J3129" s="0">
        <v>20</v>
      </c>
    </row>
    <row r="3130" spans="1:10" customHeight="0">
      <c r="A3130" s="0">
        <f>HYPERLINK("https://dl.dropboxusercontent.com/scl/fi/ygk7ptwz6s4ujfnd83ng3/iowablackaf.jpg?rlkey=scz5n191myf6w4dcn0m0ktzg0&amp;dl=0","Click to download Image")</f>
      </c>
      <c r="B3130" s="0">
        <f>HYPERLINK("https://dl.dropboxusercontent.com/scl/fi/266zo55b0k8x0t1t6hvzq/womens-tank-top-size-chartsaddie.jpg?rlkey=ivnhelszngy31uut057gndxh2&amp;dl=0","Click to download SizeChart")</f>
      </c>
      <c r="C3130" s="0" t="inlineStr">
        <is>
          <t>Addie Womens Tank</t>
        </is>
      </c>
      <c r="D3130" s="0" t="inlineStr">
        <is>
          <t>'111430</t>
        </is>
      </c>
      <c r="E3130" s="0" t="inlineStr">
        <is>
          <t>IOWA ADDIE BLACK:111430E-2XL</t>
        </is>
      </c>
      <c r="F3130" s="0" t="inlineStr">
        <is>
          <t>'800111430082</t>
        </is>
      </c>
      <c r="G3130" s="0" t="inlineStr">
        <is>
          <t>WOMENS</t>
        </is>
      </c>
      <c r="H3130" s="0" t="inlineStr">
        <is>
          <t>2XL</t>
        </is>
      </c>
      <c r="I3130" s="0">
        <v>36.99</v>
      </c>
      <c r="J3130" s="0">
        <v>10</v>
      </c>
    </row>
    <row r="3131" spans="1:10" customHeight="0">
      <c r="A3131" s="0">
        <f>HYPERLINK("https://dl.dropboxusercontent.com/scl/fi/ygk7ptwz6s4ujfnd83ng3/iowablackaf.jpg?rlkey=scz5n191myf6w4dcn0m0ktzg0&amp;dl=0","Click to download Image")</f>
      </c>
      <c r="B3131" s="0">
        <f>HYPERLINK("https://dl.dropboxusercontent.com/scl/fi/266zo55b0k8x0t1t6hvzq/womens-tank-top-size-chartsaddie.jpg?rlkey=ivnhelszngy31uut057gndxh2&amp;dl=0","Click to download SizeChart")</f>
      </c>
      <c r="C3131" s="0" t="inlineStr">
        <is>
          <t>Addie Womens Tank</t>
        </is>
      </c>
      <c r="D3131" s="0" t="inlineStr">
        <is>
          <t>'111430</t>
        </is>
      </c>
      <c r="E3131" s="0" t="inlineStr">
        <is>
          <t>IOWA ADDIE BLACK:111430F-3XL</t>
        </is>
      </c>
      <c r="F3131" s="0" t="inlineStr">
        <is>
          <t>'800111430099</t>
        </is>
      </c>
      <c r="G3131" s="0" t="inlineStr">
        <is>
          <t>WOMENS</t>
        </is>
      </c>
      <c r="H3131" s="0" t="inlineStr">
        <is>
          <t>3XL</t>
        </is>
      </c>
      <c r="I3131" s="0">
        <v>36.99</v>
      </c>
      <c r="J3131" s="0">
        <v>5</v>
      </c>
    </row>
    <row r="3132" spans="1:10" customHeight="0">
      <c r="A3132" s="0">
        <f>HYPERLINK("https://dl.dropboxusercontent.com/scl/fi/ygk7ptwz6s4ujfnd83ng3/iowablackaf.jpg?rlkey=scz5n191myf6w4dcn0m0ktzg0&amp;dl=0","Click to download Image")</f>
      </c>
      <c r="B3132" s="0">
        <f>HYPERLINK("https://dl.dropboxusercontent.com/scl/fi/266zo55b0k8x0t1t6hvzq/womens-tank-top-size-chartsaddie.jpg?rlkey=ivnhelszngy31uut057gndxh2&amp;dl=0","Click to download SizeChart")</f>
      </c>
      <c r="C3132" s="0" t="inlineStr">
        <is>
          <t>Addie Womens Tank</t>
        </is>
      </c>
      <c r="D3132" s="0" t="inlineStr">
        <is>
          <t>'111430</t>
        </is>
      </c>
      <c r="E3132" s="0" t="inlineStr">
        <is>
          <t>IOWA ADDIE BLACK 12 PACK:111430Z-12PK</t>
        </is>
      </c>
      <c r="F3132" s="0" t="inlineStr">
        <is>
          <t>'800111430990</t>
        </is>
      </c>
      <c r="G3132" s="0" t="inlineStr">
        <is>
          <t>WOMENS</t>
        </is>
      </c>
      <c r="H3132" s="0" t="inlineStr">
        <is>
          <t>12 PACK</t>
        </is>
      </c>
      <c r="I3132" s="0">
        <v>395.88</v>
      </c>
      <c r="J3132" s="0">
        <v>0</v>
      </c>
    </row>
    <row r="3133" spans="1:10" customHeight="0">
      <c r="A3133" s="0">
        <f>HYPERLINK("https://dl.dropboxusercontent.com/scl/fi/uhas39aswtw09xhj3q9hk/uniaf.jpg?rlkey=cp6irrdh3fvsh1ed51a0myryu&amp;dl=0","Click to download Image")</f>
      </c>
      <c r="B3133" s="0">
        <f>HYPERLINK("https://dl.dropboxusercontent.com/scl/fi/266zo55b0k8x0t1t6hvzq/womens-tank-top-size-chartsaddie.jpg?rlkey=ivnhelszngy31uut057gndxh2&amp;dl=0","Click to download SizeChart")</f>
      </c>
      <c r="C3133" s="0" t="inlineStr">
        <is>
          <t>Addie Womens Tank</t>
        </is>
      </c>
      <c r="D3133" s="0" t="inlineStr">
        <is>
          <t>'111429</t>
        </is>
      </c>
      <c r="E3133" s="0" t="inlineStr">
        <is>
          <t>UNI ADDIE PURPLE:111429A-S</t>
        </is>
      </c>
      <c r="F3133" s="0" t="inlineStr">
        <is>
          <t>'802111429042</t>
        </is>
      </c>
      <c r="G3133" s="0" t="inlineStr">
        <is>
          <t>WOMENS</t>
        </is>
      </c>
      <c r="H3133" s="0" t="inlineStr">
        <is>
          <t>S</t>
        </is>
      </c>
      <c r="I3133" s="0">
        <v>34.99</v>
      </c>
      <c r="J3133" s="0">
        <v>8</v>
      </c>
    </row>
    <row r="3134" spans="1:10" customHeight="0">
      <c r="A3134" s="0">
        <f>HYPERLINK("https://dl.dropboxusercontent.com/scl/fi/uhas39aswtw09xhj3q9hk/uniaf.jpg?rlkey=cp6irrdh3fvsh1ed51a0myryu&amp;dl=0","Click to download Image")</f>
      </c>
      <c r="B3134" s="0">
        <f>HYPERLINK("https://dl.dropboxusercontent.com/scl/fi/266zo55b0k8x0t1t6hvzq/womens-tank-top-size-chartsaddie.jpg?rlkey=ivnhelszngy31uut057gndxh2&amp;dl=0","Click to download SizeChart")</f>
      </c>
      <c r="C3134" s="0" t="inlineStr">
        <is>
          <t>Addie Womens Tank</t>
        </is>
      </c>
      <c r="D3134" s="0" t="inlineStr">
        <is>
          <t>'111429</t>
        </is>
      </c>
      <c r="E3134" s="0" t="inlineStr">
        <is>
          <t>UNI ADDIE PURPLE:111429B-M</t>
        </is>
      </c>
      <c r="F3134" s="0" t="inlineStr">
        <is>
          <t>'802111429059</t>
        </is>
      </c>
      <c r="G3134" s="0" t="inlineStr">
        <is>
          <t>WOMENS</t>
        </is>
      </c>
      <c r="H3134" s="0" t="inlineStr">
        <is>
          <t>M</t>
        </is>
      </c>
      <c r="I3134" s="0">
        <v>34.99</v>
      </c>
      <c r="J3134" s="0">
        <v>16</v>
      </c>
    </row>
    <row r="3135" spans="1:10" customHeight="0">
      <c r="A3135" s="0">
        <f>HYPERLINK("https://dl.dropboxusercontent.com/scl/fi/uhas39aswtw09xhj3q9hk/uniaf.jpg?rlkey=cp6irrdh3fvsh1ed51a0myryu&amp;dl=0","Click to download Image")</f>
      </c>
      <c r="B3135" s="0">
        <f>HYPERLINK("https://dl.dropboxusercontent.com/scl/fi/266zo55b0k8x0t1t6hvzq/womens-tank-top-size-chartsaddie.jpg?rlkey=ivnhelszngy31uut057gndxh2&amp;dl=0","Click to download SizeChart")</f>
      </c>
      <c r="C3135" s="0" t="inlineStr">
        <is>
          <t>Addie Womens Tank</t>
        </is>
      </c>
      <c r="D3135" s="0" t="inlineStr">
        <is>
          <t>'111429</t>
        </is>
      </c>
      <c r="E3135" s="0" t="inlineStr">
        <is>
          <t>UNI ADDIE PURPLE:111429C-L</t>
        </is>
      </c>
      <c r="F3135" s="0" t="inlineStr">
        <is>
          <t>'802111429066</t>
        </is>
      </c>
      <c r="G3135" s="0" t="inlineStr">
        <is>
          <t>WOMENS</t>
        </is>
      </c>
      <c r="H3135" s="0" t="inlineStr">
        <is>
          <t>L</t>
        </is>
      </c>
      <c r="I3135" s="0">
        <v>34.99</v>
      </c>
      <c r="J3135" s="0">
        <v>16</v>
      </c>
    </row>
    <row r="3136" spans="1:10" customHeight="0">
      <c r="A3136" s="0">
        <f>HYPERLINK("https://dl.dropboxusercontent.com/scl/fi/uhas39aswtw09xhj3q9hk/uniaf.jpg?rlkey=cp6irrdh3fvsh1ed51a0myryu&amp;dl=0","Click to download Image")</f>
      </c>
      <c r="B3136" s="0">
        <f>HYPERLINK("https://dl.dropboxusercontent.com/scl/fi/266zo55b0k8x0t1t6hvzq/womens-tank-top-size-chartsaddie.jpg?rlkey=ivnhelszngy31uut057gndxh2&amp;dl=0","Click to download SizeChart")</f>
      </c>
      <c r="C3136" s="0" t="inlineStr">
        <is>
          <t>Addie Womens Tank</t>
        </is>
      </c>
      <c r="D3136" s="0" t="inlineStr">
        <is>
          <t>'111429</t>
        </is>
      </c>
      <c r="E3136" s="0" t="inlineStr">
        <is>
          <t>UNI ADDIE PURPLE:111429D-XL</t>
        </is>
      </c>
      <c r="F3136" s="0" t="inlineStr">
        <is>
          <t>'802111429073</t>
        </is>
      </c>
      <c r="G3136" s="0" t="inlineStr">
        <is>
          <t>WOMENS</t>
        </is>
      </c>
      <c r="H3136" s="0" t="inlineStr">
        <is>
          <t>XL</t>
        </is>
      </c>
      <c r="I3136" s="0">
        <v>34.99</v>
      </c>
      <c r="J3136" s="0">
        <v>8</v>
      </c>
    </row>
    <row r="3137" spans="1:10" customHeight="0">
      <c r="A3137" s="0">
        <f>HYPERLINK("https://dl.dropboxusercontent.com/scl/fi/uhas39aswtw09xhj3q9hk/uniaf.jpg?rlkey=cp6irrdh3fvsh1ed51a0myryu&amp;dl=0","Click to download Image")</f>
      </c>
      <c r="B3137" s="0">
        <f>HYPERLINK("https://dl.dropboxusercontent.com/scl/fi/266zo55b0k8x0t1t6hvzq/womens-tank-top-size-chartsaddie.jpg?rlkey=ivnhelszngy31uut057gndxh2&amp;dl=0","Click to download SizeChart")</f>
      </c>
      <c r="C3137" s="0" t="inlineStr">
        <is>
          <t>Addie Womens Tank</t>
        </is>
      </c>
      <c r="D3137" s="0" t="inlineStr">
        <is>
          <t>'111429</t>
        </is>
      </c>
      <c r="E3137" s="0" t="inlineStr">
        <is>
          <t>UNI ADDIE PURPLE:111429E-2XL</t>
        </is>
      </c>
      <c r="F3137" s="0" t="inlineStr">
        <is>
          <t>'802111429080</t>
        </is>
      </c>
      <c r="G3137" s="0" t="inlineStr">
        <is>
          <t>WOMENS</t>
        </is>
      </c>
      <c r="H3137" s="0" t="inlineStr">
        <is>
          <t>2XL</t>
        </is>
      </c>
      <c r="I3137" s="0">
        <v>36.99</v>
      </c>
      <c r="J3137" s="0">
        <v>4</v>
      </c>
    </row>
    <row r="3138" spans="1:10" customHeight="0">
      <c r="A3138" s="0">
        <f>HYPERLINK("https://dl.dropboxusercontent.com/scl/fi/uhas39aswtw09xhj3q9hk/uniaf.jpg?rlkey=cp6irrdh3fvsh1ed51a0myryu&amp;dl=0","Click to download Image")</f>
      </c>
      <c r="B3138" s="0">
        <f>HYPERLINK("https://dl.dropboxusercontent.com/scl/fi/266zo55b0k8x0t1t6hvzq/womens-tank-top-size-chartsaddie.jpg?rlkey=ivnhelszngy31uut057gndxh2&amp;dl=0","Click to download SizeChart")</f>
      </c>
      <c r="C3138" s="0" t="inlineStr">
        <is>
          <t>Addie Womens Tank</t>
        </is>
      </c>
      <c r="D3138" s="0" t="inlineStr">
        <is>
          <t>'111429</t>
        </is>
      </c>
      <c r="E3138" s="0" t="inlineStr">
        <is>
          <t>UNI ADDIE PURPLE:111429F-3XL</t>
        </is>
      </c>
      <c r="F3138" s="0" t="inlineStr">
        <is>
          <t>'802111429097</t>
        </is>
      </c>
      <c r="G3138" s="0" t="inlineStr">
        <is>
          <t>WOMENS</t>
        </is>
      </c>
      <c r="H3138" s="0" t="inlineStr">
        <is>
          <t>3XL</t>
        </is>
      </c>
      <c r="I3138" s="0">
        <v>36.99</v>
      </c>
      <c r="J3138" s="0">
        <v>2</v>
      </c>
    </row>
    <row r="3139" spans="1:10" customHeight="0">
      <c r="A3139" s="0">
        <f>HYPERLINK("https://dl.dropboxusercontent.com/scl/fi/uhas39aswtw09xhj3q9hk/uniaf.jpg?rlkey=cp6irrdh3fvsh1ed51a0myryu&amp;dl=0","Click to download Image")</f>
      </c>
      <c r="B3139" s="0">
        <f>HYPERLINK("https://dl.dropboxusercontent.com/scl/fi/266zo55b0k8x0t1t6hvzq/womens-tank-top-size-chartsaddie.jpg?rlkey=ivnhelszngy31uut057gndxh2&amp;dl=0","Click to download SizeChart")</f>
      </c>
      <c r="C3139" s="0" t="inlineStr">
        <is>
          <t>Addie Womens Tank</t>
        </is>
      </c>
      <c r="D3139" s="0" t="inlineStr">
        <is>
          <t>'111429</t>
        </is>
      </c>
      <c r="E3139" s="0" t="inlineStr">
        <is>
          <t>UNI ADDIE PURPLE 12 PACK:111429Z-12PK</t>
        </is>
      </c>
      <c r="F3139" s="0" t="inlineStr">
        <is>
          <t>'802111429998</t>
        </is>
      </c>
      <c r="G3139" s="0" t="inlineStr">
        <is>
          <t>WOMENS</t>
        </is>
      </c>
      <c r="H3139" s="0" t="inlineStr">
        <is>
          <t>12 PACK</t>
        </is>
      </c>
      <c r="I3139" s="0">
        <v>395.88</v>
      </c>
      <c r="J3139" s="0">
        <v>0</v>
      </c>
    </row>
    <row r="3140" spans="1:10" customHeight="0">
      <c r="A3140" s="0">
        <f>HYPERLINK("https://dl.dropboxusercontent.com/scl/fi/g86ikt0yz8n1pkqssue4h/109223af.jpg?rlkey=3uesuswsko3bq5rlkty2uxae8&amp;dl=0","Click to download Image")</f>
      </c>
      <c r="B3140" s="0">
        <f>HYPERLINK("https://dl.dropboxusercontent.com/scl/fi/c27geooa1e90pug6iln17/mens-hoodie-size-chartskodiak-chain-yarn.jpg?rlkey=os2gwm1z02iacie5bg4hs5q3s&amp;dl=0","Click to download SizeChart")</f>
      </c>
      <c r="C3140" s="0" t="inlineStr">
        <is>
          <t>Kodiak Men's Fleece Crewneck</t>
        </is>
      </c>
      <c r="D3140" s="0" t="inlineStr">
        <is>
          <t>'109223</t>
        </is>
      </c>
      <c r="E3140" s="0" t="inlineStr">
        <is>
          <t>UNI KODIAK:109223A-S</t>
        </is>
      </c>
      <c r="F3140" s="0" t="inlineStr">
        <is>
          <t>'800109223016</t>
        </is>
      </c>
      <c r="G3140" s="0" t="inlineStr">
        <is>
          <t>MENS</t>
        </is>
      </c>
      <c r="H3140" s="0" t="inlineStr">
        <is>
          <t>S</t>
        </is>
      </c>
      <c r="I3140" s="0">
        <v>39.99</v>
      </c>
      <c r="J3140" s="0">
        <v>3</v>
      </c>
    </row>
    <row r="3141" spans="1:10" customHeight="0">
      <c r="A3141" s="0">
        <f>HYPERLINK("https://dl.dropboxusercontent.com/scl/fi/g86ikt0yz8n1pkqssue4h/109223af.jpg?rlkey=3uesuswsko3bq5rlkty2uxae8&amp;dl=0","Click to download Image")</f>
      </c>
      <c r="B3141" s="0">
        <f>HYPERLINK("https://dl.dropboxusercontent.com/scl/fi/c27geooa1e90pug6iln17/mens-hoodie-size-chartskodiak-chain-yarn.jpg?rlkey=os2gwm1z02iacie5bg4hs5q3s&amp;dl=0","Click to download SizeChart")</f>
      </c>
      <c r="C3141" s="0" t="inlineStr">
        <is>
          <t>Kodiak Men's Fleece Crewneck</t>
        </is>
      </c>
      <c r="D3141" s="0" t="inlineStr">
        <is>
          <t>'109223</t>
        </is>
      </c>
      <c r="E3141" s="0" t="inlineStr">
        <is>
          <t>UNI KODIAK:109223B-M</t>
        </is>
      </c>
      <c r="F3141" s="0" t="inlineStr">
        <is>
          <t>'800109223023</t>
        </is>
      </c>
      <c r="G3141" s="0" t="inlineStr">
        <is>
          <t>MENS</t>
        </is>
      </c>
      <c r="H3141" s="0" t="inlineStr">
        <is>
          <t>M</t>
        </is>
      </c>
      <c r="I3141" s="0">
        <v>39.99</v>
      </c>
      <c r="J3141" s="0">
        <v>5</v>
      </c>
    </row>
    <row r="3142" spans="1:10" customHeight="0">
      <c r="A3142" s="0">
        <f>HYPERLINK("https://dl.dropboxusercontent.com/scl/fi/g86ikt0yz8n1pkqssue4h/109223af.jpg?rlkey=3uesuswsko3bq5rlkty2uxae8&amp;dl=0","Click to download Image")</f>
      </c>
      <c r="B3142" s="0">
        <f>HYPERLINK("https://dl.dropboxusercontent.com/scl/fi/c27geooa1e90pug6iln17/mens-hoodie-size-chartskodiak-chain-yarn.jpg?rlkey=os2gwm1z02iacie5bg4hs5q3s&amp;dl=0","Click to download SizeChart")</f>
      </c>
      <c r="C3142" s="0" t="inlineStr">
        <is>
          <t>Kodiak Men's Fleece Crewneck</t>
        </is>
      </c>
      <c r="D3142" s="0" t="inlineStr">
        <is>
          <t>'109223</t>
        </is>
      </c>
      <c r="E3142" s="0" t="inlineStr">
        <is>
          <t>UNI KODIAK:109223C-L</t>
        </is>
      </c>
      <c r="F3142" s="0" t="inlineStr">
        <is>
          <t>'800109223030</t>
        </is>
      </c>
      <c r="G3142" s="0" t="inlineStr">
        <is>
          <t>MENS</t>
        </is>
      </c>
      <c r="H3142" s="0" t="inlineStr">
        <is>
          <t>L</t>
        </is>
      </c>
      <c r="I3142" s="0">
        <v>39.99</v>
      </c>
      <c r="J3142" s="0">
        <v>3</v>
      </c>
    </row>
    <row r="3143" spans="1:10" customHeight="0">
      <c r="A3143" s="0">
        <f>HYPERLINK("https://dl.dropboxusercontent.com/scl/fi/g86ikt0yz8n1pkqssue4h/109223af.jpg?rlkey=3uesuswsko3bq5rlkty2uxae8&amp;dl=0","Click to download Image")</f>
      </c>
      <c r="B3143" s="0">
        <f>HYPERLINK("https://dl.dropboxusercontent.com/scl/fi/c27geooa1e90pug6iln17/mens-hoodie-size-chartskodiak-chain-yarn.jpg?rlkey=os2gwm1z02iacie5bg4hs5q3s&amp;dl=0","Click to download SizeChart")</f>
      </c>
      <c r="C3143" s="0" t="inlineStr">
        <is>
          <t>Kodiak Men's Fleece Crewneck</t>
        </is>
      </c>
      <c r="D3143" s="0" t="inlineStr">
        <is>
          <t>'109223</t>
        </is>
      </c>
      <c r="E3143" s="0" t="inlineStr">
        <is>
          <t>UNI KODIAK:109223D-XL</t>
        </is>
      </c>
      <c r="F3143" s="0" t="inlineStr">
        <is>
          <t>'800109223047</t>
        </is>
      </c>
      <c r="G3143" s="0" t="inlineStr">
        <is>
          <t>MENS</t>
        </is>
      </c>
      <c r="H3143" s="0" t="inlineStr">
        <is>
          <t>XL</t>
        </is>
      </c>
      <c r="I3143" s="0">
        <v>39.99</v>
      </c>
      <c r="J3143" s="0">
        <v>7</v>
      </c>
    </row>
    <row r="3144" spans="1:10" customHeight="0">
      <c r="A3144" s="0">
        <f>HYPERLINK("https://dl.dropboxusercontent.com/scl/fi/g86ikt0yz8n1pkqssue4h/109223af.jpg?rlkey=3uesuswsko3bq5rlkty2uxae8&amp;dl=0","Click to download Image")</f>
      </c>
      <c r="B3144" s="0">
        <f>HYPERLINK("https://dl.dropboxusercontent.com/scl/fi/c27geooa1e90pug6iln17/mens-hoodie-size-chartskodiak-chain-yarn.jpg?rlkey=os2gwm1z02iacie5bg4hs5q3s&amp;dl=0","Click to download SizeChart")</f>
      </c>
      <c r="C3144" s="0" t="inlineStr">
        <is>
          <t>Kodiak Men's Fleece Crewneck</t>
        </is>
      </c>
      <c r="D3144" s="0" t="inlineStr">
        <is>
          <t>'109223</t>
        </is>
      </c>
      <c r="E3144" s="0" t="inlineStr">
        <is>
          <t>UNI KODIAK:109223E-2XL</t>
        </is>
      </c>
      <c r="F3144" s="0" t="inlineStr">
        <is>
          <t>'800109223054</t>
        </is>
      </c>
      <c r="G3144" s="0" t="inlineStr">
        <is>
          <t>MENS</t>
        </is>
      </c>
      <c r="H3144" s="0" t="inlineStr">
        <is>
          <t>2XL</t>
        </is>
      </c>
      <c r="I3144" s="0">
        <v>41.99</v>
      </c>
      <c r="J3144" s="0">
        <v>2</v>
      </c>
    </row>
    <row r="3145" spans="1:10" customHeight="0">
      <c r="A3145" s="0">
        <f>HYPERLINK("https://dl.dropboxusercontent.com/scl/fi/g86ikt0yz8n1pkqssue4h/109223af.jpg?rlkey=3uesuswsko3bq5rlkty2uxae8&amp;dl=0","Click to download Image")</f>
      </c>
      <c r="B3145" s="0">
        <f>HYPERLINK("https://dl.dropboxusercontent.com/scl/fi/c27geooa1e90pug6iln17/mens-hoodie-size-chartskodiak-chain-yarn.jpg?rlkey=os2gwm1z02iacie5bg4hs5q3s&amp;dl=0","Click to download SizeChart")</f>
      </c>
      <c r="C3145" s="0" t="inlineStr">
        <is>
          <t>Kodiak Men's Fleece Crewneck</t>
        </is>
      </c>
      <c r="D3145" s="0" t="inlineStr">
        <is>
          <t>'109223</t>
        </is>
      </c>
      <c r="E3145" s="0" t="inlineStr">
        <is>
          <t>UNI KODIAK:109223F-3XL</t>
        </is>
      </c>
      <c r="F3145" s="0" t="inlineStr">
        <is>
          <t>'800109223061</t>
        </is>
      </c>
      <c r="G3145" s="0" t="inlineStr">
        <is>
          <t>MENS</t>
        </is>
      </c>
      <c r="H3145" s="0" t="inlineStr">
        <is>
          <t>3XL</t>
        </is>
      </c>
      <c r="I3145" s="0">
        <v>41.99</v>
      </c>
      <c r="J3145" s="0">
        <v>1</v>
      </c>
    </row>
    <row r="3146" spans="1:10" customHeight="0">
      <c r="A3146" s="0">
        <f>HYPERLINK("https://dl.dropboxusercontent.com/scl/fi/jevkva41sbnls5txlj45k/lancaster-grey.jpg?rlkey=jafcuj5hhbh32pk86hior164v&amp;dl=0","Click to download Image")</f>
      </c>
      <c r="B3146" s="0">
        <f>HYPERLINK("https://dl.dropboxusercontent.com/scl/fi/4k6avgozrfe8jv5bjkyc3/graphic-update22022-toddler.jpg?rlkey=sww7f7zly2b3n2uvk9ffrdncg&amp;dl=0","Click to download SizeChart")</f>
      </c>
      <c r="C3146" s="0" t="inlineStr">
        <is>
          <t>Lancaster Toddler Boys Set</t>
        </is>
      </c>
      <c r="D3146" s="0" t="inlineStr">
        <is>
          <t>'109822</t>
        </is>
      </c>
      <c r="E3146" s="0" t="inlineStr">
        <is>
          <t>IOWA LANCASTER GREY SET:109822A-2T</t>
        </is>
      </c>
      <c r="F3146" s="0" t="inlineStr">
        <is>
          <t>'800109822011</t>
        </is>
      </c>
      <c r="G3146" s="0" t="inlineStr">
        <is>
          <t>TODDLER</t>
        </is>
      </c>
      <c r="H3146" s="0" t="inlineStr">
        <is>
          <t>2T</t>
        </is>
      </c>
      <c r="I3146" s="0">
        <v>34.99</v>
      </c>
      <c r="J3146" s="0">
        <v>12</v>
      </c>
    </row>
    <row r="3147" spans="1:10" customHeight="0">
      <c r="A3147" s="0">
        <f>HYPERLINK("https://dl.dropboxusercontent.com/scl/fi/jevkva41sbnls5txlj45k/lancaster-grey.jpg?rlkey=jafcuj5hhbh32pk86hior164v&amp;dl=0","Click to download Image")</f>
      </c>
      <c r="B3147" s="0">
        <f>HYPERLINK("https://dl.dropboxusercontent.com/scl/fi/4k6avgozrfe8jv5bjkyc3/graphic-update22022-toddler.jpg?rlkey=sww7f7zly2b3n2uvk9ffrdncg&amp;dl=0","Click to download SizeChart")</f>
      </c>
      <c r="C3147" s="0" t="inlineStr">
        <is>
          <t>Lancaster Toddler Boys Set</t>
        </is>
      </c>
      <c r="D3147" s="0" t="inlineStr">
        <is>
          <t>'109822</t>
        </is>
      </c>
      <c r="E3147" s="0" t="inlineStr">
        <is>
          <t>IOWA LANCASTER GREY SET:109822B-3T</t>
        </is>
      </c>
      <c r="F3147" s="0" t="inlineStr">
        <is>
          <t>'800109822028</t>
        </is>
      </c>
      <c r="G3147" s="0" t="inlineStr">
        <is>
          <t>TODDLER</t>
        </is>
      </c>
      <c r="H3147" s="0" t="inlineStr">
        <is>
          <t>3T</t>
        </is>
      </c>
      <c r="I3147" s="0">
        <v>34.99</v>
      </c>
      <c r="J3147" s="0">
        <v>12</v>
      </c>
    </row>
    <row r="3148" spans="1:10" customHeight="0">
      <c r="A3148" s="0">
        <f>HYPERLINK("https://dl.dropboxusercontent.com/scl/fi/jevkva41sbnls5txlj45k/lancaster-grey.jpg?rlkey=jafcuj5hhbh32pk86hior164v&amp;dl=0","Click to download Image")</f>
      </c>
      <c r="B3148" s="0">
        <f>HYPERLINK("https://dl.dropboxusercontent.com/scl/fi/4k6avgozrfe8jv5bjkyc3/graphic-update22022-toddler.jpg?rlkey=sww7f7zly2b3n2uvk9ffrdncg&amp;dl=0","Click to download SizeChart")</f>
      </c>
      <c r="C3148" s="0" t="inlineStr">
        <is>
          <t>Lancaster Toddler Boys Set</t>
        </is>
      </c>
      <c r="D3148" s="0" t="inlineStr">
        <is>
          <t>'109822</t>
        </is>
      </c>
      <c r="E3148" s="0" t="inlineStr">
        <is>
          <t>IOWA LANCASTER GREY SET:109822C-4T</t>
        </is>
      </c>
      <c r="F3148" s="0" t="inlineStr">
        <is>
          <t>'800109822035</t>
        </is>
      </c>
      <c r="G3148" s="0" t="inlineStr">
        <is>
          <t>TODDLER</t>
        </is>
      </c>
      <c r="H3148" s="0" t="inlineStr">
        <is>
          <t>4T</t>
        </is>
      </c>
      <c r="I3148" s="0">
        <v>34.99</v>
      </c>
      <c r="J3148" s="0">
        <v>12</v>
      </c>
    </row>
    <row r="3149" spans="1:10" customHeight="0">
      <c r="A3149" s="0">
        <f>HYPERLINK("https://dl.dropboxusercontent.com/scl/fi/jevkva41sbnls5txlj45k/lancaster-grey.jpg?rlkey=jafcuj5hhbh32pk86hior164v&amp;dl=0","Click to download Image")</f>
      </c>
      <c r="B3149" s="0">
        <f>HYPERLINK("https://dl.dropboxusercontent.com/scl/fi/4k6avgozrfe8jv5bjkyc3/graphic-update22022-toddler.jpg?rlkey=sww7f7zly2b3n2uvk9ffrdncg&amp;dl=0","Click to download SizeChart")</f>
      </c>
      <c r="C3149" s="0" t="inlineStr">
        <is>
          <t>Lancaster Toddler Boys Set</t>
        </is>
      </c>
      <c r="D3149" s="0" t="inlineStr">
        <is>
          <t>'109822</t>
        </is>
      </c>
      <c r="E3149" s="0" t="inlineStr">
        <is>
          <t>IOWA LANCASTER GREY SET:109822D-5T</t>
        </is>
      </c>
      <c r="F3149" s="0" t="inlineStr">
        <is>
          <t>'800109822042</t>
        </is>
      </c>
      <c r="G3149" s="0" t="inlineStr">
        <is>
          <t>TODDLER</t>
        </is>
      </c>
      <c r="H3149" s="0" t="inlineStr">
        <is>
          <t>5T</t>
        </is>
      </c>
      <c r="I3149" s="0">
        <v>34.99</v>
      </c>
      <c r="J3149" s="0">
        <v>11</v>
      </c>
    </row>
    <row r="3150" spans="1:10" customHeight="0">
      <c r="A3150" s="0">
        <f>HYPERLINK("https://dl.dropboxusercontent.com/scl/fi/jevkva41sbnls5txlj45k/lancaster-grey.jpg?rlkey=jafcuj5hhbh32pk86hior164v&amp;dl=0","Click to download Image")</f>
      </c>
      <c r="B3150" s="0">
        <f>HYPERLINK("https://dl.dropboxusercontent.com/scl/fi/4k6avgozrfe8jv5bjkyc3/graphic-update22022-toddler.jpg?rlkey=sww7f7zly2b3n2uvk9ffrdncg&amp;dl=0","Click to download SizeChart")</f>
      </c>
      <c r="C3150" s="0" t="inlineStr">
        <is>
          <t>Lancaster Toddler Boys Set</t>
        </is>
      </c>
      <c r="D3150" s="0" t="inlineStr">
        <is>
          <t>'109822</t>
        </is>
      </c>
      <c r="E3150" s="0" t="inlineStr">
        <is>
          <t>IOWA LANCASTER GREY SET 12 PACK:109822Z-12PK</t>
        </is>
      </c>
      <c r="F3150" s="0" t="inlineStr">
        <is>
          <t>'800109822103</t>
        </is>
      </c>
      <c r="G3150" s="0" t="inlineStr">
        <is>
          <t>TODDLER</t>
        </is>
      </c>
      <c r="H3150" s="0" t="inlineStr">
        <is>
          <t>12 PACK</t>
        </is>
      </c>
      <c r="I3150" s="0">
        <v>395.88</v>
      </c>
      <c r="J3150" s="0">
        <v>0</v>
      </c>
    </row>
    <row r="3151" spans="1:10" customHeight="0">
      <c r="A3151" s="0">
        <f>HYPERLINK("https://dl.dropboxusercontent.com/scl/fi/o3qj6ufymls0u7y8jzzvh/lancaster-grey.jpg?rlkey=w82326ahfhtv9jmqxjaik1p3u&amp;dl=0","Click to download Image")</f>
      </c>
      <c r="B3151" s="0">
        <f>HYPERLINK("https://dl.dropboxusercontent.com/scl/fi/4k6avgozrfe8jv5bjkyc3/graphic-update22022-toddler.jpg?rlkey=sww7f7zly2b3n2uvk9ffrdncg&amp;dl=0","Click to download SizeChart")</f>
      </c>
      <c r="C3151" s="0" t="inlineStr">
        <is>
          <t>Lancaster Toddler Boys Set</t>
        </is>
      </c>
      <c r="D3151" s="0" t="inlineStr">
        <is>
          <t>'111807</t>
        </is>
      </c>
      <c r="E3151" s="0" t="inlineStr">
        <is>
          <t>UNI LANCASTER GREY SET:111807A-2T</t>
        </is>
      </c>
      <c r="F3151" s="0" t="inlineStr">
        <is>
          <t>'802111807086</t>
        </is>
      </c>
      <c r="G3151" s="0" t="inlineStr">
        <is>
          <t>TODDLER</t>
        </is>
      </c>
      <c r="H3151" s="0" t="inlineStr">
        <is>
          <t>2T</t>
        </is>
      </c>
      <c r="I3151" s="0">
        <v>34.99</v>
      </c>
      <c r="J3151" s="0">
        <v>10</v>
      </c>
    </row>
    <row r="3152" spans="1:10" customHeight="0">
      <c r="A3152" s="0">
        <f>HYPERLINK("https://dl.dropboxusercontent.com/scl/fi/o3qj6ufymls0u7y8jzzvh/lancaster-grey.jpg?rlkey=w82326ahfhtv9jmqxjaik1p3u&amp;dl=0","Click to download Image")</f>
      </c>
      <c r="B3152" s="0">
        <f>HYPERLINK("https://dl.dropboxusercontent.com/scl/fi/4k6avgozrfe8jv5bjkyc3/graphic-update22022-toddler.jpg?rlkey=sww7f7zly2b3n2uvk9ffrdncg&amp;dl=0","Click to download SizeChart")</f>
      </c>
      <c r="C3152" s="0" t="inlineStr">
        <is>
          <t>Lancaster Toddler Boys Set</t>
        </is>
      </c>
      <c r="D3152" s="0" t="inlineStr">
        <is>
          <t>'111807</t>
        </is>
      </c>
      <c r="E3152" s="0" t="inlineStr">
        <is>
          <t>UNI LANCASTER GREY SET:111807B-3T</t>
        </is>
      </c>
      <c r="F3152" s="0" t="inlineStr">
        <is>
          <t>'802111807093</t>
        </is>
      </c>
      <c r="G3152" s="0" t="inlineStr">
        <is>
          <t>TODDLER</t>
        </is>
      </c>
      <c r="H3152" s="0" t="inlineStr">
        <is>
          <t>3T</t>
        </is>
      </c>
      <c r="I3152" s="0">
        <v>34.99</v>
      </c>
      <c r="J3152" s="0">
        <v>11</v>
      </c>
    </row>
    <row r="3153" spans="1:10" customHeight="0">
      <c r="A3153" s="0">
        <f>HYPERLINK("https://dl.dropboxusercontent.com/scl/fi/o3qj6ufymls0u7y8jzzvh/lancaster-grey.jpg?rlkey=w82326ahfhtv9jmqxjaik1p3u&amp;dl=0","Click to download Image")</f>
      </c>
      <c r="B3153" s="0">
        <f>HYPERLINK("https://dl.dropboxusercontent.com/scl/fi/4k6avgozrfe8jv5bjkyc3/graphic-update22022-toddler.jpg?rlkey=sww7f7zly2b3n2uvk9ffrdncg&amp;dl=0","Click to download SizeChart")</f>
      </c>
      <c r="C3153" s="0" t="inlineStr">
        <is>
          <t>Lancaster Toddler Boys Set</t>
        </is>
      </c>
      <c r="D3153" s="0" t="inlineStr">
        <is>
          <t>'111807</t>
        </is>
      </c>
      <c r="E3153" s="0" t="inlineStr">
        <is>
          <t>UNI LANCASTER GREY SET:111807C-4T</t>
        </is>
      </c>
      <c r="F3153" s="0" t="inlineStr">
        <is>
          <t>'802111807109</t>
        </is>
      </c>
      <c r="G3153" s="0" t="inlineStr">
        <is>
          <t>TODDLER</t>
        </is>
      </c>
      <c r="H3153" s="0" t="inlineStr">
        <is>
          <t>4T</t>
        </is>
      </c>
      <c r="I3153" s="0">
        <v>34.99</v>
      </c>
      <c r="J3153" s="0">
        <v>8</v>
      </c>
    </row>
    <row r="3154" spans="1:10" customHeight="0">
      <c r="A3154" s="0">
        <f>HYPERLINK("https://dl.dropboxusercontent.com/scl/fi/o3qj6ufymls0u7y8jzzvh/lancaster-grey.jpg?rlkey=w82326ahfhtv9jmqxjaik1p3u&amp;dl=0","Click to download Image")</f>
      </c>
      <c r="B3154" s="0">
        <f>HYPERLINK("https://dl.dropboxusercontent.com/scl/fi/4k6avgozrfe8jv5bjkyc3/graphic-update22022-toddler.jpg?rlkey=sww7f7zly2b3n2uvk9ffrdncg&amp;dl=0","Click to download SizeChart")</f>
      </c>
      <c r="C3154" s="0" t="inlineStr">
        <is>
          <t>Lancaster Toddler Boys Set</t>
        </is>
      </c>
      <c r="D3154" s="0" t="inlineStr">
        <is>
          <t>'111807</t>
        </is>
      </c>
      <c r="E3154" s="0" t="inlineStr">
        <is>
          <t>UNI LANCASTER GREY SET:111807D-5T</t>
        </is>
      </c>
      <c r="F3154" s="0" t="inlineStr">
        <is>
          <t>'802111807116</t>
        </is>
      </c>
      <c r="G3154" s="0" t="inlineStr">
        <is>
          <t>TODDLER</t>
        </is>
      </c>
      <c r="H3154" s="0" t="inlineStr">
        <is>
          <t>5T</t>
        </is>
      </c>
      <c r="I3154" s="0">
        <v>34.99</v>
      </c>
      <c r="J3154" s="0">
        <v>9</v>
      </c>
    </row>
    <row r="3155" spans="1:10" customHeight="0">
      <c r="A3155" s="0">
        <f>HYPERLINK("https://dl.dropboxusercontent.com/scl/fi/o3qj6ufymls0u7y8jzzvh/lancaster-grey.jpg?rlkey=w82326ahfhtv9jmqxjaik1p3u&amp;dl=0","Click to download Image")</f>
      </c>
      <c r="B3155" s="0">
        <f>HYPERLINK("https://dl.dropboxusercontent.com/scl/fi/4k6avgozrfe8jv5bjkyc3/graphic-update22022-toddler.jpg?rlkey=sww7f7zly2b3n2uvk9ffrdncg&amp;dl=0","Click to download SizeChart")</f>
      </c>
      <c r="C3155" s="0" t="inlineStr">
        <is>
          <t>Lancaster Toddler Boys Set</t>
        </is>
      </c>
      <c r="D3155" s="0" t="inlineStr">
        <is>
          <t>'111807</t>
        </is>
      </c>
      <c r="E3155" s="0" t="inlineStr">
        <is>
          <t>UNI LANCASTER GREY SET 12 PACK:111807Z-12PK</t>
        </is>
      </c>
      <c r="F3155" s="0" t="inlineStr">
        <is>
          <t>'802111807994</t>
        </is>
      </c>
      <c r="G3155" s="0" t="inlineStr">
        <is>
          <t>TODDLER</t>
        </is>
      </c>
      <c r="H3155" s="0" t="inlineStr">
        <is>
          <t>12 PACK</t>
        </is>
      </c>
      <c r="I3155" s="0">
        <v>395.88</v>
      </c>
      <c r="J3155" s="0">
        <v>0</v>
      </c>
    </row>
    <row r="3156" spans="1:10" customHeight="0">
      <c r="A3156" s="0">
        <f>HYPERLINK("https://dl.dropboxusercontent.com/scl/fi/upghgs5igiaoqtlf229hq/lancaster-grey.jpg?rlkey=oc4akwt358rvgscd0a3vley86&amp;dl=0","Click to download Image")</f>
      </c>
      <c r="B3156" s="0">
        <f>HYPERLINK("https://dl.dropboxusercontent.com/scl/fi/4k6avgozrfe8jv5bjkyc3/graphic-update22022-toddler.jpg?rlkey=sww7f7zly2b3n2uvk9ffrdncg&amp;dl=0","Click to download SizeChart")</f>
      </c>
      <c r="C3156" s="0" t="inlineStr">
        <is>
          <t>Lancaster Toddler Boys Set</t>
        </is>
      </c>
      <c r="D3156" s="0" t="inlineStr">
        <is>
          <t>'111806</t>
        </is>
      </c>
      <c r="E3156" s="0" t="inlineStr">
        <is>
          <t>ISU LANCASTER GREY SET:111806A-2T</t>
        </is>
      </c>
      <c r="F3156" s="0" t="inlineStr">
        <is>
          <t>'801111806082</t>
        </is>
      </c>
      <c r="G3156" s="0" t="inlineStr">
        <is>
          <t>TODDLER</t>
        </is>
      </c>
      <c r="H3156" s="0" t="inlineStr">
        <is>
          <t>2T</t>
        </is>
      </c>
      <c r="I3156" s="0">
        <v>34.99</v>
      </c>
      <c r="J3156" s="0">
        <v>7</v>
      </c>
    </row>
    <row r="3157" spans="1:10" customHeight="0">
      <c r="A3157" s="0">
        <f>HYPERLINK("https://dl.dropboxusercontent.com/scl/fi/upghgs5igiaoqtlf229hq/lancaster-grey.jpg?rlkey=oc4akwt358rvgscd0a3vley86&amp;dl=0","Click to download Image")</f>
      </c>
      <c r="B3157" s="0">
        <f>HYPERLINK("https://dl.dropboxusercontent.com/scl/fi/4k6avgozrfe8jv5bjkyc3/graphic-update22022-toddler.jpg?rlkey=sww7f7zly2b3n2uvk9ffrdncg&amp;dl=0","Click to download SizeChart")</f>
      </c>
      <c r="C3157" s="0" t="inlineStr">
        <is>
          <t>Lancaster Toddler Boys Set</t>
        </is>
      </c>
      <c r="D3157" s="0" t="inlineStr">
        <is>
          <t>'111806</t>
        </is>
      </c>
      <c r="E3157" s="0" t="inlineStr">
        <is>
          <t>ISU LANCASTER GREY SET:111806B-3T</t>
        </is>
      </c>
      <c r="F3157" s="0" t="inlineStr">
        <is>
          <t>'801111806099</t>
        </is>
      </c>
      <c r="G3157" s="0" t="inlineStr">
        <is>
          <t>TODDLER</t>
        </is>
      </c>
      <c r="H3157" s="0" t="inlineStr">
        <is>
          <t>3T</t>
        </is>
      </c>
      <c r="I3157" s="0">
        <v>34.99</v>
      </c>
      <c r="J3157" s="0">
        <v>8</v>
      </c>
    </row>
    <row r="3158" spans="1:10" customHeight="0">
      <c r="A3158" s="0">
        <f>HYPERLINK("https://dl.dropboxusercontent.com/scl/fi/upghgs5igiaoqtlf229hq/lancaster-grey.jpg?rlkey=oc4akwt358rvgscd0a3vley86&amp;dl=0","Click to download Image")</f>
      </c>
      <c r="B3158" s="0">
        <f>HYPERLINK("https://dl.dropboxusercontent.com/scl/fi/4k6avgozrfe8jv5bjkyc3/graphic-update22022-toddler.jpg?rlkey=sww7f7zly2b3n2uvk9ffrdncg&amp;dl=0","Click to download SizeChart")</f>
      </c>
      <c r="C3158" s="0" t="inlineStr">
        <is>
          <t>Lancaster Toddler Boys Set</t>
        </is>
      </c>
      <c r="D3158" s="0" t="inlineStr">
        <is>
          <t>'111806</t>
        </is>
      </c>
      <c r="E3158" s="0" t="inlineStr">
        <is>
          <t>ISU LANCASTER GREY SET:111806C-4T</t>
        </is>
      </c>
      <c r="F3158" s="0" t="inlineStr">
        <is>
          <t>'801111806105</t>
        </is>
      </c>
      <c r="G3158" s="0" t="inlineStr">
        <is>
          <t>TODDLER</t>
        </is>
      </c>
      <c r="H3158" s="0" t="inlineStr">
        <is>
          <t>4T</t>
        </is>
      </c>
      <c r="I3158" s="0">
        <v>34.99</v>
      </c>
      <c r="J3158" s="0">
        <v>8</v>
      </c>
    </row>
    <row r="3159" spans="1:10" customHeight="0">
      <c r="A3159" s="0">
        <f>HYPERLINK("https://dl.dropboxusercontent.com/scl/fi/upghgs5igiaoqtlf229hq/lancaster-grey.jpg?rlkey=oc4akwt358rvgscd0a3vley86&amp;dl=0","Click to download Image")</f>
      </c>
      <c r="B3159" s="0">
        <f>HYPERLINK("https://dl.dropboxusercontent.com/scl/fi/4k6avgozrfe8jv5bjkyc3/graphic-update22022-toddler.jpg?rlkey=sww7f7zly2b3n2uvk9ffrdncg&amp;dl=0","Click to download SizeChart")</f>
      </c>
      <c r="C3159" s="0" t="inlineStr">
        <is>
          <t>Lancaster Toddler Boys Set</t>
        </is>
      </c>
      <c r="D3159" s="0" t="inlineStr">
        <is>
          <t>'111806</t>
        </is>
      </c>
      <c r="E3159" s="0" t="inlineStr">
        <is>
          <t>ISU LANCASTER GREY SET:111806D-5T</t>
        </is>
      </c>
      <c r="F3159" s="0" t="inlineStr">
        <is>
          <t>'801111806112</t>
        </is>
      </c>
      <c r="G3159" s="0" t="inlineStr">
        <is>
          <t>TODDLER</t>
        </is>
      </c>
      <c r="H3159" s="0" t="inlineStr">
        <is>
          <t>5T</t>
        </is>
      </c>
      <c r="I3159" s="0">
        <v>34.99</v>
      </c>
      <c r="J3159" s="0">
        <v>6</v>
      </c>
    </row>
    <row r="3160" spans="1:10" customHeight="0">
      <c r="A3160" s="0">
        <f>HYPERLINK("https://dl.dropboxusercontent.com/scl/fi/upghgs5igiaoqtlf229hq/lancaster-grey.jpg?rlkey=oc4akwt358rvgscd0a3vley86&amp;dl=0","Click to download Image")</f>
      </c>
      <c r="B3160" s="0">
        <f>HYPERLINK("https://dl.dropboxusercontent.com/scl/fi/4k6avgozrfe8jv5bjkyc3/graphic-update22022-toddler.jpg?rlkey=sww7f7zly2b3n2uvk9ffrdncg&amp;dl=0","Click to download SizeChart")</f>
      </c>
      <c r="C3160" s="0" t="inlineStr">
        <is>
          <t>Lancaster Toddler Boys Set</t>
        </is>
      </c>
      <c r="D3160" s="0" t="inlineStr">
        <is>
          <t>'111806</t>
        </is>
      </c>
      <c r="E3160" s="0" t="inlineStr">
        <is>
          <t>ISU LANCASTER GREY SET 12 PACK:111806Z-12PK</t>
        </is>
      </c>
      <c r="F3160" s="0" t="inlineStr">
        <is>
          <t>'801111806990</t>
        </is>
      </c>
      <c r="G3160" s="0" t="inlineStr">
        <is>
          <t>TODDLER</t>
        </is>
      </c>
      <c r="H3160" s="0" t="inlineStr">
        <is>
          <t>12 PACK</t>
        </is>
      </c>
      <c r="I3160" s="0">
        <v>395.88</v>
      </c>
      <c r="J3160" s="0">
        <v>0</v>
      </c>
    </row>
    <row r="3161" spans="1:10" customHeight="0">
      <c r="A3161" s="0">
        <f>HYPERLINK("https://dl.dropboxusercontent.com/scl/fi/3pwc2deo7oaqn22w1019z/107143-af.jpg?rlkey=gd705p59ktaef7n3xdwjtvy81&amp;dl=0","Click to download Image")</f>
      </c>
      <c r="B3161" s="0">
        <f>HYPERLINK("https://dl.dropboxusercontent.com/scl/fi/bva3o1cia0repwkqsabwx/graphic-update2022-womens.jpg?rlkey=j44f3k6vgfttrm4xuu1o9blyq&amp;dl=0","Click to download SizeChart")</f>
      </c>
      <c r="C3161" s="0" t="inlineStr">
        <is>
          <t>Livy Women's Off Shoulder Top</t>
        </is>
      </c>
      <c r="D3161" s="0" t="inlineStr">
        <is>
          <t>'107143</t>
        </is>
      </c>
      <c r="E3161" s="0" t="inlineStr">
        <is>
          <t>IA LIVY:107143A-S</t>
        </is>
      </c>
      <c r="F3161" s="0" t="inlineStr">
        <is>
          <t>'800107143019</t>
        </is>
      </c>
      <c r="G3161" s="0" t="inlineStr">
        <is>
          <t>WOMENS</t>
        </is>
      </c>
      <c r="H3161" s="0" t="inlineStr">
        <is>
          <t>S</t>
        </is>
      </c>
      <c r="I3161" s="0">
        <v>42.99</v>
      </c>
      <c r="J3161" s="0">
        <v>58</v>
      </c>
    </row>
    <row r="3162" spans="1:10" customHeight="0">
      <c r="A3162" s="0">
        <f>HYPERLINK("https://dl.dropboxusercontent.com/scl/fi/3pwc2deo7oaqn22w1019z/107143-af.jpg?rlkey=gd705p59ktaef7n3xdwjtvy81&amp;dl=0","Click to download Image")</f>
      </c>
      <c r="B3162" s="0">
        <f>HYPERLINK("https://dl.dropboxusercontent.com/scl/fi/bva3o1cia0repwkqsabwx/graphic-update2022-womens.jpg?rlkey=j44f3k6vgfttrm4xuu1o9blyq&amp;dl=0","Click to download SizeChart")</f>
      </c>
      <c r="C3162" s="0" t="inlineStr">
        <is>
          <t>Livy Women's Off Shoulder Top</t>
        </is>
      </c>
      <c r="D3162" s="0" t="inlineStr">
        <is>
          <t>'107143</t>
        </is>
      </c>
      <c r="E3162" s="0" t="inlineStr">
        <is>
          <t>IA LIVY:107143B-M</t>
        </is>
      </c>
      <c r="F3162" s="0" t="inlineStr">
        <is>
          <t>'800107143026</t>
        </is>
      </c>
      <c r="G3162" s="0" t="inlineStr">
        <is>
          <t>WOMENS</t>
        </is>
      </c>
      <c r="H3162" s="0" t="inlineStr">
        <is>
          <t>M</t>
        </is>
      </c>
      <c r="I3162" s="0">
        <v>42.99</v>
      </c>
      <c r="J3162" s="0">
        <v>76</v>
      </c>
    </row>
    <row r="3163" spans="1:10" customHeight="0">
      <c r="A3163" s="0">
        <f>HYPERLINK("https://dl.dropboxusercontent.com/scl/fi/3pwc2deo7oaqn22w1019z/107143-af.jpg?rlkey=gd705p59ktaef7n3xdwjtvy81&amp;dl=0","Click to download Image")</f>
      </c>
      <c r="B3163" s="0">
        <f>HYPERLINK("https://dl.dropboxusercontent.com/scl/fi/bva3o1cia0repwkqsabwx/graphic-update2022-womens.jpg?rlkey=j44f3k6vgfttrm4xuu1o9blyq&amp;dl=0","Click to download SizeChart")</f>
      </c>
      <c r="C3163" s="0" t="inlineStr">
        <is>
          <t>Livy Women's Off Shoulder Top</t>
        </is>
      </c>
      <c r="D3163" s="0" t="inlineStr">
        <is>
          <t>'107143</t>
        </is>
      </c>
      <c r="E3163" s="0" t="inlineStr">
        <is>
          <t>IA LIVY:107143C-L</t>
        </is>
      </c>
      <c r="F3163" s="0" t="inlineStr">
        <is>
          <t>'800107143033</t>
        </is>
      </c>
      <c r="G3163" s="0" t="inlineStr">
        <is>
          <t>WOMENS</t>
        </is>
      </c>
      <c r="H3163" s="0" t="inlineStr">
        <is>
          <t>L</t>
        </is>
      </c>
      <c r="I3163" s="0">
        <v>42.99</v>
      </c>
      <c r="J3163" s="0">
        <v>74</v>
      </c>
    </row>
    <row r="3164" spans="1:10" customHeight="0">
      <c r="A3164" s="0">
        <f>HYPERLINK("https://dl.dropboxusercontent.com/scl/fi/3pwc2deo7oaqn22w1019z/107143-af.jpg?rlkey=gd705p59ktaef7n3xdwjtvy81&amp;dl=0","Click to download Image")</f>
      </c>
      <c r="B3164" s="0">
        <f>HYPERLINK("https://dl.dropboxusercontent.com/scl/fi/bva3o1cia0repwkqsabwx/graphic-update2022-womens.jpg?rlkey=j44f3k6vgfttrm4xuu1o9blyq&amp;dl=0","Click to download SizeChart")</f>
      </c>
      <c r="C3164" s="0" t="inlineStr">
        <is>
          <t>Livy Women's Off Shoulder Top</t>
        </is>
      </c>
      <c r="D3164" s="0" t="inlineStr">
        <is>
          <t>'107143</t>
        </is>
      </c>
      <c r="E3164" s="0" t="inlineStr">
        <is>
          <t>IA LIVY:107143D-XL</t>
        </is>
      </c>
      <c r="F3164" s="0" t="inlineStr">
        <is>
          <t>'800107143040</t>
        </is>
      </c>
      <c r="G3164" s="0" t="inlineStr">
        <is>
          <t>WOMENS</t>
        </is>
      </c>
      <c r="H3164" s="0" t="inlineStr">
        <is>
          <t>XL</t>
        </is>
      </c>
      <c r="I3164" s="0">
        <v>42.99</v>
      </c>
      <c r="J3164" s="0">
        <v>37</v>
      </c>
    </row>
    <row r="3165" spans="1:10" customHeight="0">
      <c r="A3165" s="0">
        <f>HYPERLINK("https://dl.dropboxusercontent.com/scl/fi/3pwc2deo7oaqn22w1019z/107143-af.jpg?rlkey=gd705p59ktaef7n3xdwjtvy81&amp;dl=0","Click to download Image")</f>
      </c>
      <c r="B3165" s="0">
        <f>HYPERLINK("https://dl.dropboxusercontent.com/scl/fi/bva3o1cia0repwkqsabwx/graphic-update2022-womens.jpg?rlkey=j44f3k6vgfttrm4xuu1o9blyq&amp;dl=0","Click to download SizeChart")</f>
      </c>
      <c r="C3165" s="0" t="inlineStr">
        <is>
          <t>Livy Women's Off Shoulder Top</t>
        </is>
      </c>
      <c r="D3165" s="0" t="inlineStr">
        <is>
          <t>'107143</t>
        </is>
      </c>
      <c r="E3165" s="0" t="inlineStr">
        <is>
          <t>IA LIVY:107143E-2XL</t>
        </is>
      </c>
      <c r="F3165" s="0" t="inlineStr">
        <is>
          <t>'800107143057</t>
        </is>
      </c>
      <c r="G3165" s="0" t="inlineStr">
        <is>
          <t>WOMENS</t>
        </is>
      </c>
      <c r="H3165" s="0" t="inlineStr">
        <is>
          <t>2XL</t>
        </is>
      </c>
      <c r="I3165" s="0">
        <v>42.99</v>
      </c>
      <c r="J3165" s="0">
        <v>11</v>
      </c>
    </row>
    <row r="3166" spans="1:10" customHeight="0">
      <c r="A3166" s="0">
        <f>HYPERLINK("https://dl.dropboxusercontent.com/scl/fi/3pwc2deo7oaqn22w1019z/107143-af.jpg?rlkey=gd705p59ktaef7n3xdwjtvy81&amp;dl=0","Click to download Image")</f>
      </c>
      <c r="B3166" s="0">
        <f>HYPERLINK("https://dl.dropboxusercontent.com/scl/fi/bva3o1cia0repwkqsabwx/graphic-update2022-womens.jpg?rlkey=j44f3k6vgfttrm4xuu1o9blyq&amp;dl=0","Click to download SizeChart")</f>
      </c>
      <c r="C3166" s="0" t="inlineStr">
        <is>
          <t>Livy Women's Off Shoulder Top</t>
        </is>
      </c>
      <c r="D3166" s="0" t="inlineStr">
        <is>
          <t>'107143</t>
        </is>
      </c>
      <c r="E3166" s="0" t="inlineStr">
        <is>
          <t>IA LIVY:107143F-3XL</t>
        </is>
      </c>
      <c r="F3166" s="0" t="inlineStr">
        <is>
          <t>'800107143064</t>
        </is>
      </c>
      <c r="G3166" s="0" t="inlineStr">
        <is>
          <t>WOMENS</t>
        </is>
      </c>
      <c r="H3166" s="0" t="inlineStr">
        <is>
          <t>3XL</t>
        </is>
      </c>
      <c r="I3166" s="0">
        <v>42.99</v>
      </c>
      <c r="J3166" s="0">
        <v>11</v>
      </c>
    </row>
    <row r="3167" spans="1:10" customHeight="0">
      <c r="A3167" s="0">
        <f>HYPERLINK("https://dl.dropboxusercontent.com/scl/fi/i1j6xyulgn6r845aqcs2s/108992-af.jpg?rlkey=9g0c99j1gqtzxs5vb8dhvgut8&amp;dl=0","Click to download Image")</f>
      </c>
      <c r="B3167" s="0">
        <f>HYPERLINK("https://dl.dropboxusercontent.com/scl/fi/bva3o1cia0repwkqsabwx/graphic-update2022-womens.jpg?rlkey=j44f3k6vgfttrm4xuu1o9blyq&amp;dl=0","Click to download SizeChart")</f>
      </c>
      <c r="C3167" s="0" t="inlineStr">
        <is>
          <t>Livy Women's Off Shoulder Top</t>
        </is>
      </c>
      <c r="D3167" s="0" t="inlineStr">
        <is>
          <t>'108992</t>
        </is>
      </c>
      <c r="E3167" s="0" t="inlineStr">
        <is>
          <t>ISU LIVY:108992A-S</t>
        </is>
      </c>
      <c r="F3167" s="0" t="inlineStr">
        <is>
          <t>'800108992012</t>
        </is>
      </c>
      <c r="G3167" s="0" t="inlineStr">
        <is>
          <t>WOMENS</t>
        </is>
      </c>
      <c r="H3167" s="0" t="inlineStr">
        <is>
          <t>S</t>
        </is>
      </c>
      <c r="I3167" s="0">
        <v>42.99</v>
      </c>
      <c r="J3167" s="0">
        <v>15</v>
      </c>
    </row>
    <row r="3168" spans="1:10" customHeight="0">
      <c r="A3168" s="0">
        <f>HYPERLINK("https://dl.dropboxusercontent.com/scl/fi/i1j6xyulgn6r845aqcs2s/108992-af.jpg?rlkey=9g0c99j1gqtzxs5vb8dhvgut8&amp;dl=0","Click to download Image")</f>
      </c>
      <c r="B3168" s="0">
        <f>HYPERLINK("https://dl.dropboxusercontent.com/scl/fi/bva3o1cia0repwkqsabwx/graphic-update2022-womens.jpg?rlkey=j44f3k6vgfttrm4xuu1o9blyq&amp;dl=0","Click to download SizeChart")</f>
      </c>
      <c r="C3168" s="0" t="inlineStr">
        <is>
          <t>Livy Women's Off Shoulder Top</t>
        </is>
      </c>
      <c r="D3168" s="0" t="inlineStr">
        <is>
          <t>'108992</t>
        </is>
      </c>
      <c r="E3168" s="0" t="inlineStr">
        <is>
          <t>ISU LIVY:108992B-M</t>
        </is>
      </c>
      <c r="F3168" s="0" t="inlineStr">
        <is>
          <t>'800108992029</t>
        </is>
      </c>
      <c r="G3168" s="0" t="inlineStr">
        <is>
          <t>WOMENS</t>
        </is>
      </c>
      <c r="H3168" s="0" t="inlineStr">
        <is>
          <t>M</t>
        </is>
      </c>
      <c r="I3168" s="0">
        <v>42.99</v>
      </c>
      <c r="J3168" s="0">
        <v>31</v>
      </c>
    </row>
    <row r="3169" spans="1:10" customHeight="0">
      <c r="A3169" s="0">
        <f>HYPERLINK("https://dl.dropboxusercontent.com/scl/fi/i1j6xyulgn6r845aqcs2s/108992-af.jpg?rlkey=9g0c99j1gqtzxs5vb8dhvgut8&amp;dl=0","Click to download Image")</f>
      </c>
      <c r="B3169" s="0">
        <f>HYPERLINK("https://dl.dropboxusercontent.com/scl/fi/bva3o1cia0repwkqsabwx/graphic-update2022-womens.jpg?rlkey=j44f3k6vgfttrm4xuu1o9blyq&amp;dl=0","Click to download SizeChart")</f>
      </c>
      <c r="C3169" s="0" t="inlineStr">
        <is>
          <t>Livy Women's Off Shoulder Top</t>
        </is>
      </c>
      <c r="D3169" s="0" t="inlineStr">
        <is>
          <t>'108992</t>
        </is>
      </c>
      <c r="E3169" s="0" t="inlineStr">
        <is>
          <t>ISU LIVY:108992C-L</t>
        </is>
      </c>
      <c r="F3169" s="0" t="inlineStr">
        <is>
          <t>'800108992036</t>
        </is>
      </c>
      <c r="G3169" s="0" t="inlineStr">
        <is>
          <t>WOMENS</t>
        </is>
      </c>
      <c r="H3169" s="0" t="inlineStr">
        <is>
          <t>L</t>
        </is>
      </c>
      <c r="I3169" s="0">
        <v>42.99</v>
      </c>
      <c r="J3169" s="0">
        <v>31</v>
      </c>
    </row>
    <row r="3170" spans="1:10" customHeight="0">
      <c r="A3170" s="0">
        <f>HYPERLINK("https://dl.dropboxusercontent.com/scl/fi/i1j6xyulgn6r845aqcs2s/108992-af.jpg?rlkey=9g0c99j1gqtzxs5vb8dhvgut8&amp;dl=0","Click to download Image")</f>
      </c>
      <c r="B3170" s="0">
        <f>HYPERLINK("https://dl.dropboxusercontent.com/scl/fi/bva3o1cia0repwkqsabwx/graphic-update2022-womens.jpg?rlkey=j44f3k6vgfttrm4xuu1o9blyq&amp;dl=0","Click to download SizeChart")</f>
      </c>
      <c r="C3170" s="0" t="inlineStr">
        <is>
          <t>Livy Women's Off Shoulder Top</t>
        </is>
      </c>
      <c r="D3170" s="0" t="inlineStr">
        <is>
          <t>'108992</t>
        </is>
      </c>
      <c r="E3170" s="0" t="inlineStr">
        <is>
          <t>ISU LIVY:108992D-XL</t>
        </is>
      </c>
      <c r="F3170" s="0" t="inlineStr">
        <is>
          <t>'800108992043</t>
        </is>
      </c>
      <c r="G3170" s="0" t="inlineStr">
        <is>
          <t>WOMENS</t>
        </is>
      </c>
      <c r="H3170" s="0" t="inlineStr">
        <is>
          <t>XL</t>
        </is>
      </c>
      <c r="I3170" s="0">
        <v>42.99</v>
      </c>
      <c r="J3170" s="0">
        <v>15</v>
      </c>
    </row>
    <row r="3171" spans="1:10" customHeight="0">
      <c r="A3171" s="0">
        <f>HYPERLINK("https://dl.dropboxusercontent.com/scl/fi/i1j6xyulgn6r845aqcs2s/108992-af.jpg?rlkey=9g0c99j1gqtzxs5vb8dhvgut8&amp;dl=0","Click to download Image")</f>
      </c>
      <c r="B3171" s="0">
        <f>HYPERLINK("https://dl.dropboxusercontent.com/scl/fi/bva3o1cia0repwkqsabwx/graphic-update2022-womens.jpg?rlkey=j44f3k6vgfttrm4xuu1o9blyq&amp;dl=0","Click to download SizeChart")</f>
      </c>
      <c r="C3171" s="0" t="inlineStr">
        <is>
          <t>Livy Women's Off Shoulder Top</t>
        </is>
      </c>
      <c r="D3171" s="0" t="inlineStr">
        <is>
          <t>'108992</t>
        </is>
      </c>
      <c r="E3171" s="0" t="inlineStr">
        <is>
          <t>ISU LIVY:108992E-2XL</t>
        </is>
      </c>
      <c r="F3171" s="0" t="inlineStr">
        <is>
          <t>'800108992050</t>
        </is>
      </c>
      <c r="G3171" s="0" t="inlineStr">
        <is>
          <t>WOMENS</t>
        </is>
      </c>
      <c r="H3171" s="0" t="inlineStr">
        <is>
          <t>2XL</t>
        </is>
      </c>
      <c r="I3171" s="0">
        <v>42.99</v>
      </c>
      <c r="J3171" s="0">
        <v>3</v>
      </c>
    </row>
    <row r="3172" spans="1:10" customHeight="0">
      <c r="A3172" s="0">
        <f>HYPERLINK("https://dl.dropboxusercontent.com/scl/fi/i1j6xyulgn6r845aqcs2s/108992-af.jpg?rlkey=9g0c99j1gqtzxs5vb8dhvgut8&amp;dl=0","Click to download Image")</f>
      </c>
      <c r="B3172" s="0">
        <f>HYPERLINK("https://dl.dropboxusercontent.com/scl/fi/bva3o1cia0repwkqsabwx/graphic-update2022-womens.jpg?rlkey=j44f3k6vgfttrm4xuu1o9blyq&amp;dl=0","Click to download SizeChart")</f>
      </c>
      <c r="C3172" s="0" t="inlineStr">
        <is>
          <t>Livy Women's Off Shoulder Top</t>
        </is>
      </c>
      <c r="D3172" s="0" t="inlineStr">
        <is>
          <t>'108992</t>
        </is>
      </c>
      <c r="E3172" s="0" t="inlineStr">
        <is>
          <t>ISU LIVY:108992F-3XL</t>
        </is>
      </c>
      <c r="F3172" s="0" t="inlineStr">
        <is>
          <t>'800108992067</t>
        </is>
      </c>
      <c r="G3172" s="0" t="inlineStr">
        <is>
          <t>WOMENS</t>
        </is>
      </c>
      <c r="H3172" s="0" t="inlineStr">
        <is>
          <t>3XL</t>
        </is>
      </c>
      <c r="I3172" s="0">
        <v>42.99</v>
      </c>
      <c r="J3172" s="0">
        <v>3</v>
      </c>
    </row>
    <row r="3173" spans="1:10" customHeight="0">
      <c r="A3173" s="0">
        <f>HYPERLINK("https://dl.dropboxusercontent.com/scl/fi/avyc350a29rxnwxp8yq2y/108994-af.jpg?rlkey=vy4yosj03ypkxf3i2ejzewacf&amp;dl=0","Click to download Image")</f>
      </c>
      <c r="B3173" s="0">
        <f>HYPERLINK("https://dl.dropboxusercontent.com/scl/fi/bva3o1cia0repwkqsabwx/graphic-update2022-womens.jpg?rlkey=j44f3k6vgfttrm4xuu1o9blyq&amp;dl=0","Click to download SizeChart")</f>
      </c>
      <c r="C3173" s="0" t="inlineStr">
        <is>
          <t>Livy Women's Off Shoulder Top</t>
        </is>
      </c>
      <c r="D3173" s="0" t="inlineStr">
        <is>
          <t>'108994</t>
        </is>
      </c>
      <c r="E3173" s="0" t="inlineStr">
        <is>
          <t>UNI LIVY:108994A-S</t>
        </is>
      </c>
      <c r="F3173" s="0" t="inlineStr">
        <is>
          <t>'800108994016</t>
        </is>
      </c>
      <c r="G3173" s="0" t="inlineStr">
        <is>
          <t>WOMENS</t>
        </is>
      </c>
      <c r="H3173" s="0" t="inlineStr">
        <is>
          <t>S</t>
        </is>
      </c>
      <c r="I3173" s="0">
        <v>42.99</v>
      </c>
      <c r="J3173" s="0">
        <v>4</v>
      </c>
    </row>
    <row r="3174" spans="1:10" customHeight="0">
      <c r="A3174" s="0">
        <f>HYPERLINK("https://dl.dropboxusercontent.com/scl/fi/avyc350a29rxnwxp8yq2y/108994-af.jpg?rlkey=vy4yosj03ypkxf3i2ejzewacf&amp;dl=0","Click to download Image")</f>
      </c>
      <c r="B3174" s="0">
        <f>HYPERLINK("https://dl.dropboxusercontent.com/scl/fi/bva3o1cia0repwkqsabwx/graphic-update2022-womens.jpg?rlkey=j44f3k6vgfttrm4xuu1o9blyq&amp;dl=0","Click to download SizeChart")</f>
      </c>
      <c r="C3174" s="0" t="inlineStr">
        <is>
          <t>Livy Women's Off Shoulder Top</t>
        </is>
      </c>
      <c r="D3174" s="0" t="inlineStr">
        <is>
          <t>'108994</t>
        </is>
      </c>
      <c r="E3174" s="0" t="inlineStr">
        <is>
          <t>UNI LIVY:108994B-M</t>
        </is>
      </c>
      <c r="F3174" s="0" t="inlineStr">
        <is>
          <t>'800108994023</t>
        </is>
      </c>
      <c r="G3174" s="0" t="inlineStr">
        <is>
          <t>WOMENS</t>
        </is>
      </c>
      <c r="H3174" s="0" t="inlineStr">
        <is>
          <t>M</t>
        </is>
      </c>
      <c r="I3174" s="0">
        <v>42.99</v>
      </c>
      <c r="J3174" s="0">
        <v>13</v>
      </c>
    </row>
    <row r="3175" spans="1:10" customHeight="0">
      <c r="A3175" s="0">
        <f>HYPERLINK("https://dl.dropboxusercontent.com/scl/fi/avyc350a29rxnwxp8yq2y/108994-af.jpg?rlkey=vy4yosj03ypkxf3i2ejzewacf&amp;dl=0","Click to download Image")</f>
      </c>
      <c r="B3175" s="0">
        <f>HYPERLINK("https://dl.dropboxusercontent.com/scl/fi/bva3o1cia0repwkqsabwx/graphic-update2022-womens.jpg?rlkey=j44f3k6vgfttrm4xuu1o9blyq&amp;dl=0","Click to download SizeChart")</f>
      </c>
      <c r="C3175" s="0" t="inlineStr">
        <is>
          <t>Livy Women's Off Shoulder Top</t>
        </is>
      </c>
      <c r="D3175" s="0" t="inlineStr">
        <is>
          <t>'108994</t>
        </is>
      </c>
      <c r="E3175" s="0" t="inlineStr">
        <is>
          <t>UNI LIVY:108994C-L</t>
        </is>
      </c>
      <c r="F3175" s="0" t="inlineStr">
        <is>
          <t>'800108994030</t>
        </is>
      </c>
      <c r="G3175" s="0" t="inlineStr">
        <is>
          <t>WOMENS</t>
        </is>
      </c>
      <c r="H3175" s="0" t="inlineStr">
        <is>
          <t>L</t>
        </is>
      </c>
      <c r="I3175" s="0">
        <v>42.99</v>
      </c>
      <c r="J3175" s="0">
        <v>13</v>
      </c>
    </row>
    <row r="3176" spans="1:10" customHeight="0">
      <c r="A3176" s="0">
        <f>HYPERLINK("https://dl.dropboxusercontent.com/scl/fi/avyc350a29rxnwxp8yq2y/108994-af.jpg?rlkey=vy4yosj03ypkxf3i2ejzewacf&amp;dl=0","Click to download Image")</f>
      </c>
      <c r="B3176" s="0">
        <f>HYPERLINK("https://dl.dropboxusercontent.com/scl/fi/bva3o1cia0repwkqsabwx/graphic-update2022-womens.jpg?rlkey=j44f3k6vgfttrm4xuu1o9blyq&amp;dl=0","Click to download SizeChart")</f>
      </c>
      <c r="C3176" s="0" t="inlineStr">
        <is>
          <t>Livy Women's Off Shoulder Top</t>
        </is>
      </c>
      <c r="D3176" s="0" t="inlineStr">
        <is>
          <t>'108994</t>
        </is>
      </c>
      <c r="E3176" s="0" t="inlineStr">
        <is>
          <t>UNI LIVY:108994D-XL</t>
        </is>
      </c>
      <c r="F3176" s="0" t="inlineStr">
        <is>
          <t>'800108994047</t>
        </is>
      </c>
      <c r="G3176" s="0" t="inlineStr">
        <is>
          <t>WOMENS</t>
        </is>
      </c>
      <c r="H3176" s="0" t="inlineStr">
        <is>
          <t>XL</t>
        </is>
      </c>
      <c r="I3176" s="0">
        <v>42.99</v>
      </c>
      <c r="J3176" s="0">
        <v>6</v>
      </c>
    </row>
    <row r="3177" spans="1:10" customHeight="0">
      <c r="A3177" s="0">
        <f>HYPERLINK("https://dl.dropboxusercontent.com/scl/fi/avyc350a29rxnwxp8yq2y/108994-af.jpg?rlkey=vy4yosj03ypkxf3i2ejzewacf&amp;dl=0","Click to download Image")</f>
      </c>
      <c r="B3177" s="0">
        <f>HYPERLINK("https://dl.dropboxusercontent.com/scl/fi/bva3o1cia0repwkqsabwx/graphic-update2022-womens.jpg?rlkey=j44f3k6vgfttrm4xuu1o9blyq&amp;dl=0","Click to download SizeChart")</f>
      </c>
      <c r="C3177" s="0" t="inlineStr">
        <is>
          <t>Livy Women's Off Shoulder Top</t>
        </is>
      </c>
      <c r="D3177" s="0" t="inlineStr">
        <is>
          <t>'108994</t>
        </is>
      </c>
      <c r="E3177" s="0" t="inlineStr">
        <is>
          <t>UNI LIVY:108994E-2XL</t>
        </is>
      </c>
      <c r="F3177" s="0" t="inlineStr">
        <is>
          <t>'800108994054</t>
        </is>
      </c>
      <c r="G3177" s="0" t="inlineStr">
        <is>
          <t>WOMENS</t>
        </is>
      </c>
      <c r="H3177" s="0" t="inlineStr">
        <is>
          <t>2XL</t>
        </is>
      </c>
      <c r="I3177" s="0">
        <v>42.99</v>
      </c>
      <c r="J3177" s="0">
        <v>1</v>
      </c>
    </row>
    <row r="3178" spans="1:10" customHeight="0">
      <c r="A3178" s="0">
        <f>HYPERLINK("https://dl.dropboxusercontent.com/scl/fi/avyc350a29rxnwxp8yq2y/108994-af.jpg?rlkey=vy4yosj03ypkxf3i2ejzewacf&amp;dl=0","Click to download Image")</f>
      </c>
      <c r="B3178" s="0">
        <f>HYPERLINK("https://dl.dropboxusercontent.com/scl/fi/bva3o1cia0repwkqsabwx/graphic-update2022-womens.jpg?rlkey=j44f3k6vgfttrm4xuu1o9blyq&amp;dl=0","Click to download SizeChart")</f>
      </c>
      <c r="C3178" s="0" t="inlineStr">
        <is>
          <t>Livy Women's Off Shoulder Top</t>
        </is>
      </c>
      <c r="D3178" s="0" t="inlineStr">
        <is>
          <t>'108994</t>
        </is>
      </c>
      <c r="E3178" s="0" t="inlineStr">
        <is>
          <t>UNI LIVY:108994F-3XL</t>
        </is>
      </c>
      <c r="F3178" s="0" t="inlineStr">
        <is>
          <t>'800108994061</t>
        </is>
      </c>
      <c r="G3178" s="0" t="inlineStr">
        <is>
          <t>WOMENS</t>
        </is>
      </c>
      <c r="H3178" s="0" t="inlineStr">
        <is>
          <t>3XL</t>
        </is>
      </c>
      <c r="I3178" s="0">
        <v>42.99</v>
      </c>
      <c r="J3178" s="0">
        <v>1</v>
      </c>
    </row>
    <row r="3179" spans="1:10" customHeight="0">
      <c r="A3179" s="0">
        <f>HYPERLINK("https://dl.dropboxusercontent.com/scl/fi/tjfirxhhse8cfg6g1tyec/108997-af.jpg?rlkey=7s53higoziqv7c0mwvywtl59s&amp;dl=0","Click to download Image")</f>
      </c>
      <c r="B3179" s="0">
        <f>HYPERLINK("https://dl.dropboxusercontent.com/scl/fi/bva3o1cia0repwkqsabwx/graphic-update2022-womens.jpg?rlkey=j44f3k6vgfttrm4xuu1o9blyq&amp;dl=0","Click to download SizeChart")</f>
      </c>
      <c r="C3179" s="0" t="inlineStr">
        <is>
          <t>Livy Women's Off Shoulder Top</t>
        </is>
      </c>
      <c r="D3179" s="0" t="inlineStr">
        <is>
          <t>'108997</t>
        </is>
      </c>
      <c r="E3179" s="0" t="inlineStr">
        <is>
          <t>INDIANA LIVY:108997A-S</t>
        </is>
      </c>
      <c r="F3179" s="0" t="inlineStr">
        <is>
          <t>'800108997017</t>
        </is>
      </c>
      <c r="G3179" s="0" t="inlineStr">
        <is>
          <t>WOMENS</t>
        </is>
      </c>
      <c r="H3179" s="0" t="inlineStr">
        <is>
          <t>S</t>
        </is>
      </c>
      <c r="I3179" s="0">
        <v>42.99</v>
      </c>
      <c r="J3179" s="0">
        <v>6</v>
      </c>
    </row>
    <row r="3180" spans="1:10" customHeight="0">
      <c r="A3180" s="0">
        <f>HYPERLINK("https://dl.dropboxusercontent.com/scl/fi/tjfirxhhse8cfg6g1tyec/108997-af.jpg?rlkey=7s53higoziqv7c0mwvywtl59s&amp;dl=0","Click to download Image")</f>
      </c>
      <c r="B3180" s="0">
        <f>HYPERLINK("https://dl.dropboxusercontent.com/scl/fi/bva3o1cia0repwkqsabwx/graphic-update2022-womens.jpg?rlkey=j44f3k6vgfttrm4xuu1o9blyq&amp;dl=0","Click to download SizeChart")</f>
      </c>
      <c r="C3180" s="0" t="inlineStr">
        <is>
          <t>Livy Women's Off Shoulder Top</t>
        </is>
      </c>
      <c r="D3180" s="0" t="inlineStr">
        <is>
          <t>'108997</t>
        </is>
      </c>
      <c r="E3180" s="0" t="inlineStr">
        <is>
          <t>INDIANA LIVY:108997B-M</t>
        </is>
      </c>
      <c r="F3180" s="0" t="inlineStr">
        <is>
          <t>'800108997024</t>
        </is>
      </c>
      <c r="G3180" s="0" t="inlineStr">
        <is>
          <t>WOMENS</t>
        </is>
      </c>
      <c r="H3180" s="0" t="inlineStr">
        <is>
          <t>M</t>
        </is>
      </c>
      <c r="I3180" s="0">
        <v>42.99</v>
      </c>
      <c r="J3180" s="0">
        <v>8</v>
      </c>
    </row>
    <row r="3181" spans="1:10" customHeight="0">
      <c r="A3181" s="0">
        <f>HYPERLINK("https://dl.dropboxusercontent.com/scl/fi/tjfirxhhse8cfg6g1tyec/108997-af.jpg?rlkey=7s53higoziqv7c0mwvywtl59s&amp;dl=0","Click to download Image")</f>
      </c>
      <c r="B3181" s="0">
        <f>HYPERLINK("https://dl.dropboxusercontent.com/scl/fi/bva3o1cia0repwkqsabwx/graphic-update2022-womens.jpg?rlkey=j44f3k6vgfttrm4xuu1o9blyq&amp;dl=0","Click to download SizeChart")</f>
      </c>
      <c r="C3181" s="0" t="inlineStr">
        <is>
          <t>Livy Women's Off Shoulder Top</t>
        </is>
      </c>
      <c r="D3181" s="0" t="inlineStr">
        <is>
          <t>'108997</t>
        </is>
      </c>
      <c r="E3181" s="0" t="inlineStr">
        <is>
          <t>INDIANA LIVY:108997C-L</t>
        </is>
      </c>
      <c r="F3181" s="0" t="inlineStr">
        <is>
          <t>'800108997031</t>
        </is>
      </c>
      <c r="G3181" s="0" t="inlineStr">
        <is>
          <t>WOMENS</t>
        </is>
      </c>
      <c r="H3181" s="0" t="inlineStr">
        <is>
          <t>L</t>
        </is>
      </c>
      <c r="I3181" s="0">
        <v>42.99</v>
      </c>
      <c r="J3181" s="0">
        <v>8</v>
      </c>
    </row>
    <row r="3182" spans="1:10" customHeight="0">
      <c r="A3182" s="0">
        <f>HYPERLINK("https://dl.dropboxusercontent.com/scl/fi/tjfirxhhse8cfg6g1tyec/108997-af.jpg?rlkey=7s53higoziqv7c0mwvywtl59s&amp;dl=0","Click to download Image")</f>
      </c>
      <c r="B3182" s="0">
        <f>HYPERLINK("https://dl.dropboxusercontent.com/scl/fi/bva3o1cia0repwkqsabwx/graphic-update2022-womens.jpg?rlkey=j44f3k6vgfttrm4xuu1o9blyq&amp;dl=0","Click to download SizeChart")</f>
      </c>
      <c r="C3182" s="0" t="inlineStr">
        <is>
          <t>Livy Women's Off Shoulder Top</t>
        </is>
      </c>
      <c r="D3182" s="0" t="inlineStr">
        <is>
          <t>'108997</t>
        </is>
      </c>
      <c r="E3182" s="0" t="inlineStr">
        <is>
          <t>INDIANA LIVY:108997D-XL</t>
        </is>
      </c>
      <c r="F3182" s="0" t="inlineStr">
        <is>
          <t>'800108997048</t>
        </is>
      </c>
      <c r="G3182" s="0" t="inlineStr">
        <is>
          <t>WOMENS</t>
        </is>
      </c>
      <c r="H3182" s="0" t="inlineStr">
        <is>
          <t>XL</t>
        </is>
      </c>
      <c r="I3182" s="0">
        <v>42.99</v>
      </c>
      <c r="J3182" s="0">
        <v>4</v>
      </c>
    </row>
    <row r="3183" spans="1:10" customHeight="0">
      <c r="A3183" s="0">
        <f>HYPERLINK("https://dl.dropboxusercontent.com/scl/fi/tjfirxhhse8cfg6g1tyec/108997-af.jpg?rlkey=7s53higoziqv7c0mwvywtl59s&amp;dl=0","Click to download Image")</f>
      </c>
      <c r="B3183" s="0">
        <f>HYPERLINK("https://dl.dropboxusercontent.com/scl/fi/bva3o1cia0repwkqsabwx/graphic-update2022-womens.jpg?rlkey=j44f3k6vgfttrm4xuu1o9blyq&amp;dl=0","Click to download SizeChart")</f>
      </c>
      <c r="C3183" s="0" t="inlineStr">
        <is>
          <t>Livy Women's Off Shoulder Top</t>
        </is>
      </c>
      <c r="D3183" s="0" t="inlineStr">
        <is>
          <t>'108997</t>
        </is>
      </c>
      <c r="E3183" s="0" t="inlineStr">
        <is>
          <t>INDIANA LIVY:108997E-2XL</t>
        </is>
      </c>
      <c r="F3183" s="0" t="inlineStr">
        <is>
          <t>'800108997055</t>
        </is>
      </c>
      <c r="G3183" s="0" t="inlineStr">
        <is>
          <t>WOMENS</t>
        </is>
      </c>
      <c r="H3183" s="0" t="inlineStr">
        <is>
          <t>2XL</t>
        </is>
      </c>
      <c r="I3183" s="0">
        <v>42.99</v>
      </c>
      <c r="J3183" s="0">
        <v>1</v>
      </c>
    </row>
    <row r="3184" spans="1:10" customHeight="0">
      <c r="A3184" s="0">
        <f>HYPERLINK("https://dl.dropboxusercontent.com/scl/fi/tjfirxhhse8cfg6g1tyec/108997-af.jpg?rlkey=7s53higoziqv7c0mwvywtl59s&amp;dl=0","Click to download Image")</f>
      </c>
      <c r="B3184" s="0">
        <f>HYPERLINK("https://dl.dropboxusercontent.com/scl/fi/bva3o1cia0repwkqsabwx/graphic-update2022-womens.jpg?rlkey=j44f3k6vgfttrm4xuu1o9blyq&amp;dl=0","Click to download SizeChart")</f>
      </c>
      <c r="C3184" s="0" t="inlineStr">
        <is>
          <t>Livy Women's Off Shoulder Top</t>
        </is>
      </c>
      <c r="D3184" s="0" t="inlineStr">
        <is>
          <t>'108997</t>
        </is>
      </c>
      <c r="E3184" s="0" t="inlineStr">
        <is>
          <t>INDIANA LIVY:108997F-3XL</t>
        </is>
      </c>
      <c r="F3184" s="0" t="inlineStr">
        <is>
          <t>'800108997062</t>
        </is>
      </c>
      <c r="G3184" s="0" t="inlineStr">
        <is>
          <t>WOMENS</t>
        </is>
      </c>
      <c r="H3184" s="0" t="inlineStr">
        <is>
          <t>3XL</t>
        </is>
      </c>
      <c r="I3184" s="0">
        <v>42.99</v>
      </c>
      <c r="J3184" s="0">
        <v>1</v>
      </c>
    </row>
    <row r="3185" spans="1:10" customHeight="0">
      <c r="A3185" s="0">
        <f>HYPERLINK("https://dl.dropboxusercontent.com/scl/fi/6k26otq6iqyt4its43qtm/108995-af.jpg?rlkey=2my6edryxaoi2yaeb71lp8b9u&amp;dl=0","Click to download Image")</f>
      </c>
      <c r="B3185" s="0">
        <f>HYPERLINK("https://dl.dropboxusercontent.com/scl/fi/bva3o1cia0repwkqsabwx/graphic-update2022-womens.jpg?rlkey=j44f3k6vgfttrm4xuu1o9blyq&amp;dl=0","Click to download SizeChart")</f>
      </c>
      <c r="C3185" s="0" t="inlineStr">
        <is>
          <t>Livy Women's Off Shoulder Top</t>
        </is>
      </c>
      <c r="D3185" s="0" t="inlineStr">
        <is>
          <t>'108995</t>
        </is>
      </c>
      <c r="E3185" s="0" t="inlineStr">
        <is>
          <t>PURDUE LIVY:108995A-S</t>
        </is>
      </c>
      <c r="F3185" s="0" t="inlineStr">
        <is>
          <t>'800108995013</t>
        </is>
      </c>
      <c r="G3185" s="0" t="inlineStr">
        <is>
          <t>WOMENS</t>
        </is>
      </c>
      <c r="H3185" s="0" t="inlineStr">
        <is>
          <t>S</t>
        </is>
      </c>
      <c r="I3185" s="0">
        <v>42.99</v>
      </c>
      <c r="J3185" s="0">
        <v>7</v>
      </c>
    </row>
    <row r="3186" spans="1:10" customHeight="0">
      <c r="A3186" s="0">
        <f>HYPERLINK("https://dl.dropboxusercontent.com/scl/fi/6k26otq6iqyt4its43qtm/108995-af.jpg?rlkey=2my6edryxaoi2yaeb71lp8b9u&amp;dl=0","Click to download Image")</f>
      </c>
      <c r="B3186" s="0">
        <f>HYPERLINK("https://dl.dropboxusercontent.com/scl/fi/bva3o1cia0repwkqsabwx/graphic-update2022-womens.jpg?rlkey=j44f3k6vgfttrm4xuu1o9blyq&amp;dl=0","Click to download SizeChart")</f>
      </c>
      <c r="C3186" s="0" t="inlineStr">
        <is>
          <t>Livy Women's Off Shoulder Top</t>
        </is>
      </c>
      <c r="D3186" s="0" t="inlineStr">
        <is>
          <t>'108995</t>
        </is>
      </c>
      <c r="E3186" s="0" t="inlineStr">
        <is>
          <t>PURDUE LIVY:108995B-M</t>
        </is>
      </c>
      <c r="F3186" s="0" t="inlineStr">
        <is>
          <t>'800108995020</t>
        </is>
      </c>
      <c r="G3186" s="0" t="inlineStr">
        <is>
          <t>WOMENS</t>
        </is>
      </c>
      <c r="H3186" s="0" t="inlineStr">
        <is>
          <t>M</t>
        </is>
      </c>
      <c r="I3186" s="0">
        <v>42.99</v>
      </c>
      <c r="J3186" s="0">
        <v>14</v>
      </c>
    </row>
    <row r="3187" spans="1:10" customHeight="0">
      <c r="A3187" s="0">
        <f>HYPERLINK("https://dl.dropboxusercontent.com/scl/fi/6k26otq6iqyt4its43qtm/108995-af.jpg?rlkey=2my6edryxaoi2yaeb71lp8b9u&amp;dl=0","Click to download Image")</f>
      </c>
      <c r="B3187" s="0">
        <f>HYPERLINK("https://dl.dropboxusercontent.com/scl/fi/bva3o1cia0repwkqsabwx/graphic-update2022-womens.jpg?rlkey=j44f3k6vgfttrm4xuu1o9blyq&amp;dl=0","Click to download SizeChart")</f>
      </c>
      <c r="C3187" s="0" t="inlineStr">
        <is>
          <t>Livy Women's Off Shoulder Top</t>
        </is>
      </c>
      <c r="D3187" s="0" t="inlineStr">
        <is>
          <t>'108995</t>
        </is>
      </c>
      <c r="E3187" s="0" t="inlineStr">
        <is>
          <t>PURDUE LIVY:108995C-L</t>
        </is>
      </c>
      <c r="F3187" s="0" t="inlineStr">
        <is>
          <t>'800108995037</t>
        </is>
      </c>
      <c r="G3187" s="0" t="inlineStr">
        <is>
          <t>WOMENS</t>
        </is>
      </c>
      <c r="H3187" s="0" t="inlineStr">
        <is>
          <t>L</t>
        </is>
      </c>
      <c r="I3187" s="0">
        <v>42.99</v>
      </c>
      <c r="J3187" s="0">
        <v>13</v>
      </c>
    </row>
    <row r="3188" spans="1:10" customHeight="0">
      <c r="A3188" s="0">
        <f>HYPERLINK("https://dl.dropboxusercontent.com/scl/fi/6k26otq6iqyt4its43qtm/108995-af.jpg?rlkey=2my6edryxaoi2yaeb71lp8b9u&amp;dl=0","Click to download Image")</f>
      </c>
      <c r="B3188" s="0">
        <f>HYPERLINK("https://dl.dropboxusercontent.com/scl/fi/bva3o1cia0repwkqsabwx/graphic-update2022-womens.jpg?rlkey=j44f3k6vgfttrm4xuu1o9blyq&amp;dl=0","Click to download SizeChart")</f>
      </c>
      <c r="C3188" s="0" t="inlineStr">
        <is>
          <t>Livy Women's Off Shoulder Top</t>
        </is>
      </c>
      <c r="D3188" s="0" t="inlineStr">
        <is>
          <t>'108995</t>
        </is>
      </c>
      <c r="E3188" s="0" t="inlineStr">
        <is>
          <t>PURDUE LIVY:108995D-XL</t>
        </is>
      </c>
      <c r="F3188" s="0" t="inlineStr">
        <is>
          <t>'800108995044</t>
        </is>
      </c>
      <c r="G3188" s="0" t="inlineStr">
        <is>
          <t>WOMENS</t>
        </is>
      </c>
      <c r="H3188" s="0" t="inlineStr">
        <is>
          <t>XL</t>
        </is>
      </c>
      <c r="I3188" s="0">
        <v>42.99</v>
      </c>
      <c r="J3188" s="0">
        <v>8</v>
      </c>
    </row>
    <row r="3189" spans="1:10" customHeight="0">
      <c r="A3189" s="0">
        <f>HYPERLINK("https://dl.dropboxusercontent.com/scl/fi/6k26otq6iqyt4its43qtm/108995-af.jpg?rlkey=2my6edryxaoi2yaeb71lp8b9u&amp;dl=0","Click to download Image")</f>
      </c>
      <c r="B3189" s="0">
        <f>HYPERLINK("https://dl.dropboxusercontent.com/scl/fi/bva3o1cia0repwkqsabwx/graphic-update2022-womens.jpg?rlkey=j44f3k6vgfttrm4xuu1o9blyq&amp;dl=0","Click to download SizeChart")</f>
      </c>
      <c r="C3189" s="0" t="inlineStr">
        <is>
          <t>Livy Women's Off Shoulder Top</t>
        </is>
      </c>
      <c r="D3189" s="0" t="inlineStr">
        <is>
          <t>'108995</t>
        </is>
      </c>
      <c r="E3189" s="0" t="inlineStr">
        <is>
          <t>PURDUE LIVY:108995E-2XL</t>
        </is>
      </c>
      <c r="F3189" s="0" t="inlineStr">
        <is>
          <t>'800108995051</t>
        </is>
      </c>
      <c r="G3189" s="0" t="inlineStr">
        <is>
          <t>WOMENS</t>
        </is>
      </c>
      <c r="H3189" s="0" t="inlineStr">
        <is>
          <t>2XL</t>
        </is>
      </c>
      <c r="I3189" s="0">
        <v>42.99</v>
      </c>
      <c r="J3189" s="0">
        <v>2</v>
      </c>
    </row>
    <row r="3190" spans="1:10" customHeight="0">
      <c r="A3190" s="0">
        <f>HYPERLINK("https://dl.dropboxusercontent.com/scl/fi/6k26otq6iqyt4its43qtm/108995-af.jpg?rlkey=2my6edryxaoi2yaeb71lp8b9u&amp;dl=0","Click to download Image")</f>
      </c>
      <c r="B3190" s="0">
        <f>HYPERLINK("https://dl.dropboxusercontent.com/scl/fi/bva3o1cia0repwkqsabwx/graphic-update2022-womens.jpg?rlkey=j44f3k6vgfttrm4xuu1o9blyq&amp;dl=0","Click to download SizeChart")</f>
      </c>
      <c r="C3190" s="0" t="inlineStr">
        <is>
          <t>Livy Women's Off Shoulder Top</t>
        </is>
      </c>
      <c r="D3190" s="0" t="inlineStr">
        <is>
          <t>'108995</t>
        </is>
      </c>
      <c r="E3190" s="0" t="inlineStr">
        <is>
          <t>PURDUE LIVY:108995F-3XL</t>
        </is>
      </c>
      <c r="F3190" s="0" t="inlineStr">
        <is>
          <t>'800108995068</t>
        </is>
      </c>
      <c r="G3190" s="0" t="inlineStr">
        <is>
          <t>WOMENS</t>
        </is>
      </c>
      <c r="H3190" s="0" t="inlineStr">
        <is>
          <t>3XL</t>
        </is>
      </c>
      <c r="I3190" s="0">
        <v>42.99</v>
      </c>
      <c r="J3190" s="0">
        <v>2</v>
      </c>
    </row>
    <row r="3191" spans="1:10" customHeight="0">
      <c r="A3191" s="0">
        <f>HYPERLINK("https://dl.dropboxusercontent.com/scl/fi/4bxfe8lduax7ztjdpi11j/106942luna-1.jpg?rlkey=zawypjbtka0pmhw0zgcptgopo&amp;dl=0","Click to download Image")</f>
      </c>
      <c r="C3191" s="0" t="inlineStr">
        <is>
          <t>Luna Women's Cap</t>
        </is>
      </c>
      <c r="D3191" s="0" t="inlineStr">
        <is>
          <t>'106942</t>
        </is>
      </c>
      <c r="E3191" s="0" t="inlineStr">
        <is>
          <t>ISU LUNA:106942</t>
        </is>
      </c>
      <c r="F3191" s="0" t="inlineStr">
        <is>
          <t>'700106942012</t>
        </is>
      </c>
      <c r="G3191" s="0" t="inlineStr">
        <is>
          <t>WOMENS</t>
        </is>
      </c>
      <c r="H3191" s="0" t="inlineStr">
        <is>
          <t>WOMENS</t>
        </is>
      </c>
      <c r="I3191" s="0">
        <v>18.99</v>
      </c>
      <c r="J3191" s="0">
        <v>44</v>
      </c>
    </row>
    <row r="3192" spans="1:10" customHeight="0">
      <c r="A3192" s="0">
        <f>HYPERLINK("https://dl.dropboxusercontent.com/scl/fi/y2ce2plxf3fq0bus7zkf9/106993f1.jpg?rlkey=a1mgh5hy7rxgng3y70vp7b0xb&amp;dl=0","Click to download Image")</f>
      </c>
      <c r="B3192" s="0">
        <f>HYPERLINK("https://dl.dropboxusercontent.com/scl/fi/crh1can8l2t79macgmhqg/graphic-update22022-infant.jpg?rlkey=ngq0xfpvc2lshvyp6viutqomz&amp;dl=0","Click to download SizeChart")</f>
      </c>
      <c r="C3192" s="0" t="inlineStr">
        <is>
          <t>Lenox Infant Overalls</t>
        </is>
      </c>
      <c r="D3192" s="0" t="inlineStr">
        <is>
          <t>'106993</t>
        </is>
      </c>
      <c r="E3192" s="0" t="inlineStr">
        <is>
          <t>ISU LENOX INFANT:106993A-0-3M</t>
        </is>
      </c>
      <c r="F3192" s="0" t="inlineStr">
        <is>
          <t>'800106993011</t>
        </is>
      </c>
      <c r="G3192" s="0" t="inlineStr">
        <is>
          <t>INFANT</t>
        </is>
      </c>
      <c r="H3192" s="0" t="inlineStr">
        <is>
          <t>0-3M</t>
        </is>
      </c>
      <c r="I3192" s="0">
        <v>29.99</v>
      </c>
      <c r="J3192" s="0">
        <v>8</v>
      </c>
    </row>
    <row r="3193" spans="1:10" customHeight="0">
      <c r="A3193" s="0">
        <f>HYPERLINK("https://dl.dropboxusercontent.com/scl/fi/y2ce2plxf3fq0bus7zkf9/106993f1.jpg?rlkey=a1mgh5hy7rxgng3y70vp7b0xb&amp;dl=0","Click to download Image")</f>
      </c>
      <c r="B3193" s="0">
        <f>HYPERLINK("https://dl.dropboxusercontent.com/scl/fi/crh1can8l2t79macgmhqg/graphic-update22022-infant.jpg?rlkey=ngq0xfpvc2lshvyp6viutqomz&amp;dl=0","Click to download SizeChart")</f>
      </c>
      <c r="C3193" s="0" t="inlineStr">
        <is>
          <t>Lenox Infant Overalls</t>
        </is>
      </c>
      <c r="D3193" s="0" t="inlineStr">
        <is>
          <t>'106993</t>
        </is>
      </c>
      <c r="E3193" s="0" t="inlineStr">
        <is>
          <t>ISU LENOX INFANT:106993B-3-6M</t>
        </is>
      </c>
      <c r="F3193" s="0" t="inlineStr">
        <is>
          <t>'800106993028</t>
        </is>
      </c>
      <c r="G3193" s="0" t="inlineStr">
        <is>
          <t>INFANT</t>
        </is>
      </c>
      <c r="H3193" s="0" t="inlineStr">
        <is>
          <t>3-6M</t>
        </is>
      </c>
      <c r="I3193" s="0">
        <v>29.99</v>
      </c>
      <c r="J3193" s="0">
        <v>6</v>
      </c>
    </row>
    <row r="3194" spans="1:10" customHeight="0">
      <c r="A3194" s="0">
        <f>HYPERLINK("https://dl.dropboxusercontent.com/scl/fi/y2ce2plxf3fq0bus7zkf9/106993f1.jpg?rlkey=a1mgh5hy7rxgng3y70vp7b0xb&amp;dl=0","Click to download Image")</f>
      </c>
      <c r="B3194" s="0">
        <f>HYPERLINK("https://dl.dropboxusercontent.com/scl/fi/crh1can8l2t79macgmhqg/graphic-update22022-infant.jpg?rlkey=ngq0xfpvc2lshvyp6viutqomz&amp;dl=0","Click to download SizeChart")</f>
      </c>
      <c r="C3194" s="0" t="inlineStr">
        <is>
          <t>Lenox Infant Overalls</t>
        </is>
      </c>
      <c r="D3194" s="0" t="inlineStr">
        <is>
          <t>'106993</t>
        </is>
      </c>
      <c r="E3194" s="0" t="inlineStr">
        <is>
          <t>ISU LENOX INFANT:106993C-6-9M</t>
        </is>
      </c>
      <c r="F3194" s="0" t="inlineStr">
        <is>
          <t>'800106993035</t>
        </is>
      </c>
      <c r="G3194" s="0" t="inlineStr">
        <is>
          <t>INFANT</t>
        </is>
      </c>
      <c r="H3194" s="0" t="inlineStr">
        <is>
          <t>6-9M</t>
        </is>
      </c>
      <c r="I3194" s="0">
        <v>29.99</v>
      </c>
      <c r="J3194" s="0">
        <v>3</v>
      </c>
    </row>
    <row r="3195" spans="1:10" customHeight="0">
      <c r="A3195" s="0">
        <f>HYPERLINK("https://dl.dropboxusercontent.com/scl/fi/y2ce2plxf3fq0bus7zkf9/106993f1.jpg?rlkey=a1mgh5hy7rxgng3y70vp7b0xb&amp;dl=0","Click to download Image")</f>
      </c>
      <c r="B3195" s="0">
        <f>HYPERLINK("https://dl.dropboxusercontent.com/scl/fi/crh1can8l2t79macgmhqg/graphic-update22022-infant.jpg?rlkey=ngq0xfpvc2lshvyp6viutqomz&amp;dl=0","Click to download SizeChart")</f>
      </c>
      <c r="C3195" s="0" t="inlineStr">
        <is>
          <t>Lenox Infant Overalls</t>
        </is>
      </c>
      <c r="D3195" s="0" t="inlineStr">
        <is>
          <t>'106993</t>
        </is>
      </c>
      <c r="E3195" s="0" t="inlineStr">
        <is>
          <t>ISU LENOX INFANT:106993F-12M</t>
        </is>
      </c>
      <c r="F3195" s="0" t="inlineStr">
        <is>
          <t>'800106993042</t>
        </is>
      </c>
      <c r="G3195" s="0" t="inlineStr">
        <is>
          <t>INFANT</t>
        </is>
      </c>
      <c r="H3195" s="0" t="inlineStr">
        <is>
          <t>12M</t>
        </is>
      </c>
      <c r="I3195" s="0">
        <v>29.99</v>
      </c>
      <c r="J3195" s="0">
        <v>0</v>
      </c>
    </row>
    <row r="3196" spans="1:10" customHeight="0">
      <c r="A3196" s="0">
        <f>HYPERLINK("https://dl.dropboxusercontent.com/scl/fi/tobvlhwy4c2z31nvidst7/107021-af1.jpg?rlkey=3bc26mpsuf07tzmb1b6t4e35h&amp;dl=0","Click to download Image")</f>
      </c>
      <c r="B3196" s="0">
        <f>HYPERLINK("https://dl.dropboxusercontent.com/scl/fi/bmnempqpnxx88yijls9m7/graphic-update22022-toddler.jpg?rlkey=xqdynzkjbkge4t2kar0f51i44&amp;dl=0","Click to download SizeChart")</f>
      </c>
      <c r="C3196" s="0" t="inlineStr">
        <is>
          <t>Lenox Toddler Overalls</t>
        </is>
      </c>
      <c r="D3196" s="0" t="inlineStr">
        <is>
          <t>'107021</t>
        </is>
      </c>
      <c r="E3196" s="0" t="inlineStr">
        <is>
          <t>ISU LENOX TDLR:107021A-2T</t>
        </is>
      </c>
      <c r="F3196" s="0" t="inlineStr">
        <is>
          <t>'800107021010</t>
        </is>
      </c>
      <c r="G3196" s="0" t="inlineStr">
        <is>
          <t>TODDLER</t>
        </is>
      </c>
      <c r="H3196" s="0" t="inlineStr">
        <is>
          <t>2T</t>
        </is>
      </c>
      <c r="I3196" s="0">
        <v>29.99</v>
      </c>
      <c r="J3196" s="0">
        <v>0</v>
      </c>
    </row>
    <row r="3197" spans="1:10" customHeight="0">
      <c r="A3197" s="0">
        <f>HYPERLINK("https://dl.dropboxusercontent.com/scl/fi/tobvlhwy4c2z31nvidst7/107021-af1.jpg?rlkey=3bc26mpsuf07tzmb1b6t4e35h&amp;dl=0","Click to download Image")</f>
      </c>
      <c r="B3197" s="0">
        <f>HYPERLINK("https://dl.dropboxusercontent.com/scl/fi/bmnempqpnxx88yijls9m7/graphic-update22022-toddler.jpg?rlkey=xqdynzkjbkge4t2kar0f51i44&amp;dl=0","Click to download SizeChart")</f>
      </c>
      <c r="C3197" s="0" t="inlineStr">
        <is>
          <t>Lenox Toddler Overalls</t>
        </is>
      </c>
      <c r="D3197" s="0" t="inlineStr">
        <is>
          <t>'107021</t>
        </is>
      </c>
      <c r="E3197" s="0" t="inlineStr">
        <is>
          <t>ISU LENOX TDLR:107021B-3T</t>
        </is>
      </c>
      <c r="F3197" s="0" t="inlineStr">
        <is>
          <t>'800107021027</t>
        </is>
      </c>
      <c r="G3197" s="0" t="inlineStr">
        <is>
          <t>TODDLER</t>
        </is>
      </c>
      <c r="H3197" s="0" t="inlineStr">
        <is>
          <t>3T</t>
        </is>
      </c>
      <c r="I3197" s="0">
        <v>29.99</v>
      </c>
      <c r="J3197" s="0">
        <v>5</v>
      </c>
    </row>
    <row r="3198" spans="1:10" customHeight="0">
      <c r="A3198" s="0">
        <f>HYPERLINK("https://dl.dropboxusercontent.com/scl/fi/tobvlhwy4c2z31nvidst7/107021-af1.jpg?rlkey=3bc26mpsuf07tzmb1b6t4e35h&amp;dl=0","Click to download Image")</f>
      </c>
      <c r="B3198" s="0">
        <f>HYPERLINK("https://dl.dropboxusercontent.com/scl/fi/bmnempqpnxx88yijls9m7/graphic-update22022-toddler.jpg?rlkey=xqdynzkjbkge4t2kar0f51i44&amp;dl=0","Click to download SizeChart")</f>
      </c>
      <c r="C3198" s="0" t="inlineStr">
        <is>
          <t>Lenox Toddler Overalls</t>
        </is>
      </c>
      <c r="D3198" s="0" t="inlineStr">
        <is>
          <t>'107021</t>
        </is>
      </c>
      <c r="E3198" s="0" t="inlineStr">
        <is>
          <t>ISU LENOX TDLR:107021C-4T</t>
        </is>
      </c>
      <c r="F3198" s="0" t="inlineStr">
        <is>
          <t>'800107021034</t>
        </is>
      </c>
      <c r="G3198" s="0" t="inlineStr">
        <is>
          <t>TODDLER</t>
        </is>
      </c>
      <c r="H3198" s="0" t="inlineStr">
        <is>
          <t>4T</t>
        </is>
      </c>
      <c r="I3198" s="0">
        <v>29.99</v>
      </c>
      <c r="J3198" s="0">
        <v>16</v>
      </c>
    </row>
    <row r="3199" spans="1:10" customHeight="0">
      <c r="A3199" s="0">
        <f>HYPERLINK("https://dl.dropboxusercontent.com/scl/fi/tobvlhwy4c2z31nvidst7/107021-af1.jpg?rlkey=3bc26mpsuf07tzmb1b6t4e35h&amp;dl=0","Click to download Image")</f>
      </c>
      <c r="B3199" s="0">
        <f>HYPERLINK("https://dl.dropboxusercontent.com/scl/fi/bmnempqpnxx88yijls9m7/graphic-update22022-toddler.jpg?rlkey=xqdynzkjbkge4t2kar0f51i44&amp;dl=0","Click to download SizeChart")</f>
      </c>
      <c r="C3199" s="0" t="inlineStr">
        <is>
          <t>Lenox Toddler Overalls</t>
        </is>
      </c>
      <c r="D3199" s="0" t="inlineStr">
        <is>
          <t>'107021</t>
        </is>
      </c>
      <c r="E3199" s="0" t="inlineStr">
        <is>
          <t>ISU LENOX TDLR:107021D-5T</t>
        </is>
      </c>
      <c r="F3199" s="0" t="inlineStr">
        <is>
          <t>'800107021041</t>
        </is>
      </c>
      <c r="G3199" s="0" t="inlineStr">
        <is>
          <t>TODDLER</t>
        </is>
      </c>
      <c r="H3199" s="0" t="inlineStr">
        <is>
          <t>5T</t>
        </is>
      </c>
      <c r="I3199" s="0">
        <v>29.99</v>
      </c>
      <c r="J3199" s="0">
        <v>29</v>
      </c>
    </row>
    <row r="3200" spans="1:10" customHeight="0">
      <c r="A3200" s="0">
        <f>HYPERLINK("https://dl.dropboxusercontent.com/scl/fi/tspcgoyjulgqwq99xy10h/lenox.jpg?rlkey=rvabfits9bxu90a27gch7uv0i&amp;dl=0","Click to download Image")</f>
      </c>
      <c r="B3200" s="0">
        <f>HYPERLINK("https://dl.dropboxusercontent.com/scl/fi/bmnempqpnxx88yijls9m7/graphic-update22022-toddler.jpg?rlkey=xqdynzkjbkge4t2kar0f51i44&amp;dl=0","Click to download SizeChart")</f>
      </c>
      <c r="C3200" s="0" t="inlineStr">
        <is>
          <t>Lenox Toddler Overalls</t>
        </is>
      </c>
      <c r="D3200" s="0" t="inlineStr">
        <is>
          <t>'106997</t>
        </is>
      </c>
      <c r="E3200" s="0" t="inlineStr">
        <is>
          <t>IOWA LENOX TDLR:106997C-4T</t>
        </is>
      </c>
      <c r="F3200" s="0" t="inlineStr">
        <is>
          <t>'800106997033</t>
        </is>
      </c>
      <c r="G3200" s="0" t="inlineStr">
        <is>
          <t>TODDLER</t>
        </is>
      </c>
      <c r="H3200" s="0" t="inlineStr">
        <is>
          <t>4T</t>
        </is>
      </c>
      <c r="I3200" s="0">
        <v>29.99</v>
      </c>
      <c r="J3200" s="0">
        <v>7</v>
      </c>
    </row>
    <row r="3201" spans="1:10" customHeight="0">
      <c r="A3201" s="0">
        <f>HYPERLINK("https://dl.dropboxusercontent.com/scl/fi/tspcgoyjulgqwq99xy10h/lenox.jpg?rlkey=rvabfits9bxu90a27gch7uv0i&amp;dl=0","Click to download Image")</f>
      </c>
      <c r="B3201" s="0">
        <f>HYPERLINK("https://dl.dropboxusercontent.com/scl/fi/bmnempqpnxx88yijls9m7/graphic-update22022-toddler.jpg?rlkey=xqdynzkjbkge4t2kar0f51i44&amp;dl=0","Click to download SizeChart")</f>
      </c>
      <c r="C3201" s="0" t="inlineStr">
        <is>
          <t>Lenox Toddler Overalls</t>
        </is>
      </c>
      <c r="D3201" s="0" t="inlineStr">
        <is>
          <t>'106997</t>
        </is>
      </c>
      <c r="E3201" s="0" t="inlineStr">
        <is>
          <t>IOWA LENOX TDLR:106997D-5T</t>
        </is>
      </c>
      <c r="F3201" s="0" t="inlineStr">
        <is>
          <t>'800106997040</t>
        </is>
      </c>
      <c r="G3201" s="0" t="inlineStr">
        <is>
          <t>TODDLER</t>
        </is>
      </c>
      <c r="H3201" s="0" t="inlineStr">
        <is>
          <t>5T</t>
        </is>
      </c>
      <c r="I3201" s="0">
        <v>29.99</v>
      </c>
      <c r="J3201" s="0">
        <v>23</v>
      </c>
    </row>
    <row r="3202" spans="1:10" customHeight="0">
      <c r="A3202" s="0">
        <f>HYPERLINK("https://dl.dropboxusercontent.com/scl/fi/ios6fz689rmc9imbo1x5u/ia-af.jpg?rlkey=v6mf1yy3agd9le1v58pu3tmxi&amp;dl=0","Click to download Image")</f>
      </c>
      <c r="B3202" s="0">
        <f>HYPERLINK("https://dl.dropboxusercontent.com/scl/fi/chyowe2tvkwgvca37dasu/trisha-tn.jpg?rlkey=ea40qr6p2sw4oir47aoe9t9fb&amp;dl=0","Click to download SizeChart")</f>
      </c>
      <c r="C3202" s="0" t="inlineStr">
        <is>
          <t>Trisha Womens Golf Polo</t>
        </is>
      </c>
      <c r="D3202" s="0" t="inlineStr">
        <is>
          <t>'113906</t>
        </is>
      </c>
      <c r="E3202" s="0" t="inlineStr">
        <is>
          <t>IOWA TRISHA W BLACK:113906A-S</t>
        </is>
      </c>
      <c r="F3202" s="0" t="inlineStr">
        <is>
          <t>'800113906042</t>
        </is>
      </c>
      <c r="G3202" s="0" t="inlineStr">
        <is>
          <t>WOMENS</t>
        </is>
      </c>
      <c r="H3202" s="0" t="inlineStr">
        <is>
          <t>S</t>
        </is>
      </c>
      <c r="I3202" s="0">
        <v>40.98</v>
      </c>
      <c r="J3202" s="0">
        <v>3</v>
      </c>
    </row>
    <row r="3203" spans="1:10" customHeight="0">
      <c r="A3203" s="0">
        <f>HYPERLINK("https://dl.dropboxusercontent.com/scl/fi/ios6fz689rmc9imbo1x5u/ia-af.jpg?rlkey=v6mf1yy3agd9le1v58pu3tmxi&amp;dl=0","Click to download Image")</f>
      </c>
      <c r="B3203" s="0">
        <f>HYPERLINK("https://dl.dropboxusercontent.com/scl/fi/chyowe2tvkwgvca37dasu/trisha-tn.jpg?rlkey=ea40qr6p2sw4oir47aoe9t9fb&amp;dl=0","Click to download SizeChart")</f>
      </c>
      <c r="C3203" s="0" t="inlineStr">
        <is>
          <t>Trisha Womens Golf Polo</t>
        </is>
      </c>
      <c r="D3203" s="0" t="inlineStr">
        <is>
          <t>'113906</t>
        </is>
      </c>
      <c r="E3203" s="0" t="inlineStr">
        <is>
          <t>IOWA TRISHA W BLACK:113906B-M</t>
        </is>
      </c>
      <c r="F3203" s="0" t="inlineStr">
        <is>
          <t>'800113906059</t>
        </is>
      </c>
      <c r="G3203" s="0" t="inlineStr">
        <is>
          <t>WOMENS</t>
        </is>
      </c>
      <c r="H3203" s="0" t="inlineStr">
        <is>
          <t>M</t>
        </is>
      </c>
      <c r="I3203" s="0">
        <v>40.98</v>
      </c>
      <c r="J3203" s="0">
        <v>13</v>
      </c>
    </row>
    <row r="3204" spans="1:10" customHeight="0">
      <c r="A3204" s="0">
        <f>HYPERLINK("https://dl.dropboxusercontent.com/scl/fi/ios6fz689rmc9imbo1x5u/ia-af.jpg?rlkey=v6mf1yy3agd9le1v58pu3tmxi&amp;dl=0","Click to download Image")</f>
      </c>
      <c r="B3204" s="0">
        <f>HYPERLINK("https://dl.dropboxusercontent.com/scl/fi/chyowe2tvkwgvca37dasu/trisha-tn.jpg?rlkey=ea40qr6p2sw4oir47aoe9t9fb&amp;dl=0","Click to download SizeChart")</f>
      </c>
      <c r="C3204" s="0" t="inlineStr">
        <is>
          <t>Trisha Womens Golf Polo</t>
        </is>
      </c>
      <c r="D3204" s="0" t="inlineStr">
        <is>
          <t>'113906</t>
        </is>
      </c>
      <c r="E3204" s="0" t="inlineStr">
        <is>
          <t>IOWA TRISHA W BLACK:113906C-L</t>
        </is>
      </c>
      <c r="F3204" s="0" t="inlineStr">
        <is>
          <t>'800113906066</t>
        </is>
      </c>
      <c r="G3204" s="0" t="inlineStr">
        <is>
          <t>WOMENS</t>
        </is>
      </c>
      <c r="H3204" s="0" t="inlineStr">
        <is>
          <t>L</t>
        </is>
      </c>
      <c r="I3204" s="0">
        <v>40.98</v>
      </c>
      <c r="J3204" s="0">
        <v>11</v>
      </c>
    </row>
    <row r="3205" spans="1:10" customHeight="0">
      <c r="A3205" s="0">
        <f>HYPERLINK("https://dl.dropboxusercontent.com/scl/fi/ios6fz689rmc9imbo1x5u/ia-af.jpg?rlkey=v6mf1yy3agd9le1v58pu3tmxi&amp;dl=0","Click to download Image")</f>
      </c>
      <c r="B3205" s="0">
        <f>HYPERLINK("https://dl.dropboxusercontent.com/scl/fi/chyowe2tvkwgvca37dasu/trisha-tn.jpg?rlkey=ea40qr6p2sw4oir47aoe9t9fb&amp;dl=0","Click to download SizeChart")</f>
      </c>
      <c r="C3205" s="0" t="inlineStr">
        <is>
          <t>Trisha Womens Golf Polo</t>
        </is>
      </c>
      <c r="D3205" s="0" t="inlineStr">
        <is>
          <t>'113906</t>
        </is>
      </c>
      <c r="E3205" s="0" t="inlineStr">
        <is>
          <t>IOWA TRISHA W BLACK:113906D-XL</t>
        </is>
      </c>
      <c r="F3205" s="0" t="inlineStr">
        <is>
          <t>'800113906073</t>
        </is>
      </c>
      <c r="G3205" s="0" t="inlineStr">
        <is>
          <t>WOMENS</t>
        </is>
      </c>
      <c r="H3205" s="0" t="inlineStr">
        <is>
          <t>XL</t>
        </is>
      </c>
      <c r="I3205" s="0">
        <v>40.98</v>
      </c>
      <c r="J3205" s="0">
        <v>1</v>
      </c>
    </row>
    <row r="3206" spans="1:10" customHeight="0">
      <c r="A3206" s="0">
        <f>HYPERLINK("https://dl.dropboxusercontent.com/scl/fi/ios6fz689rmc9imbo1x5u/ia-af.jpg?rlkey=v6mf1yy3agd9le1v58pu3tmxi&amp;dl=0","Click to download Image")</f>
      </c>
      <c r="B3206" s="0">
        <f>HYPERLINK("https://dl.dropboxusercontent.com/scl/fi/chyowe2tvkwgvca37dasu/trisha-tn.jpg?rlkey=ea40qr6p2sw4oir47aoe9t9fb&amp;dl=0","Click to download SizeChart")</f>
      </c>
      <c r="C3206" s="0" t="inlineStr">
        <is>
          <t>Trisha Womens Golf Polo</t>
        </is>
      </c>
      <c r="D3206" s="0" t="inlineStr">
        <is>
          <t>'113906</t>
        </is>
      </c>
      <c r="E3206" s="0" t="inlineStr">
        <is>
          <t>IOWA TRISHA W BLACK:113906E-2XL</t>
        </is>
      </c>
      <c r="F3206" s="0" t="inlineStr">
        <is>
          <t>'800113906080</t>
        </is>
      </c>
      <c r="G3206" s="0" t="inlineStr">
        <is>
          <t>WOMENS</t>
        </is>
      </c>
      <c r="H3206" s="0" t="inlineStr">
        <is>
          <t>2XL</t>
        </is>
      </c>
      <c r="I3206" s="0">
        <v>42.98</v>
      </c>
      <c r="J3206" s="0">
        <v>0</v>
      </c>
    </row>
    <row r="3207" spans="1:10" customHeight="0">
      <c r="A3207" s="0">
        <f>HYPERLINK("https://dl.dropboxusercontent.com/scl/fi/ios6fz689rmc9imbo1x5u/ia-af.jpg?rlkey=v6mf1yy3agd9le1v58pu3tmxi&amp;dl=0","Click to download Image")</f>
      </c>
      <c r="B3207" s="0">
        <f>HYPERLINK("https://dl.dropboxusercontent.com/scl/fi/chyowe2tvkwgvca37dasu/trisha-tn.jpg?rlkey=ea40qr6p2sw4oir47aoe9t9fb&amp;dl=0","Click to download SizeChart")</f>
      </c>
      <c r="C3207" s="0" t="inlineStr">
        <is>
          <t>Trisha Womens Golf Polo</t>
        </is>
      </c>
      <c r="D3207" s="0" t="inlineStr">
        <is>
          <t>'113906</t>
        </is>
      </c>
      <c r="E3207" s="0" t="inlineStr">
        <is>
          <t>IOWA TRISHA W BLACK:113906F-3XL</t>
        </is>
      </c>
      <c r="F3207" s="0" t="inlineStr">
        <is>
          <t>'800113906097</t>
        </is>
      </c>
      <c r="G3207" s="0" t="inlineStr">
        <is>
          <t>WOMENS</t>
        </is>
      </c>
      <c r="H3207" s="0" t="inlineStr">
        <is>
          <t>3XL</t>
        </is>
      </c>
      <c r="I3207" s="0">
        <v>42.98</v>
      </c>
      <c r="J3207" s="0">
        <v>0</v>
      </c>
    </row>
    <row r="3208" spans="1:10" customHeight="0">
      <c r="A3208" s="0">
        <f>HYPERLINK("https://dl.dropboxusercontent.com/scl/fi/ios6fz689rmc9imbo1x5u/ia-af.jpg?rlkey=v6mf1yy3agd9le1v58pu3tmxi&amp;dl=0","Click to download Image")</f>
      </c>
      <c r="B3208" s="0">
        <f>HYPERLINK("https://dl.dropboxusercontent.com/scl/fi/chyowe2tvkwgvca37dasu/trisha-tn.jpg?rlkey=ea40qr6p2sw4oir47aoe9t9fb&amp;dl=0","Click to download SizeChart")</f>
      </c>
      <c r="C3208" s="0" t="inlineStr">
        <is>
          <t>Trisha Womens Golf Polo</t>
        </is>
      </c>
      <c r="D3208" s="0" t="inlineStr">
        <is>
          <t>'113906</t>
        </is>
      </c>
      <c r="E3208" s="0" t="inlineStr">
        <is>
          <t>IOWA TRISHA W BLACK 12 PACK:113906Z-12PK</t>
        </is>
      </c>
      <c r="F3208" s="0" t="inlineStr">
        <is>
          <t>'800113906998</t>
        </is>
      </c>
      <c r="G3208" s="0" t="inlineStr">
        <is>
          <t>WOMENS</t>
        </is>
      </c>
      <c r="H3208" s="0" t="inlineStr">
        <is>
          <t>12 PACK</t>
        </is>
      </c>
      <c r="I3208" s="0">
        <v>473.76</v>
      </c>
      <c r="J3208" s="0">
        <v>0</v>
      </c>
    </row>
    <row r="3209" spans="1:10" customHeight="0">
      <c r="A3209" s="0">
        <f>HYPERLINK("https://dl.dropboxusercontent.com/scl/fi/qcm1zo8w6748hcdp7xxf9/indianaaf.jpg?rlkey=m7q3n2jzyvqy0mkjfa6cxzrr7&amp;dl=0","Click to download Image")</f>
      </c>
      <c r="B3209" s="0">
        <f>HYPERLINK("https://dl.dropboxusercontent.com/scl/fi/chyowe2tvkwgvca37dasu/trisha-tn.jpg?rlkey=ea40qr6p2sw4oir47aoe9t9fb&amp;dl=0","Click to download SizeChart")</f>
      </c>
      <c r="C3209" s="0" t="inlineStr">
        <is>
          <t>Trisha Womens Golf Polo</t>
        </is>
      </c>
      <c r="D3209" s="0" t="inlineStr">
        <is>
          <t>'113961</t>
        </is>
      </c>
      <c r="E3209" s="0" t="inlineStr">
        <is>
          <t>INDIANA TRISHA W CRIMSON:113961A-S</t>
        </is>
      </c>
      <c r="F3209" s="0" t="inlineStr">
        <is>
          <t>'806113961043</t>
        </is>
      </c>
      <c r="G3209" s="0" t="inlineStr">
        <is>
          <t>WOMENS</t>
        </is>
      </c>
      <c r="H3209" s="0" t="inlineStr">
        <is>
          <t>S</t>
        </is>
      </c>
      <c r="I3209" s="0">
        <v>40.98</v>
      </c>
      <c r="J3209" s="0">
        <v>8</v>
      </c>
    </row>
    <row r="3210" spans="1:10" customHeight="0">
      <c r="A3210" s="0">
        <f>HYPERLINK("https://dl.dropboxusercontent.com/scl/fi/qcm1zo8w6748hcdp7xxf9/indianaaf.jpg?rlkey=m7q3n2jzyvqy0mkjfa6cxzrr7&amp;dl=0","Click to download Image")</f>
      </c>
      <c r="B3210" s="0">
        <f>HYPERLINK("https://dl.dropboxusercontent.com/scl/fi/chyowe2tvkwgvca37dasu/trisha-tn.jpg?rlkey=ea40qr6p2sw4oir47aoe9t9fb&amp;dl=0","Click to download SizeChart")</f>
      </c>
      <c r="C3210" s="0" t="inlineStr">
        <is>
          <t>Trisha Womens Golf Polo</t>
        </is>
      </c>
      <c r="D3210" s="0" t="inlineStr">
        <is>
          <t>'113961</t>
        </is>
      </c>
      <c r="E3210" s="0" t="inlineStr">
        <is>
          <t>INDIANA TRISHA W CRIMSON:113961B-M</t>
        </is>
      </c>
      <c r="F3210" s="0" t="inlineStr">
        <is>
          <t>'806113961050</t>
        </is>
      </c>
      <c r="G3210" s="0" t="inlineStr">
        <is>
          <t>WOMENS</t>
        </is>
      </c>
      <c r="H3210" s="0" t="inlineStr">
        <is>
          <t>M</t>
        </is>
      </c>
      <c r="I3210" s="0">
        <v>40.98</v>
      </c>
      <c r="J3210" s="0">
        <v>16</v>
      </c>
    </row>
    <row r="3211" spans="1:10" customHeight="0">
      <c r="A3211" s="0">
        <f>HYPERLINK("https://dl.dropboxusercontent.com/scl/fi/qcm1zo8w6748hcdp7xxf9/indianaaf.jpg?rlkey=m7q3n2jzyvqy0mkjfa6cxzrr7&amp;dl=0","Click to download Image")</f>
      </c>
      <c r="B3211" s="0">
        <f>HYPERLINK("https://dl.dropboxusercontent.com/scl/fi/chyowe2tvkwgvca37dasu/trisha-tn.jpg?rlkey=ea40qr6p2sw4oir47aoe9t9fb&amp;dl=0","Click to download SizeChart")</f>
      </c>
      <c r="C3211" s="0" t="inlineStr">
        <is>
          <t>Trisha Womens Golf Polo</t>
        </is>
      </c>
      <c r="D3211" s="0" t="inlineStr">
        <is>
          <t>'113961</t>
        </is>
      </c>
      <c r="E3211" s="0" t="inlineStr">
        <is>
          <t>INDIANA TRISHA W CRIMSON:113961C-L</t>
        </is>
      </c>
      <c r="F3211" s="0" t="inlineStr">
        <is>
          <t>'806113961067</t>
        </is>
      </c>
      <c r="G3211" s="0" t="inlineStr">
        <is>
          <t>WOMENS</t>
        </is>
      </c>
      <c r="H3211" s="0" t="inlineStr">
        <is>
          <t>L</t>
        </is>
      </c>
      <c r="I3211" s="0">
        <v>40.98</v>
      </c>
      <c r="J3211" s="0">
        <v>16</v>
      </c>
    </row>
    <row r="3212" spans="1:10" customHeight="0">
      <c r="A3212" s="0">
        <f>HYPERLINK("https://dl.dropboxusercontent.com/scl/fi/qcm1zo8w6748hcdp7xxf9/indianaaf.jpg?rlkey=m7q3n2jzyvqy0mkjfa6cxzrr7&amp;dl=0","Click to download Image")</f>
      </c>
      <c r="B3212" s="0">
        <f>HYPERLINK("https://dl.dropboxusercontent.com/scl/fi/chyowe2tvkwgvca37dasu/trisha-tn.jpg?rlkey=ea40qr6p2sw4oir47aoe9t9fb&amp;dl=0","Click to download SizeChart")</f>
      </c>
      <c r="C3212" s="0" t="inlineStr">
        <is>
          <t>Trisha Womens Golf Polo</t>
        </is>
      </c>
      <c r="D3212" s="0" t="inlineStr">
        <is>
          <t>'113961</t>
        </is>
      </c>
      <c r="E3212" s="0" t="inlineStr">
        <is>
          <t>INDIANA TRISHA W CRIMSON:113961D-XL</t>
        </is>
      </c>
      <c r="F3212" s="0" t="inlineStr">
        <is>
          <t>'806113961074</t>
        </is>
      </c>
      <c r="G3212" s="0" t="inlineStr">
        <is>
          <t>WOMENS</t>
        </is>
      </c>
      <c r="H3212" s="0" t="inlineStr">
        <is>
          <t>XL</t>
        </is>
      </c>
      <c r="I3212" s="0">
        <v>40.98</v>
      </c>
      <c r="J3212" s="0">
        <v>8</v>
      </c>
    </row>
    <row r="3213" spans="1:10" customHeight="0">
      <c r="A3213" s="0">
        <f>HYPERLINK("https://dl.dropboxusercontent.com/scl/fi/qcm1zo8w6748hcdp7xxf9/indianaaf.jpg?rlkey=m7q3n2jzyvqy0mkjfa6cxzrr7&amp;dl=0","Click to download Image")</f>
      </c>
      <c r="B3213" s="0">
        <f>HYPERLINK("https://dl.dropboxusercontent.com/scl/fi/chyowe2tvkwgvca37dasu/trisha-tn.jpg?rlkey=ea40qr6p2sw4oir47aoe9t9fb&amp;dl=0","Click to download SizeChart")</f>
      </c>
      <c r="C3213" s="0" t="inlineStr">
        <is>
          <t>Trisha Womens Golf Polo</t>
        </is>
      </c>
      <c r="D3213" s="0" t="inlineStr">
        <is>
          <t>'113961</t>
        </is>
      </c>
      <c r="E3213" s="0" t="inlineStr">
        <is>
          <t>INDIANA TRISHA W CRIMSON:113961E-2XL</t>
        </is>
      </c>
      <c r="F3213" s="0" t="inlineStr">
        <is>
          <t>'806113961081</t>
        </is>
      </c>
      <c r="G3213" s="0" t="inlineStr">
        <is>
          <t>WOMENS</t>
        </is>
      </c>
      <c r="H3213" s="0" t="inlineStr">
        <is>
          <t>2XL</t>
        </is>
      </c>
      <c r="I3213" s="0">
        <v>42.98</v>
      </c>
      <c r="J3213" s="0">
        <v>3</v>
      </c>
    </row>
    <row r="3214" spans="1:10" customHeight="0">
      <c r="A3214" s="0">
        <f>HYPERLINK("https://dl.dropboxusercontent.com/scl/fi/qcm1zo8w6748hcdp7xxf9/indianaaf.jpg?rlkey=m7q3n2jzyvqy0mkjfa6cxzrr7&amp;dl=0","Click to download Image")</f>
      </c>
      <c r="B3214" s="0">
        <f>HYPERLINK("https://dl.dropboxusercontent.com/scl/fi/chyowe2tvkwgvca37dasu/trisha-tn.jpg?rlkey=ea40qr6p2sw4oir47aoe9t9fb&amp;dl=0","Click to download SizeChart")</f>
      </c>
      <c r="C3214" s="0" t="inlineStr">
        <is>
          <t>Trisha Womens Golf Polo</t>
        </is>
      </c>
      <c r="D3214" s="0" t="inlineStr">
        <is>
          <t>'113961</t>
        </is>
      </c>
      <c r="E3214" s="0" t="inlineStr">
        <is>
          <t>INDIANA TRISHA W CRIMSON:113961F-3XL</t>
        </is>
      </c>
      <c r="F3214" s="0" t="inlineStr">
        <is>
          <t>'806113961098</t>
        </is>
      </c>
      <c r="G3214" s="0" t="inlineStr">
        <is>
          <t>WOMENS</t>
        </is>
      </c>
      <c r="H3214" s="0" t="inlineStr">
        <is>
          <t>3XL</t>
        </is>
      </c>
      <c r="I3214" s="0">
        <v>42.98</v>
      </c>
      <c r="J3214" s="0">
        <v>2</v>
      </c>
    </row>
    <row r="3215" spans="1:10" customHeight="0">
      <c r="A3215" s="0">
        <f>HYPERLINK("https://dl.dropboxusercontent.com/scl/fi/qcm1zo8w6748hcdp7xxf9/indianaaf.jpg?rlkey=m7q3n2jzyvqy0mkjfa6cxzrr7&amp;dl=0","Click to download Image")</f>
      </c>
      <c r="B3215" s="0">
        <f>HYPERLINK("https://dl.dropboxusercontent.com/scl/fi/chyowe2tvkwgvca37dasu/trisha-tn.jpg?rlkey=ea40qr6p2sw4oir47aoe9t9fb&amp;dl=0","Click to download SizeChart")</f>
      </c>
      <c r="C3215" s="0" t="inlineStr">
        <is>
          <t>Trisha Womens Golf Polo</t>
        </is>
      </c>
      <c r="D3215" s="0" t="inlineStr">
        <is>
          <t>'113961</t>
        </is>
      </c>
      <c r="E3215" s="0" t="inlineStr">
        <is>
          <t>INDIANA TRISHA W CRIMSON 12 PACK:113961Z-12PK</t>
        </is>
      </c>
      <c r="F3215" s="0" t="inlineStr">
        <is>
          <t>'806113961999</t>
        </is>
      </c>
      <c r="G3215" s="0" t="inlineStr">
        <is>
          <t>WOMENS</t>
        </is>
      </c>
      <c r="H3215" s="0" t="inlineStr">
        <is>
          <t>12 PACK</t>
        </is>
      </c>
      <c r="I3215" s="0">
        <v>473.76</v>
      </c>
      <c r="J3215" s="0">
        <v>0</v>
      </c>
    </row>
    <row r="3216" spans="1:10" customHeight="0">
      <c r="A3216" s="0">
        <f>HYPERLINK("https://dl.dropboxusercontent.com/scl/fi/8npee3966m0v40k36u3nw/ksu-af.jpg?rlkey=poywlo76i2ln3nut1dqugavh9&amp;dl=0","Click to download Image")</f>
      </c>
      <c r="B3216" s="0">
        <f>HYPERLINK("https://dl.dropboxusercontent.com/scl/fi/chyowe2tvkwgvca37dasu/trisha-tn.jpg?rlkey=ea40qr6p2sw4oir47aoe9t9fb&amp;dl=0","Click to download SizeChart")</f>
      </c>
      <c r="C3216" s="0" t="inlineStr">
        <is>
          <t>Trisha Womens Golf Polo</t>
        </is>
      </c>
      <c r="D3216" s="0" t="inlineStr">
        <is>
          <t>'113960</t>
        </is>
      </c>
      <c r="E3216" s="0" t="inlineStr">
        <is>
          <t>KSU TRISHA W PURPLE:113960A-S</t>
        </is>
      </c>
      <c r="F3216" s="0" t="inlineStr">
        <is>
          <t>'805113960049</t>
        </is>
      </c>
      <c r="G3216" s="0" t="inlineStr">
        <is>
          <t>WOMENS</t>
        </is>
      </c>
      <c r="H3216" s="0" t="inlineStr">
        <is>
          <t>S</t>
        </is>
      </c>
      <c r="I3216" s="0">
        <v>40.98</v>
      </c>
      <c r="J3216" s="0">
        <v>6</v>
      </c>
    </row>
    <row r="3217" spans="1:10" customHeight="0">
      <c r="A3217" s="0">
        <f>HYPERLINK("https://dl.dropboxusercontent.com/scl/fi/8npee3966m0v40k36u3nw/ksu-af.jpg?rlkey=poywlo76i2ln3nut1dqugavh9&amp;dl=0","Click to download Image")</f>
      </c>
      <c r="B3217" s="0">
        <f>HYPERLINK("https://dl.dropboxusercontent.com/scl/fi/chyowe2tvkwgvca37dasu/trisha-tn.jpg?rlkey=ea40qr6p2sw4oir47aoe9t9fb&amp;dl=0","Click to download SizeChart")</f>
      </c>
      <c r="C3217" s="0" t="inlineStr">
        <is>
          <t>Trisha Womens Golf Polo</t>
        </is>
      </c>
      <c r="D3217" s="0" t="inlineStr">
        <is>
          <t>'113960</t>
        </is>
      </c>
      <c r="E3217" s="0" t="inlineStr">
        <is>
          <t>KSU TRISHA W PURPLE:113960B-M</t>
        </is>
      </c>
      <c r="F3217" s="0" t="inlineStr">
        <is>
          <t>'805113960056</t>
        </is>
      </c>
      <c r="G3217" s="0" t="inlineStr">
        <is>
          <t>WOMENS</t>
        </is>
      </c>
      <c r="H3217" s="0" t="inlineStr">
        <is>
          <t>M</t>
        </is>
      </c>
      <c r="I3217" s="0">
        <v>40.98</v>
      </c>
      <c r="J3217" s="0">
        <v>11</v>
      </c>
    </row>
    <row r="3218" spans="1:10" customHeight="0">
      <c r="A3218" s="0">
        <f>HYPERLINK("https://dl.dropboxusercontent.com/scl/fi/8npee3966m0v40k36u3nw/ksu-af.jpg?rlkey=poywlo76i2ln3nut1dqugavh9&amp;dl=0","Click to download Image")</f>
      </c>
      <c r="B3218" s="0">
        <f>HYPERLINK("https://dl.dropboxusercontent.com/scl/fi/chyowe2tvkwgvca37dasu/trisha-tn.jpg?rlkey=ea40qr6p2sw4oir47aoe9t9fb&amp;dl=0","Click to download SizeChart")</f>
      </c>
      <c r="C3218" s="0" t="inlineStr">
        <is>
          <t>Trisha Womens Golf Polo</t>
        </is>
      </c>
      <c r="D3218" s="0" t="inlineStr">
        <is>
          <t>'113960</t>
        </is>
      </c>
      <c r="E3218" s="0" t="inlineStr">
        <is>
          <t>KSU TRISHA W PURPLE:113960C-L</t>
        </is>
      </c>
      <c r="F3218" s="0" t="inlineStr">
        <is>
          <t>'805113960063</t>
        </is>
      </c>
      <c r="G3218" s="0" t="inlineStr">
        <is>
          <t>WOMENS</t>
        </is>
      </c>
      <c r="H3218" s="0" t="inlineStr">
        <is>
          <t>L</t>
        </is>
      </c>
      <c r="I3218" s="0">
        <v>40.98</v>
      </c>
      <c r="J3218" s="0">
        <v>15</v>
      </c>
    </row>
    <row r="3219" spans="1:10" customHeight="0">
      <c r="A3219" s="0">
        <f>HYPERLINK("https://dl.dropboxusercontent.com/scl/fi/8npee3966m0v40k36u3nw/ksu-af.jpg?rlkey=poywlo76i2ln3nut1dqugavh9&amp;dl=0","Click to download Image")</f>
      </c>
      <c r="B3219" s="0">
        <f>HYPERLINK("https://dl.dropboxusercontent.com/scl/fi/chyowe2tvkwgvca37dasu/trisha-tn.jpg?rlkey=ea40qr6p2sw4oir47aoe9t9fb&amp;dl=0","Click to download SizeChart")</f>
      </c>
      <c r="C3219" s="0" t="inlineStr">
        <is>
          <t>Trisha Womens Golf Polo</t>
        </is>
      </c>
      <c r="D3219" s="0" t="inlineStr">
        <is>
          <t>'113960</t>
        </is>
      </c>
      <c r="E3219" s="0" t="inlineStr">
        <is>
          <t>KSU TRISHA W PURPLE:113960D-XL</t>
        </is>
      </c>
      <c r="F3219" s="0" t="inlineStr">
        <is>
          <t>'805113960070</t>
        </is>
      </c>
      <c r="G3219" s="0" t="inlineStr">
        <is>
          <t>WOMENS</t>
        </is>
      </c>
      <c r="H3219" s="0" t="inlineStr">
        <is>
          <t>XL</t>
        </is>
      </c>
      <c r="I3219" s="0">
        <v>40.98</v>
      </c>
      <c r="J3219" s="0">
        <v>8</v>
      </c>
    </row>
    <row r="3220" spans="1:10" customHeight="0">
      <c r="A3220" s="0">
        <f>HYPERLINK("https://dl.dropboxusercontent.com/scl/fi/8npee3966m0v40k36u3nw/ksu-af.jpg?rlkey=poywlo76i2ln3nut1dqugavh9&amp;dl=0","Click to download Image")</f>
      </c>
      <c r="B3220" s="0">
        <f>HYPERLINK("https://dl.dropboxusercontent.com/scl/fi/chyowe2tvkwgvca37dasu/trisha-tn.jpg?rlkey=ea40qr6p2sw4oir47aoe9t9fb&amp;dl=0","Click to download SizeChart")</f>
      </c>
      <c r="C3220" s="0" t="inlineStr">
        <is>
          <t>Trisha Womens Golf Polo</t>
        </is>
      </c>
      <c r="D3220" s="0" t="inlineStr">
        <is>
          <t>'113960</t>
        </is>
      </c>
      <c r="E3220" s="0" t="inlineStr">
        <is>
          <t>KSU TRISHA W PURPLE:113960E-2XL</t>
        </is>
      </c>
      <c r="F3220" s="0" t="inlineStr">
        <is>
          <t>'805113960087</t>
        </is>
      </c>
      <c r="G3220" s="0" t="inlineStr">
        <is>
          <t>WOMENS</t>
        </is>
      </c>
      <c r="H3220" s="0" t="inlineStr">
        <is>
          <t>2XL</t>
        </is>
      </c>
      <c r="I3220" s="0">
        <v>42.98</v>
      </c>
      <c r="J3220" s="0">
        <v>1</v>
      </c>
    </row>
    <row r="3221" spans="1:10" customHeight="0">
      <c r="A3221" s="0">
        <f>HYPERLINK("https://dl.dropboxusercontent.com/scl/fi/8npee3966m0v40k36u3nw/ksu-af.jpg?rlkey=poywlo76i2ln3nut1dqugavh9&amp;dl=0","Click to download Image")</f>
      </c>
      <c r="B3221" s="0">
        <f>HYPERLINK("https://dl.dropboxusercontent.com/scl/fi/chyowe2tvkwgvca37dasu/trisha-tn.jpg?rlkey=ea40qr6p2sw4oir47aoe9t9fb&amp;dl=0","Click to download SizeChart")</f>
      </c>
      <c r="C3221" s="0" t="inlineStr">
        <is>
          <t>Trisha Womens Golf Polo</t>
        </is>
      </c>
      <c r="D3221" s="0" t="inlineStr">
        <is>
          <t>'113960</t>
        </is>
      </c>
      <c r="E3221" s="0" t="inlineStr">
        <is>
          <t>KSU TRISHA W PURPLE:113960F-3XL</t>
        </is>
      </c>
      <c r="F3221" s="0" t="inlineStr">
        <is>
          <t>'805113960094</t>
        </is>
      </c>
      <c r="G3221" s="0" t="inlineStr">
        <is>
          <t>WOMENS</t>
        </is>
      </c>
      <c r="H3221" s="0" t="inlineStr">
        <is>
          <t>3XL</t>
        </is>
      </c>
      <c r="I3221" s="0">
        <v>42.98</v>
      </c>
      <c r="J3221" s="0">
        <v>0</v>
      </c>
    </row>
    <row r="3222" spans="1:10" customHeight="0">
      <c r="A3222" s="0">
        <f>HYPERLINK("https://dl.dropboxusercontent.com/scl/fi/8npee3966m0v40k36u3nw/ksu-af.jpg?rlkey=poywlo76i2ln3nut1dqugavh9&amp;dl=0","Click to download Image")</f>
      </c>
      <c r="B3222" s="0">
        <f>HYPERLINK("https://dl.dropboxusercontent.com/scl/fi/chyowe2tvkwgvca37dasu/trisha-tn.jpg?rlkey=ea40qr6p2sw4oir47aoe9t9fb&amp;dl=0","Click to download SizeChart")</f>
      </c>
      <c r="C3222" s="0" t="inlineStr">
        <is>
          <t>Trisha Womens Golf Polo</t>
        </is>
      </c>
      <c r="D3222" s="0" t="inlineStr">
        <is>
          <t>'113960</t>
        </is>
      </c>
      <c r="E3222" s="0" t="inlineStr">
        <is>
          <t>KSU TRISHA W PURPLE 12 PACK:113960Z-12PK</t>
        </is>
      </c>
      <c r="F3222" s="0" t="inlineStr">
        <is>
          <t>'805113960995</t>
        </is>
      </c>
      <c r="G3222" s="0" t="inlineStr">
        <is>
          <t>WOMENS</t>
        </is>
      </c>
      <c r="H3222" s="0" t="inlineStr">
        <is>
          <t>12 PACK</t>
        </is>
      </c>
      <c r="I3222" s="0">
        <v>473.76</v>
      </c>
      <c r="J3222" s="0">
        <v>0</v>
      </c>
    </row>
    <row r="3223" spans="1:10" customHeight="0">
      <c r="A3223" s="0">
        <f>HYPERLINK("https://dl.dropboxusercontent.com/scl/fi/eflfvxjw9o4enns8dn1s7/muaf.jpg?rlkey=8fx39b2ngcizbl3edn1zgn08i&amp;dl=0","Click to download Image")</f>
      </c>
      <c r="B3223" s="0">
        <f>HYPERLINK("https://dl.dropboxusercontent.com/scl/fi/chyowe2tvkwgvca37dasu/trisha-tn.jpg?rlkey=ea40qr6p2sw4oir47aoe9t9fb&amp;dl=0","Click to download SizeChart")</f>
      </c>
      <c r="C3223" s="0" t="inlineStr">
        <is>
          <t>Trisha Womens Golf Polo</t>
        </is>
      </c>
      <c r="D3223" s="0" t="inlineStr">
        <is>
          <t>'113959</t>
        </is>
      </c>
      <c r="E3223" s="0" t="inlineStr">
        <is>
          <t>MU TRISHA W BLACK:113959A-S</t>
        </is>
      </c>
      <c r="F3223" s="0" t="inlineStr">
        <is>
          <t>'803113959049</t>
        </is>
      </c>
      <c r="G3223" s="0" t="inlineStr">
        <is>
          <t>WOMENS</t>
        </is>
      </c>
      <c r="H3223" s="0" t="inlineStr">
        <is>
          <t>S</t>
        </is>
      </c>
      <c r="I3223" s="0">
        <v>40.98</v>
      </c>
      <c r="J3223" s="0">
        <v>5</v>
      </c>
    </row>
    <row r="3224" spans="1:10" customHeight="0">
      <c r="A3224" s="0">
        <f>HYPERLINK("https://dl.dropboxusercontent.com/scl/fi/eflfvxjw9o4enns8dn1s7/muaf.jpg?rlkey=8fx39b2ngcizbl3edn1zgn08i&amp;dl=0","Click to download Image")</f>
      </c>
      <c r="B3224" s="0">
        <f>HYPERLINK("https://dl.dropboxusercontent.com/scl/fi/chyowe2tvkwgvca37dasu/trisha-tn.jpg?rlkey=ea40qr6p2sw4oir47aoe9t9fb&amp;dl=0","Click to download SizeChart")</f>
      </c>
      <c r="C3224" s="0" t="inlineStr">
        <is>
          <t>Trisha Womens Golf Polo</t>
        </is>
      </c>
      <c r="D3224" s="0" t="inlineStr">
        <is>
          <t>'113959</t>
        </is>
      </c>
      <c r="E3224" s="0" t="inlineStr">
        <is>
          <t>MU TRISHA W BLACK:113959B-M</t>
        </is>
      </c>
      <c r="F3224" s="0" t="inlineStr">
        <is>
          <t>'803113959056</t>
        </is>
      </c>
      <c r="G3224" s="0" t="inlineStr">
        <is>
          <t>WOMENS</t>
        </is>
      </c>
      <c r="H3224" s="0" t="inlineStr">
        <is>
          <t>M</t>
        </is>
      </c>
      <c r="I3224" s="0">
        <v>40.98</v>
      </c>
      <c r="J3224" s="0">
        <v>11</v>
      </c>
    </row>
    <row r="3225" spans="1:10" customHeight="0">
      <c r="A3225" s="0">
        <f>HYPERLINK("https://dl.dropboxusercontent.com/scl/fi/eflfvxjw9o4enns8dn1s7/muaf.jpg?rlkey=8fx39b2ngcizbl3edn1zgn08i&amp;dl=0","Click to download Image")</f>
      </c>
      <c r="B3225" s="0">
        <f>HYPERLINK("https://dl.dropboxusercontent.com/scl/fi/chyowe2tvkwgvca37dasu/trisha-tn.jpg?rlkey=ea40qr6p2sw4oir47aoe9t9fb&amp;dl=0","Click to download SizeChart")</f>
      </c>
      <c r="C3225" s="0" t="inlineStr">
        <is>
          <t>Trisha Womens Golf Polo</t>
        </is>
      </c>
      <c r="D3225" s="0" t="inlineStr">
        <is>
          <t>'113959</t>
        </is>
      </c>
      <c r="E3225" s="0" t="inlineStr">
        <is>
          <t>MU TRISHA W BLACK:113959C-L</t>
        </is>
      </c>
      <c r="F3225" s="0" t="inlineStr">
        <is>
          <t>'803113959063</t>
        </is>
      </c>
      <c r="G3225" s="0" t="inlineStr">
        <is>
          <t>WOMENS</t>
        </is>
      </c>
      <c r="H3225" s="0" t="inlineStr">
        <is>
          <t>L</t>
        </is>
      </c>
      <c r="I3225" s="0">
        <v>40.98</v>
      </c>
      <c r="J3225" s="0">
        <v>10</v>
      </c>
    </row>
    <row r="3226" spans="1:10" customHeight="0">
      <c r="A3226" s="0">
        <f>HYPERLINK("https://dl.dropboxusercontent.com/scl/fi/eflfvxjw9o4enns8dn1s7/muaf.jpg?rlkey=8fx39b2ngcizbl3edn1zgn08i&amp;dl=0","Click to download Image")</f>
      </c>
      <c r="B3226" s="0">
        <f>HYPERLINK("https://dl.dropboxusercontent.com/scl/fi/chyowe2tvkwgvca37dasu/trisha-tn.jpg?rlkey=ea40qr6p2sw4oir47aoe9t9fb&amp;dl=0","Click to download SizeChart")</f>
      </c>
      <c r="C3226" s="0" t="inlineStr">
        <is>
          <t>Trisha Womens Golf Polo</t>
        </is>
      </c>
      <c r="D3226" s="0" t="inlineStr">
        <is>
          <t>'113959</t>
        </is>
      </c>
      <c r="E3226" s="0" t="inlineStr">
        <is>
          <t>MU TRISHA W BLACK:113959D-XL</t>
        </is>
      </c>
      <c r="F3226" s="0" t="inlineStr">
        <is>
          <t>'803113959070</t>
        </is>
      </c>
      <c r="G3226" s="0" t="inlineStr">
        <is>
          <t>WOMENS</t>
        </is>
      </c>
      <c r="H3226" s="0" t="inlineStr">
        <is>
          <t>XL</t>
        </is>
      </c>
      <c r="I3226" s="0">
        <v>40.98</v>
      </c>
      <c r="J3226" s="0">
        <v>6</v>
      </c>
    </row>
    <row r="3227" spans="1:10" customHeight="0">
      <c r="A3227" s="0">
        <f>HYPERLINK("https://dl.dropboxusercontent.com/scl/fi/eflfvxjw9o4enns8dn1s7/muaf.jpg?rlkey=8fx39b2ngcizbl3edn1zgn08i&amp;dl=0","Click to download Image")</f>
      </c>
      <c r="B3227" s="0">
        <f>HYPERLINK("https://dl.dropboxusercontent.com/scl/fi/chyowe2tvkwgvca37dasu/trisha-tn.jpg?rlkey=ea40qr6p2sw4oir47aoe9t9fb&amp;dl=0","Click to download SizeChart")</f>
      </c>
      <c r="C3227" s="0" t="inlineStr">
        <is>
          <t>Trisha Womens Golf Polo</t>
        </is>
      </c>
      <c r="D3227" s="0" t="inlineStr">
        <is>
          <t>'113959</t>
        </is>
      </c>
      <c r="E3227" s="0" t="inlineStr">
        <is>
          <t>MU TRISHA W BLACK:113959E-2XL</t>
        </is>
      </c>
      <c r="F3227" s="0" t="inlineStr">
        <is>
          <t>'803113959087</t>
        </is>
      </c>
      <c r="G3227" s="0" t="inlineStr">
        <is>
          <t>WOMENS</t>
        </is>
      </c>
      <c r="H3227" s="0" t="inlineStr">
        <is>
          <t>2XL</t>
        </is>
      </c>
      <c r="I3227" s="0">
        <v>42.98</v>
      </c>
      <c r="J3227" s="0">
        <v>3</v>
      </c>
    </row>
    <row r="3228" spans="1:10" customHeight="0">
      <c r="A3228" s="0">
        <f>HYPERLINK("https://dl.dropboxusercontent.com/scl/fi/eflfvxjw9o4enns8dn1s7/muaf.jpg?rlkey=8fx39b2ngcizbl3edn1zgn08i&amp;dl=0","Click to download Image")</f>
      </c>
      <c r="B3228" s="0">
        <f>HYPERLINK("https://dl.dropboxusercontent.com/scl/fi/chyowe2tvkwgvca37dasu/trisha-tn.jpg?rlkey=ea40qr6p2sw4oir47aoe9t9fb&amp;dl=0","Click to download SizeChart")</f>
      </c>
      <c r="C3228" s="0" t="inlineStr">
        <is>
          <t>Trisha Womens Golf Polo</t>
        </is>
      </c>
      <c r="D3228" s="0" t="inlineStr">
        <is>
          <t>'113959</t>
        </is>
      </c>
      <c r="E3228" s="0" t="inlineStr">
        <is>
          <t>MU TRISHA W BLACK:113959F-3XL</t>
        </is>
      </c>
      <c r="F3228" s="0" t="inlineStr">
        <is>
          <t>'803113959094</t>
        </is>
      </c>
      <c r="G3228" s="0" t="inlineStr">
        <is>
          <t>WOMENS</t>
        </is>
      </c>
      <c r="H3228" s="0" t="inlineStr">
        <is>
          <t>3XL</t>
        </is>
      </c>
      <c r="I3228" s="0">
        <v>42.98</v>
      </c>
      <c r="J3228" s="0">
        <v>2</v>
      </c>
    </row>
    <row r="3229" spans="1:10" customHeight="0">
      <c r="A3229" s="0">
        <f>HYPERLINK("https://dl.dropboxusercontent.com/scl/fi/eflfvxjw9o4enns8dn1s7/muaf.jpg?rlkey=8fx39b2ngcizbl3edn1zgn08i&amp;dl=0","Click to download Image")</f>
      </c>
      <c r="B3229" s="0">
        <f>HYPERLINK("https://dl.dropboxusercontent.com/scl/fi/chyowe2tvkwgvca37dasu/trisha-tn.jpg?rlkey=ea40qr6p2sw4oir47aoe9t9fb&amp;dl=0","Click to download SizeChart")</f>
      </c>
      <c r="C3229" s="0" t="inlineStr">
        <is>
          <t>Trisha Womens Golf Polo</t>
        </is>
      </c>
      <c r="D3229" s="0" t="inlineStr">
        <is>
          <t>'113959</t>
        </is>
      </c>
      <c r="E3229" s="0" t="inlineStr">
        <is>
          <t>MU TRISHA W BLACK 12 PACK:113959Z-12PK</t>
        </is>
      </c>
      <c r="F3229" s="0" t="inlineStr">
        <is>
          <t>'803113959995</t>
        </is>
      </c>
      <c r="G3229" s="0" t="inlineStr">
        <is>
          <t>WOMENS</t>
        </is>
      </c>
      <c r="H3229" s="0" t="inlineStr">
        <is>
          <t>12 PACK</t>
        </is>
      </c>
      <c r="I3229" s="0">
        <v>473.76</v>
      </c>
      <c r="J3229" s="0">
        <v>0</v>
      </c>
    </row>
    <row r="3230" spans="1:10" customHeight="0">
      <c r="A3230" s="0">
        <f>HYPERLINK("https://dl.dropboxusercontent.com/scl/fi/b579duqffretxb5psek2z/uni-af.jpg?rlkey=iplgh1575vm8mdklb7qtwmk71&amp;dl=0","Click to download Image")</f>
      </c>
      <c r="B3230" s="0">
        <f>HYPERLINK("https://dl.dropboxusercontent.com/scl/fi/chyowe2tvkwgvca37dasu/trisha-tn.jpg?rlkey=ea40qr6p2sw4oir47aoe9t9fb&amp;dl=0","Click to download SizeChart")</f>
      </c>
      <c r="C3230" s="0" t="inlineStr">
        <is>
          <t>Trisha Womens Golf Polo</t>
        </is>
      </c>
      <c r="D3230" s="0" t="inlineStr">
        <is>
          <t>'113958</t>
        </is>
      </c>
      <c r="E3230" s="0" t="inlineStr">
        <is>
          <t>UNI TRISHA W PURPLE:113958A-S</t>
        </is>
      </c>
      <c r="F3230" s="0" t="inlineStr">
        <is>
          <t>'802113958045</t>
        </is>
      </c>
      <c r="G3230" s="0" t="inlineStr">
        <is>
          <t>WOMENS</t>
        </is>
      </c>
      <c r="H3230" s="0" t="inlineStr">
        <is>
          <t>S</t>
        </is>
      </c>
      <c r="I3230" s="0">
        <v>40.98</v>
      </c>
      <c r="J3230" s="0">
        <v>5</v>
      </c>
    </row>
    <row r="3231" spans="1:10" customHeight="0">
      <c r="A3231" s="0">
        <f>HYPERLINK("https://dl.dropboxusercontent.com/scl/fi/b579duqffretxb5psek2z/uni-af.jpg?rlkey=iplgh1575vm8mdklb7qtwmk71&amp;dl=0","Click to download Image")</f>
      </c>
      <c r="B3231" s="0">
        <f>HYPERLINK("https://dl.dropboxusercontent.com/scl/fi/chyowe2tvkwgvca37dasu/trisha-tn.jpg?rlkey=ea40qr6p2sw4oir47aoe9t9fb&amp;dl=0","Click to download SizeChart")</f>
      </c>
      <c r="C3231" s="0" t="inlineStr">
        <is>
          <t>Trisha Womens Golf Polo</t>
        </is>
      </c>
      <c r="D3231" s="0" t="inlineStr">
        <is>
          <t>'113958</t>
        </is>
      </c>
      <c r="E3231" s="0" t="inlineStr">
        <is>
          <t>UNI TRISHA W PURPLE:113958B-M</t>
        </is>
      </c>
      <c r="F3231" s="0" t="inlineStr">
        <is>
          <t>'802113958052</t>
        </is>
      </c>
      <c r="G3231" s="0" t="inlineStr">
        <is>
          <t>WOMENS</t>
        </is>
      </c>
      <c r="H3231" s="0" t="inlineStr">
        <is>
          <t>M</t>
        </is>
      </c>
      <c r="I3231" s="0">
        <v>40.98</v>
      </c>
      <c r="J3231" s="0">
        <v>11</v>
      </c>
    </row>
    <row r="3232" spans="1:10" customHeight="0">
      <c r="A3232" s="0">
        <f>HYPERLINK("https://dl.dropboxusercontent.com/scl/fi/b579duqffretxb5psek2z/uni-af.jpg?rlkey=iplgh1575vm8mdklb7qtwmk71&amp;dl=0","Click to download Image")</f>
      </c>
      <c r="B3232" s="0">
        <f>HYPERLINK("https://dl.dropboxusercontent.com/scl/fi/chyowe2tvkwgvca37dasu/trisha-tn.jpg?rlkey=ea40qr6p2sw4oir47aoe9t9fb&amp;dl=0","Click to download SizeChart")</f>
      </c>
      <c r="C3232" s="0" t="inlineStr">
        <is>
          <t>Trisha Womens Golf Polo</t>
        </is>
      </c>
      <c r="D3232" s="0" t="inlineStr">
        <is>
          <t>'113958</t>
        </is>
      </c>
      <c r="E3232" s="0" t="inlineStr">
        <is>
          <t>UNI TRISHA W PURPLE:113958C-L</t>
        </is>
      </c>
      <c r="F3232" s="0" t="inlineStr">
        <is>
          <t>'802113958069</t>
        </is>
      </c>
      <c r="G3232" s="0" t="inlineStr">
        <is>
          <t>WOMENS</t>
        </is>
      </c>
      <c r="H3232" s="0" t="inlineStr">
        <is>
          <t>L</t>
        </is>
      </c>
      <c r="I3232" s="0">
        <v>40.98</v>
      </c>
      <c r="J3232" s="0">
        <v>9</v>
      </c>
    </row>
    <row r="3233" spans="1:10" customHeight="0">
      <c r="A3233" s="0">
        <f>HYPERLINK("https://dl.dropboxusercontent.com/scl/fi/b579duqffretxb5psek2z/uni-af.jpg?rlkey=iplgh1575vm8mdklb7qtwmk71&amp;dl=0","Click to download Image")</f>
      </c>
      <c r="B3233" s="0">
        <f>HYPERLINK("https://dl.dropboxusercontent.com/scl/fi/chyowe2tvkwgvca37dasu/trisha-tn.jpg?rlkey=ea40qr6p2sw4oir47aoe9t9fb&amp;dl=0","Click to download SizeChart")</f>
      </c>
      <c r="C3233" s="0" t="inlineStr">
        <is>
          <t>Trisha Womens Golf Polo</t>
        </is>
      </c>
      <c r="D3233" s="0" t="inlineStr">
        <is>
          <t>'113958</t>
        </is>
      </c>
      <c r="E3233" s="0" t="inlineStr">
        <is>
          <t>UNI TRISHA W PURPLE:113958D-XL</t>
        </is>
      </c>
      <c r="F3233" s="0" t="inlineStr">
        <is>
          <t>'802113958076</t>
        </is>
      </c>
      <c r="G3233" s="0" t="inlineStr">
        <is>
          <t>WOMENS</t>
        </is>
      </c>
      <c r="H3233" s="0" t="inlineStr">
        <is>
          <t>XL</t>
        </is>
      </c>
      <c r="I3233" s="0">
        <v>40.98</v>
      </c>
      <c r="J3233" s="0">
        <v>6</v>
      </c>
    </row>
    <row r="3234" spans="1:10" customHeight="0">
      <c r="A3234" s="0">
        <f>HYPERLINK("https://dl.dropboxusercontent.com/scl/fi/b579duqffretxb5psek2z/uni-af.jpg?rlkey=iplgh1575vm8mdklb7qtwmk71&amp;dl=0","Click to download Image")</f>
      </c>
      <c r="B3234" s="0">
        <f>HYPERLINK("https://dl.dropboxusercontent.com/scl/fi/chyowe2tvkwgvca37dasu/trisha-tn.jpg?rlkey=ea40qr6p2sw4oir47aoe9t9fb&amp;dl=0","Click to download SizeChart")</f>
      </c>
      <c r="C3234" s="0" t="inlineStr">
        <is>
          <t>Trisha Womens Golf Polo</t>
        </is>
      </c>
      <c r="D3234" s="0" t="inlineStr">
        <is>
          <t>'113958</t>
        </is>
      </c>
      <c r="E3234" s="0" t="inlineStr">
        <is>
          <t>UNI TRISHA W PURPLE:113958E-2XL</t>
        </is>
      </c>
      <c r="F3234" s="0" t="inlineStr">
        <is>
          <t>'802113958083</t>
        </is>
      </c>
      <c r="G3234" s="0" t="inlineStr">
        <is>
          <t>WOMENS</t>
        </is>
      </c>
      <c r="H3234" s="0" t="inlineStr">
        <is>
          <t>2XL</t>
        </is>
      </c>
      <c r="I3234" s="0">
        <v>42.98</v>
      </c>
      <c r="J3234" s="0">
        <v>2</v>
      </c>
    </row>
    <row r="3235" spans="1:10" customHeight="0">
      <c r="A3235" s="0">
        <f>HYPERLINK("https://dl.dropboxusercontent.com/scl/fi/b579duqffretxb5psek2z/uni-af.jpg?rlkey=iplgh1575vm8mdklb7qtwmk71&amp;dl=0","Click to download Image")</f>
      </c>
      <c r="B3235" s="0">
        <f>HYPERLINK("https://dl.dropboxusercontent.com/scl/fi/chyowe2tvkwgvca37dasu/trisha-tn.jpg?rlkey=ea40qr6p2sw4oir47aoe9t9fb&amp;dl=0","Click to download SizeChart")</f>
      </c>
      <c r="C3235" s="0" t="inlineStr">
        <is>
          <t>Trisha Womens Golf Polo</t>
        </is>
      </c>
      <c r="D3235" s="0" t="inlineStr">
        <is>
          <t>'113958</t>
        </is>
      </c>
      <c r="E3235" s="0" t="inlineStr">
        <is>
          <t>UNI TRISHA W PURPLE:113958F-3XL</t>
        </is>
      </c>
      <c r="F3235" s="0" t="inlineStr">
        <is>
          <t>'802113958090</t>
        </is>
      </c>
      <c r="G3235" s="0" t="inlineStr">
        <is>
          <t>WOMENS</t>
        </is>
      </c>
      <c r="H3235" s="0" t="inlineStr">
        <is>
          <t>3XL</t>
        </is>
      </c>
      <c r="I3235" s="0">
        <v>42.98</v>
      </c>
      <c r="J3235" s="0">
        <v>1</v>
      </c>
    </row>
    <row r="3236" spans="1:10" customHeight="0">
      <c r="A3236" s="0">
        <f>HYPERLINK("https://dl.dropboxusercontent.com/scl/fi/b579duqffretxb5psek2z/uni-af.jpg?rlkey=iplgh1575vm8mdklb7qtwmk71&amp;dl=0","Click to download Image")</f>
      </c>
      <c r="B3236" s="0">
        <f>HYPERLINK("https://dl.dropboxusercontent.com/scl/fi/chyowe2tvkwgvca37dasu/trisha-tn.jpg?rlkey=ea40qr6p2sw4oir47aoe9t9fb&amp;dl=0","Click to download SizeChart")</f>
      </c>
      <c r="C3236" s="0" t="inlineStr">
        <is>
          <t>Trisha Womens Golf Polo</t>
        </is>
      </c>
      <c r="D3236" s="0" t="inlineStr">
        <is>
          <t>'113958</t>
        </is>
      </c>
      <c r="E3236" s="0" t="inlineStr">
        <is>
          <t>UNI TRISHA W PURPLE 12 PACK:113958Z-12PK</t>
        </is>
      </c>
      <c r="F3236" s="0" t="inlineStr">
        <is>
          <t>'802113958991</t>
        </is>
      </c>
      <c r="G3236" s="0" t="inlineStr">
        <is>
          <t>WOMENS</t>
        </is>
      </c>
      <c r="H3236" s="0" t="inlineStr">
        <is>
          <t>12 PACK</t>
        </is>
      </c>
      <c r="I3236" s="0">
        <v>473.76</v>
      </c>
      <c r="J3236" s="0">
        <v>0</v>
      </c>
    </row>
    <row r="3237" spans="1:10" customHeight="0">
      <c r="A3237" s="0">
        <f>HYPERLINK("https://dl.dropboxusercontent.com/scl/fi/bnh6swove8t1akmqeuk8t/isu-af.jpg?rlkey=koyhzz7xya2pssdbiqy0yb3lh&amp;dl=0","Click to download Image")</f>
      </c>
      <c r="B3237" s="0">
        <f>HYPERLINK("https://dl.dropboxusercontent.com/scl/fi/chyowe2tvkwgvca37dasu/trisha-tn.jpg?rlkey=ea40qr6p2sw4oir47aoe9t9fb&amp;dl=0","Click to download SizeChart")</f>
      </c>
      <c r="C3237" s="0" t="inlineStr">
        <is>
          <t>Trisha Womens Golf Polo</t>
        </is>
      </c>
      <c r="D3237" s="0" t="inlineStr">
        <is>
          <t>'113957</t>
        </is>
      </c>
      <c r="E3237" s="0" t="inlineStr">
        <is>
          <t>ISU TRISHA W CARDINAL:113957A-S</t>
        </is>
      </c>
      <c r="F3237" s="0" t="inlineStr">
        <is>
          <t>'801113957041</t>
        </is>
      </c>
      <c r="G3237" s="0" t="inlineStr">
        <is>
          <t>WOMENS</t>
        </is>
      </c>
      <c r="H3237" s="0" t="inlineStr">
        <is>
          <t>S</t>
        </is>
      </c>
      <c r="I3237" s="0">
        <v>40.98</v>
      </c>
      <c r="J3237" s="0">
        <v>4</v>
      </c>
    </row>
    <row r="3238" spans="1:10" customHeight="0">
      <c r="A3238" s="0">
        <f>HYPERLINK("https://dl.dropboxusercontent.com/scl/fi/bnh6swove8t1akmqeuk8t/isu-af.jpg?rlkey=koyhzz7xya2pssdbiqy0yb3lh&amp;dl=0","Click to download Image")</f>
      </c>
      <c r="B3238" s="0">
        <f>HYPERLINK("https://dl.dropboxusercontent.com/scl/fi/chyowe2tvkwgvca37dasu/trisha-tn.jpg?rlkey=ea40qr6p2sw4oir47aoe9t9fb&amp;dl=0","Click to download SizeChart")</f>
      </c>
      <c r="C3238" s="0" t="inlineStr">
        <is>
          <t>Trisha Womens Golf Polo</t>
        </is>
      </c>
      <c r="D3238" s="0" t="inlineStr">
        <is>
          <t>'113957</t>
        </is>
      </c>
      <c r="E3238" s="0" t="inlineStr">
        <is>
          <t>ISU TRISHA W CARDINAL:113957B-M</t>
        </is>
      </c>
      <c r="F3238" s="0" t="inlineStr">
        <is>
          <t>'801113957058</t>
        </is>
      </c>
      <c r="G3238" s="0" t="inlineStr">
        <is>
          <t>WOMENS</t>
        </is>
      </c>
      <c r="H3238" s="0" t="inlineStr">
        <is>
          <t>M</t>
        </is>
      </c>
      <c r="I3238" s="0">
        <v>40.98</v>
      </c>
      <c r="J3238" s="0">
        <v>8</v>
      </c>
    </row>
    <row r="3239" spans="1:10" customHeight="0">
      <c r="A3239" s="0">
        <f>HYPERLINK("https://dl.dropboxusercontent.com/scl/fi/bnh6swove8t1akmqeuk8t/isu-af.jpg?rlkey=koyhzz7xya2pssdbiqy0yb3lh&amp;dl=0","Click to download Image")</f>
      </c>
      <c r="B3239" s="0">
        <f>HYPERLINK("https://dl.dropboxusercontent.com/scl/fi/chyowe2tvkwgvca37dasu/trisha-tn.jpg?rlkey=ea40qr6p2sw4oir47aoe9t9fb&amp;dl=0","Click to download SizeChart")</f>
      </c>
      <c r="C3239" s="0" t="inlineStr">
        <is>
          <t>Trisha Womens Golf Polo</t>
        </is>
      </c>
      <c r="D3239" s="0" t="inlineStr">
        <is>
          <t>'113957</t>
        </is>
      </c>
      <c r="E3239" s="0" t="inlineStr">
        <is>
          <t>ISU TRISHA W CARDINAL:113957C-L</t>
        </is>
      </c>
      <c r="F3239" s="0" t="inlineStr">
        <is>
          <t>'801113957065</t>
        </is>
      </c>
      <c r="G3239" s="0" t="inlineStr">
        <is>
          <t>WOMENS</t>
        </is>
      </c>
      <c r="H3239" s="0" t="inlineStr">
        <is>
          <t>L</t>
        </is>
      </c>
      <c r="I3239" s="0">
        <v>40.98</v>
      </c>
      <c r="J3239" s="0">
        <v>1</v>
      </c>
    </row>
    <row r="3240" spans="1:10" customHeight="0">
      <c r="A3240" s="0">
        <f>HYPERLINK("https://dl.dropboxusercontent.com/scl/fi/bnh6swove8t1akmqeuk8t/isu-af.jpg?rlkey=koyhzz7xya2pssdbiqy0yb3lh&amp;dl=0","Click to download Image")</f>
      </c>
      <c r="B3240" s="0">
        <f>HYPERLINK("https://dl.dropboxusercontent.com/scl/fi/chyowe2tvkwgvca37dasu/trisha-tn.jpg?rlkey=ea40qr6p2sw4oir47aoe9t9fb&amp;dl=0","Click to download SizeChart")</f>
      </c>
      <c r="C3240" s="0" t="inlineStr">
        <is>
          <t>Trisha Womens Golf Polo</t>
        </is>
      </c>
      <c r="D3240" s="0" t="inlineStr">
        <is>
          <t>'113957</t>
        </is>
      </c>
      <c r="E3240" s="0" t="inlineStr">
        <is>
          <t>ISU TRISHA W CARDINAL:113957D-XL</t>
        </is>
      </c>
      <c r="F3240" s="0" t="inlineStr">
        <is>
          <t>'801113957072</t>
        </is>
      </c>
      <c r="G3240" s="0" t="inlineStr">
        <is>
          <t>WOMENS</t>
        </is>
      </c>
      <c r="H3240" s="0" t="inlineStr">
        <is>
          <t>XL</t>
        </is>
      </c>
      <c r="I3240" s="0">
        <v>40.98</v>
      </c>
      <c r="J3240" s="0">
        <v>0</v>
      </c>
    </row>
    <row r="3241" spans="1:10" customHeight="0">
      <c r="A3241" s="0">
        <f>HYPERLINK("https://dl.dropboxusercontent.com/scl/fi/bnh6swove8t1akmqeuk8t/isu-af.jpg?rlkey=koyhzz7xya2pssdbiqy0yb3lh&amp;dl=0","Click to download Image")</f>
      </c>
      <c r="B3241" s="0">
        <f>HYPERLINK("https://dl.dropboxusercontent.com/scl/fi/chyowe2tvkwgvca37dasu/trisha-tn.jpg?rlkey=ea40qr6p2sw4oir47aoe9t9fb&amp;dl=0","Click to download SizeChart")</f>
      </c>
      <c r="C3241" s="0" t="inlineStr">
        <is>
          <t>Trisha Womens Golf Polo</t>
        </is>
      </c>
      <c r="D3241" s="0" t="inlineStr">
        <is>
          <t>'113957</t>
        </is>
      </c>
      <c r="E3241" s="0" t="inlineStr">
        <is>
          <t>ISU TRISHA W CARDINAL:113957E-2XL</t>
        </is>
      </c>
      <c r="F3241" s="0" t="inlineStr">
        <is>
          <t>'801113957089</t>
        </is>
      </c>
      <c r="G3241" s="0" t="inlineStr">
        <is>
          <t>WOMENS</t>
        </is>
      </c>
      <c r="H3241" s="0" t="inlineStr">
        <is>
          <t>2XL</t>
        </is>
      </c>
      <c r="I3241" s="0">
        <v>42.98</v>
      </c>
      <c r="J3241" s="0">
        <v>0</v>
      </c>
    </row>
    <row r="3242" spans="1:10" customHeight="0">
      <c r="A3242" s="0">
        <f>HYPERLINK("https://dl.dropboxusercontent.com/scl/fi/bnh6swove8t1akmqeuk8t/isu-af.jpg?rlkey=koyhzz7xya2pssdbiqy0yb3lh&amp;dl=0","Click to download Image")</f>
      </c>
      <c r="B3242" s="0">
        <f>HYPERLINK("https://dl.dropboxusercontent.com/scl/fi/chyowe2tvkwgvca37dasu/trisha-tn.jpg?rlkey=ea40qr6p2sw4oir47aoe9t9fb&amp;dl=0","Click to download SizeChart")</f>
      </c>
      <c r="C3242" s="0" t="inlineStr">
        <is>
          <t>Trisha Womens Golf Polo</t>
        </is>
      </c>
      <c r="D3242" s="0" t="inlineStr">
        <is>
          <t>'113957</t>
        </is>
      </c>
      <c r="E3242" s="0" t="inlineStr">
        <is>
          <t>ISU TRISHA W CARDINAL:113957F-3XL</t>
        </is>
      </c>
      <c r="F3242" s="0" t="inlineStr">
        <is>
          <t>'801113957096</t>
        </is>
      </c>
      <c r="G3242" s="0" t="inlineStr">
        <is>
          <t>WOMENS</t>
        </is>
      </c>
      <c r="H3242" s="0" t="inlineStr">
        <is>
          <t>3XL</t>
        </is>
      </c>
      <c r="I3242" s="0">
        <v>42.98</v>
      </c>
      <c r="J3242" s="0">
        <v>0</v>
      </c>
    </row>
    <row r="3243" spans="1:10" customHeight="0">
      <c r="A3243" s="0">
        <f>HYPERLINK("https://dl.dropboxusercontent.com/scl/fi/bnh6swove8t1akmqeuk8t/isu-af.jpg?rlkey=koyhzz7xya2pssdbiqy0yb3lh&amp;dl=0","Click to download Image")</f>
      </c>
      <c r="B3243" s="0">
        <f>HYPERLINK("https://dl.dropboxusercontent.com/scl/fi/chyowe2tvkwgvca37dasu/trisha-tn.jpg?rlkey=ea40qr6p2sw4oir47aoe9t9fb&amp;dl=0","Click to download SizeChart")</f>
      </c>
      <c r="C3243" s="0" t="inlineStr">
        <is>
          <t>Trisha Womens Golf Polo</t>
        </is>
      </c>
      <c r="D3243" s="0" t="inlineStr">
        <is>
          <t>'113957</t>
        </is>
      </c>
      <c r="E3243" s="0" t="inlineStr">
        <is>
          <t>ISU TRISHA W CARDINAL 12 PACK:113957Z-12PK</t>
        </is>
      </c>
      <c r="F3243" s="0" t="inlineStr">
        <is>
          <t>'801113957997</t>
        </is>
      </c>
      <c r="G3243" s="0" t="inlineStr">
        <is>
          <t>WOMENS</t>
        </is>
      </c>
      <c r="H3243" s="0" t="inlineStr">
        <is>
          <t>12 PACK</t>
        </is>
      </c>
      <c r="I3243" s="0">
        <v>473.76</v>
      </c>
      <c r="J3243" s="0">
        <v>0</v>
      </c>
    </row>
    <row r="3244" spans="1:10" customHeight="0">
      <c r="A3244" s="0">
        <f>HYPERLINK("https://dl.dropboxusercontent.com/scl/fi/z97iuowz8z03px2ygkttd/purdueaf.jpg?rlkey=7kqu3r1w8sae2cojqgeajn08t&amp;dl=0","Click to download Image")</f>
      </c>
      <c r="B3244" s="0">
        <f>HYPERLINK("https://dl.dropboxusercontent.com/scl/fi/chyowe2tvkwgvca37dasu/trisha-tn.jpg?rlkey=ea40qr6p2sw4oir47aoe9t9fb&amp;dl=0","Click to download SizeChart")</f>
      </c>
      <c r="C3244" s="0" t="inlineStr">
        <is>
          <t>Trisha Womens Golf Polo</t>
        </is>
      </c>
      <c r="D3244" s="0" t="inlineStr">
        <is>
          <t>'113945</t>
        </is>
      </c>
      <c r="E3244" s="0" t="inlineStr">
        <is>
          <t>PURDUE TRISHA BLACK:113945A-S</t>
        </is>
      </c>
      <c r="F3244" s="0" t="inlineStr">
        <is>
          <t>'804113945049</t>
        </is>
      </c>
      <c r="G3244" s="0" t="inlineStr">
        <is>
          <t>WOMENS</t>
        </is>
      </c>
      <c r="H3244" s="0" t="inlineStr">
        <is>
          <t>S</t>
        </is>
      </c>
      <c r="I3244" s="0">
        <v>40.98</v>
      </c>
      <c r="J3244" s="0">
        <v>0</v>
      </c>
    </row>
    <row r="3245" spans="1:10" customHeight="0">
      <c r="A3245" s="0">
        <f>HYPERLINK("https://dl.dropboxusercontent.com/scl/fi/z97iuowz8z03px2ygkttd/purdueaf.jpg?rlkey=7kqu3r1w8sae2cojqgeajn08t&amp;dl=0","Click to download Image")</f>
      </c>
      <c r="B3245" s="0">
        <f>HYPERLINK("https://dl.dropboxusercontent.com/scl/fi/chyowe2tvkwgvca37dasu/trisha-tn.jpg?rlkey=ea40qr6p2sw4oir47aoe9t9fb&amp;dl=0","Click to download SizeChart")</f>
      </c>
      <c r="C3245" s="0" t="inlineStr">
        <is>
          <t>Trisha Womens Golf Polo</t>
        </is>
      </c>
      <c r="D3245" s="0" t="inlineStr">
        <is>
          <t>'113945</t>
        </is>
      </c>
      <c r="E3245" s="0" t="inlineStr">
        <is>
          <t>PURDUE TRISHA BLACK:113945B-M</t>
        </is>
      </c>
      <c r="F3245" s="0" t="inlineStr">
        <is>
          <t>'804113945056</t>
        </is>
      </c>
      <c r="G3245" s="0" t="inlineStr">
        <is>
          <t>WOMENS</t>
        </is>
      </c>
      <c r="H3245" s="0" t="inlineStr">
        <is>
          <t>M</t>
        </is>
      </c>
      <c r="I3245" s="0">
        <v>40.98</v>
      </c>
      <c r="J3245" s="0">
        <v>3</v>
      </c>
    </row>
    <row r="3246" spans="1:10" customHeight="0">
      <c r="A3246" s="0">
        <f>HYPERLINK("https://dl.dropboxusercontent.com/scl/fi/z97iuowz8z03px2ygkttd/purdueaf.jpg?rlkey=7kqu3r1w8sae2cojqgeajn08t&amp;dl=0","Click to download Image")</f>
      </c>
      <c r="B3246" s="0">
        <f>HYPERLINK("https://dl.dropboxusercontent.com/scl/fi/chyowe2tvkwgvca37dasu/trisha-tn.jpg?rlkey=ea40qr6p2sw4oir47aoe9t9fb&amp;dl=0","Click to download SizeChart")</f>
      </c>
      <c r="C3246" s="0" t="inlineStr">
        <is>
          <t>Trisha Womens Golf Polo</t>
        </is>
      </c>
      <c r="D3246" s="0" t="inlineStr">
        <is>
          <t>'113945</t>
        </is>
      </c>
      <c r="E3246" s="0" t="inlineStr">
        <is>
          <t>PURDUE TRISHA BLACK:113945C-L</t>
        </is>
      </c>
      <c r="F3246" s="0" t="inlineStr">
        <is>
          <t>'804113945063</t>
        </is>
      </c>
      <c r="G3246" s="0" t="inlineStr">
        <is>
          <t>WOMENS</t>
        </is>
      </c>
      <c r="H3246" s="0" t="inlineStr">
        <is>
          <t>L</t>
        </is>
      </c>
      <c r="I3246" s="0">
        <v>40.98</v>
      </c>
      <c r="J3246" s="0">
        <v>0</v>
      </c>
    </row>
    <row r="3247" spans="1:10" customHeight="0">
      <c r="A3247" s="0">
        <f>HYPERLINK("https://dl.dropboxusercontent.com/scl/fi/z97iuowz8z03px2ygkttd/purdueaf.jpg?rlkey=7kqu3r1w8sae2cojqgeajn08t&amp;dl=0","Click to download Image")</f>
      </c>
      <c r="B3247" s="0">
        <f>HYPERLINK("https://dl.dropboxusercontent.com/scl/fi/chyowe2tvkwgvca37dasu/trisha-tn.jpg?rlkey=ea40qr6p2sw4oir47aoe9t9fb&amp;dl=0","Click to download SizeChart")</f>
      </c>
      <c r="C3247" s="0" t="inlineStr">
        <is>
          <t>Trisha Womens Golf Polo</t>
        </is>
      </c>
      <c r="D3247" s="0" t="inlineStr">
        <is>
          <t>'113945</t>
        </is>
      </c>
      <c r="E3247" s="0" t="inlineStr">
        <is>
          <t>PURDUE TRISHA BLACK:113945D-XL</t>
        </is>
      </c>
      <c r="F3247" s="0" t="inlineStr">
        <is>
          <t>'804113945070</t>
        </is>
      </c>
      <c r="G3247" s="0" t="inlineStr">
        <is>
          <t>WOMENS</t>
        </is>
      </c>
      <c r="H3247" s="0" t="inlineStr">
        <is>
          <t>XL</t>
        </is>
      </c>
      <c r="I3247" s="0">
        <v>40.98</v>
      </c>
      <c r="J3247" s="0">
        <v>1</v>
      </c>
    </row>
    <row r="3248" spans="1:10" customHeight="0">
      <c r="A3248" s="0">
        <f>HYPERLINK("https://dl.dropboxusercontent.com/scl/fi/z97iuowz8z03px2ygkttd/purdueaf.jpg?rlkey=7kqu3r1w8sae2cojqgeajn08t&amp;dl=0","Click to download Image")</f>
      </c>
      <c r="B3248" s="0">
        <f>HYPERLINK("https://dl.dropboxusercontent.com/scl/fi/chyowe2tvkwgvca37dasu/trisha-tn.jpg?rlkey=ea40qr6p2sw4oir47aoe9t9fb&amp;dl=0","Click to download SizeChart")</f>
      </c>
      <c r="C3248" s="0" t="inlineStr">
        <is>
          <t>Trisha Womens Golf Polo</t>
        </is>
      </c>
      <c r="D3248" s="0" t="inlineStr">
        <is>
          <t>'113945</t>
        </is>
      </c>
      <c r="E3248" s="0" t="inlineStr">
        <is>
          <t>PURDUE TRISHA BLACK:113945E-2XL</t>
        </is>
      </c>
      <c r="F3248" s="0" t="inlineStr">
        <is>
          <t>'804113945087</t>
        </is>
      </c>
      <c r="G3248" s="0" t="inlineStr">
        <is>
          <t>WOMENS</t>
        </is>
      </c>
      <c r="H3248" s="0" t="inlineStr">
        <is>
          <t>2XL</t>
        </is>
      </c>
      <c r="I3248" s="0">
        <v>42.98</v>
      </c>
      <c r="J3248" s="0">
        <v>0</v>
      </c>
    </row>
    <row r="3249" spans="1:10" customHeight="0">
      <c r="A3249" s="0">
        <f>HYPERLINK("https://dl.dropboxusercontent.com/scl/fi/z97iuowz8z03px2ygkttd/purdueaf.jpg?rlkey=7kqu3r1w8sae2cojqgeajn08t&amp;dl=0","Click to download Image")</f>
      </c>
      <c r="B3249" s="0">
        <f>HYPERLINK("https://dl.dropboxusercontent.com/scl/fi/chyowe2tvkwgvca37dasu/trisha-tn.jpg?rlkey=ea40qr6p2sw4oir47aoe9t9fb&amp;dl=0","Click to download SizeChart")</f>
      </c>
      <c r="C3249" s="0" t="inlineStr">
        <is>
          <t>Trisha Womens Golf Polo</t>
        </is>
      </c>
      <c r="D3249" s="0" t="inlineStr">
        <is>
          <t>'113945</t>
        </is>
      </c>
      <c r="E3249" s="0" t="inlineStr">
        <is>
          <t>PURDUE TRISHA BLACK:113945F-3XL</t>
        </is>
      </c>
      <c r="F3249" s="0" t="inlineStr">
        <is>
          <t>'804113945094</t>
        </is>
      </c>
      <c r="G3249" s="0" t="inlineStr">
        <is>
          <t>WOMENS</t>
        </is>
      </c>
      <c r="H3249" s="0" t="inlineStr">
        <is>
          <t>3XL</t>
        </is>
      </c>
      <c r="I3249" s="0">
        <v>42.98</v>
      </c>
      <c r="J3249" s="0">
        <v>0</v>
      </c>
    </row>
    <row r="3250" spans="1:10" customHeight="0">
      <c r="A3250" s="0">
        <f>HYPERLINK("https://dl.dropboxusercontent.com/scl/fi/lemrulfurnfaj4u01jtvn/106982f.jpg?rlkey=an9t4if0fasyoyjsq4z8siyjs&amp;dl=0","Click to download Image")</f>
      </c>
      <c r="B3250" s="0">
        <f>HYPERLINK("https://dl.dropboxusercontent.com/scl/fi/muqz6sosmrwixu93uhruf/graphic-update22022-infant.jpg?rlkey=phqw07f40z8q9lnu5uwon3yae&amp;dl=0","Click to download SizeChart")</f>
      </c>
      <c r="C3250" s="0" t="inlineStr">
        <is>
          <t>Lynn Infant Overall Dress</t>
        </is>
      </c>
      <c r="D3250" s="0" t="inlineStr">
        <is>
          <t>'106982</t>
        </is>
      </c>
      <c r="E3250" s="0" t="inlineStr">
        <is>
          <t>IA LYNN INFANT:106982A-0-3M</t>
        </is>
      </c>
      <c r="F3250" s="0" t="inlineStr">
        <is>
          <t>'800106982015</t>
        </is>
      </c>
      <c r="G3250" s="0" t="inlineStr">
        <is>
          <t>INFANT</t>
        </is>
      </c>
      <c r="H3250" s="0" t="inlineStr">
        <is>
          <t>0-3M</t>
        </is>
      </c>
      <c r="I3250" s="0">
        <v>29.99</v>
      </c>
      <c r="J3250" s="0">
        <v>10</v>
      </c>
    </row>
    <row r="3251" spans="1:10" customHeight="0">
      <c r="A3251" s="0">
        <f>HYPERLINK("https://dl.dropboxusercontent.com/scl/fi/lemrulfurnfaj4u01jtvn/106982f.jpg?rlkey=an9t4if0fasyoyjsq4z8siyjs&amp;dl=0","Click to download Image")</f>
      </c>
      <c r="B3251" s="0">
        <f>HYPERLINK("https://dl.dropboxusercontent.com/scl/fi/muqz6sosmrwixu93uhruf/graphic-update22022-infant.jpg?rlkey=phqw07f40z8q9lnu5uwon3yae&amp;dl=0","Click to download SizeChart")</f>
      </c>
      <c r="C3251" s="0" t="inlineStr">
        <is>
          <t>Lynn Infant Overall Dress</t>
        </is>
      </c>
      <c r="D3251" s="0" t="inlineStr">
        <is>
          <t>'106982</t>
        </is>
      </c>
      <c r="E3251" s="0" t="inlineStr">
        <is>
          <t>IA LYNN INFANT:106982B-3-6M</t>
        </is>
      </c>
      <c r="F3251" s="0" t="inlineStr">
        <is>
          <t>'800106982022</t>
        </is>
      </c>
      <c r="G3251" s="0" t="inlineStr">
        <is>
          <t>INFANT</t>
        </is>
      </c>
      <c r="H3251" s="0" t="inlineStr">
        <is>
          <t>3-6M</t>
        </is>
      </c>
      <c r="I3251" s="0">
        <v>29.99</v>
      </c>
      <c r="J3251" s="0">
        <v>12</v>
      </c>
    </row>
    <row r="3252" spans="1:10" customHeight="0">
      <c r="A3252" s="0">
        <f>HYPERLINK("https://dl.dropboxusercontent.com/scl/fi/lemrulfurnfaj4u01jtvn/106982f.jpg?rlkey=an9t4if0fasyoyjsq4z8siyjs&amp;dl=0","Click to download Image")</f>
      </c>
      <c r="B3252" s="0">
        <f>HYPERLINK("https://dl.dropboxusercontent.com/scl/fi/muqz6sosmrwixu93uhruf/graphic-update22022-infant.jpg?rlkey=phqw07f40z8q9lnu5uwon3yae&amp;dl=0","Click to download SizeChart")</f>
      </c>
      <c r="C3252" s="0" t="inlineStr">
        <is>
          <t>Lynn Infant Overall Dress</t>
        </is>
      </c>
      <c r="D3252" s="0" t="inlineStr">
        <is>
          <t>'106982</t>
        </is>
      </c>
      <c r="E3252" s="0" t="inlineStr">
        <is>
          <t>IA LYNN INFANT:106982C-6-9M</t>
        </is>
      </c>
      <c r="F3252" s="0" t="inlineStr">
        <is>
          <t>'800106982039</t>
        </is>
      </c>
      <c r="G3252" s="0" t="inlineStr">
        <is>
          <t>INFANT</t>
        </is>
      </c>
      <c r="H3252" s="0" t="inlineStr">
        <is>
          <t>6-9M</t>
        </is>
      </c>
      <c r="I3252" s="0">
        <v>29.99</v>
      </c>
      <c r="J3252" s="0">
        <v>0</v>
      </c>
    </row>
    <row r="3253" spans="1:10" customHeight="0">
      <c r="A3253" s="0">
        <f>HYPERLINK("https://dl.dropboxusercontent.com/scl/fi/lemrulfurnfaj4u01jtvn/106982f.jpg?rlkey=an9t4if0fasyoyjsq4z8siyjs&amp;dl=0","Click to download Image")</f>
      </c>
      <c r="B3253" s="0">
        <f>HYPERLINK("https://dl.dropboxusercontent.com/scl/fi/muqz6sosmrwixu93uhruf/graphic-update22022-infant.jpg?rlkey=phqw07f40z8q9lnu5uwon3yae&amp;dl=0","Click to download SizeChart")</f>
      </c>
      <c r="C3253" s="0" t="inlineStr">
        <is>
          <t>Lynn Infant Overall Dress</t>
        </is>
      </c>
      <c r="D3253" s="0" t="inlineStr">
        <is>
          <t>'106982</t>
        </is>
      </c>
      <c r="E3253" s="0" t="inlineStr">
        <is>
          <t>IA LYNN INFANT:106982F-12M</t>
        </is>
      </c>
      <c r="F3253" s="0" t="inlineStr">
        <is>
          <t>'800106982046</t>
        </is>
      </c>
      <c r="G3253" s="0" t="inlineStr">
        <is>
          <t>INFANT</t>
        </is>
      </c>
      <c r="H3253" s="0" t="inlineStr">
        <is>
          <t>12M</t>
        </is>
      </c>
      <c r="I3253" s="0">
        <v>29.99</v>
      </c>
      <c r="J3253" s="0">
        <v>0</v>
      </c>
    </row>
    <row r="3254" spans="1:10" customHeight="0">
      <c r="A3254" s="0">
        <f>HYPERLINK("https://dl.dropboxusercontent.com/scl/fi/ahnfwq3i5drifpgdqv6hp/109408f.jpg?rlkey=solaj34inf348040guf2bzk21&amp;dl=0","Click to download Image")</f>
      </c>
      <c r="B3254" s="0">
        <f>HYPERLINK("https://dl.dropboxusercontent.com/scl/fi/muqz6sosmrwixu93uhruf/graphic-update22022-infant.jpg?rlkey=phqw07f40z8q9lnu5uwon3yae&amp;dl=0","Click to download SizeChart")</f>
      </c>
      <c r="C3254" s="0" t="inlineStr">
        <is>
          <t>Lynn Infant Overall Dress</t>
        </is>
      </c>
      <c r="D3254" s="0" t="inlineStr">
        <is>
          <t>'109408</t>
        </is>
      </c>
      <c r="E3254" s="0" t="inlineStr">
        <is>
          <t>ISU LYNN INFANT:109408A-0-3M</t>
        </is>
      </c>
      <c r="F3254" s="0" t="inlineStr">
        <is>
          <t>'800109408017</t>
        </is>
      </c>
      <c r="G3254" s="0" t="inlineStr">
        <is>
          <t>INFANT</t>
        </is>
      </c>
      <c r="H3254" s="0" t="inlineStr">
        <is>
          <t>0-3M</t>
        </is>
      </c>
      <c r="I3254" s="0">
        <v>29.99</v>
      </c>
      <c r="J3254" s="0">
        <v>15</v>
      </c>
    </row>
    <row r="3255" spans="1:10" customHeight="0">
      <c r="A3255" s="0">
        <f>HYPERLINK("https://dl.dropboxusercontent.com/scl/fi/ahnfwq3i5drifpgdqv6hp/109408f.jpg?rlkey=solaj34inf348040guf2bzk21&amp;dl=0","Click to download Image")</f>
      </c>
      <c r="B3255" s="0">
        <f>HYPERLINK("https://dl.dropboxusercontent.com/scl/fi/muqz6sosmrwixu93uhruf/graphic-update22022-infant.jpg?rlkey=phqw07f40z8q9lnu5uwon3yae&amp;dl=0","Click to download SizeChart")</f>
      </c>
      <c r="C3255" s="0" t="inlineStr">
        <is>
          <t>Lynn Infant Overall Dress</t>
        </is>
      </c>
      <c r="D3255" s="0" t="inlineStr">
        <is>
          <t>'109408</t>
        </is>
      </c>
      <c r="E3255" s="0" t="inlineStr">
        <is>
          <t>ISU LYNN INFANT:109408B-3-6M</t>
        </is>
      </c>
      <c r="F3255" s="0" t="inlineStr">
        <is>
          <t>'800109408024</t>
        </is>
      </c>
      <c r="G3255" s="0" t="inlineStr">
        <is>
          <t>INFANT</t>
        </is>
      </c>
      <c r="H3255" s="0" t="inlineStr">
        <is>
          <t>3-6M</t>
        </is>
      </c>
      <c r="I3255" s="0">
        <v>29.99</v>
      </c>
      <c r="J3255" s="0">
        <v>16</v>
      </c>
    </row>
    <row r="3256" spans="1:10" customHeight="0">
      <c r="A3256" s="0">
        <f>HYPERLINK("https://dl.dropboxusercontent.com/scl/fi/ahnfwq3i5drifpgdqv6hp/109408f.jpg?rlkey=solaj34inf348040guf2bzk21&amp;dl=0","Click to download Image")</f>
      </c>
      <c r="B3256" s="0">
        <f>HYPERLINK("https://dl.dropboxusercontent.com/scl/fi/muqz6sosmrwixu93uhruf/graphic-update22022-infant.jpg?rlkey=phqw07f40z8q9lnu5uwon3yae&amp;dl=0","Click to download SizeChart")</f>
      </c>
      <c r="C3256" s="0" t="inlineStr">
        <is>
          <t>Lynn Infant Overall Dress</t>
        </is>
      </c>
      <c r="D3256" s="0" t="inlineStr">
        <is>
          <t>'109408</t>
        </is>
      </c>
      <c r="E3256" s="0" t="inlineStr">
        <is>
          <t>ISU LYNN INFANT:109408C-6-9M</t>
        </is>
      </c>
      <c r="F3256" s="0" t="inlineStr">
        <is>
          <t>'800109408031</t>
        </is>
      </c>
      <c r="G3256" s="0" t="inlineStr">
        <is>
          <t>INFANT</t>
        </is>
      </c>
      <c r="H3256" s="0" t="inlineStr">
        <is>
          <t>6-9M</t>
        </is>
      </c>
      <c r="I3256" s="0">
        <v>29.99</v>
      </c>
      <c r="J3256" s="0">
        <v>16</v>
      </c>
    </row>
    <row r="3257" spans="1:10" customHeight="0">
      <c r="A3257" s="0">
        <f>HYPERLINK("https://dl.dropboxusercontent.com/scl/fi/ahnfwq3i5drifpgdqv6hp/109408f.jpg?rlkey=solaj34inf348040guf2bzk21&amp;dl=0","Click to download Image")</f>
      </c>
      <c r="B3257" s="0">
        <f>HYPERLINK("https://dl.dropboxusercontent.com/scl/fi/muqz6sosmrwixu93uhruf/graphic-update22022-infant.jpg?rlkey=phqw07f40z8q9lnu5uwon3yae&amp;dl=0","Click to download SizeChart")</f>
      </c>
      <c r="C3257" s="0" t="inlineStr">
        <is>
          <t>Lynn Infant Overall Dress</t>
        </is>
      </c>
      <c r="D3257" s="0" t="inlineStr">
        <is>
          <t>'109408</t>
        </is>
      </c>
      <c r="E3257" s="0" t="inlineStr">
        <is>
          <t>ISU LYNN INFANT:109408F-12M</t>
        </is>
      </c>
      <c r="F3257" s="0" t="inlineStr">
        <is>
          <t>'800109408048</t>
        </is>
      </c>
      <c r="G3257" s="0" t="inlineStr">
        <is>
          <t>INFANT</t>
        </is>
      </c>
      <c r="H3257" s="0" t="inlineStr">
        <is>
          <t>12M</t>
        </is>
      </c>
      <c r="I3257" s="0">
        <v>29.99</v>
      </c>
      <c r="J3257" s="0">
        <v>11</v>
      </c>
    </row>
    <row r="3258" spans="1:10" customHeight="0">
      <c r="A3258" s="0">
        <f>HYPERLINK("https://dl.dropboxusercontent.com/scl/fi/3n024a2t1xw6x9zjd9fci/109409f.jpg?rlkey=zaaggkjou7jwnisd0eazu0szu&amp;dl=0","Click to download Image")</f>
      </c>
      <c r="B3258" s="0">
        <f>HYPERLINK("https://dl.dropboxusercontent.com/scl/fi/muqz6sosmrwixu93uhruf/graphic-update22022-infant.jpg?rlkey=phqw07f40z8q9lnu5uwon3yae&amp;dl=0","Click to download SizeChart")</f>
      </c>
      <c r="C3258" s="0" t="inlineStr">
        <is>
          <t>Lynn Infant Overall Dress</t>
        </is>
      </c>
      <c r="D3258" s="0" t="inlineStr">
        <is>
          <t>'109409</t>
        </is>
      </c>
      <c r="E3258" s="0" t="inlineStr">
        <is>
          <t>UNI LYNN INFANT:109409A-0-3M</t>
        </is>
      </c>
      <c r="F3258" s="0" t="inlineStr">
        <is>
          <t>'800109409014</t>
        </is>
      </c>
      <c r="G3258" s="0" t="inlineStr">
        <is>
          <t>INFANT</t>
        </is>
      </c>
      <c r="H3258" s="0" t="inlineStr">
        <is>
          <t>0-3M</t>
        </is>
      </c>
      <c r="I3258" s="0">
        <v>29.99</v>
      </c>
      <c r="J3258" s="0">
        <v>8</v>
      </c>
    </row>
    <row r="3259" spans="1:10" customHeight="0">
      <c r="A3259" s="0">
        <f>HYPERLINK("https://dl.dropboxusercontent.com/scl/fi/3n024a2t1xw6x9zjd9fci/109409f.jpg?rlkey=zaaggkjou7jwnisd0eazu0szu&amp;dl=0","Click to download Image")</f>
      </c>
      <c r="B3259" s="0">
        <f>HYPERLINK("https://dl.dropboxusercontent.com/scl/fi/muqz6sosmrwixu93uhruf/graphic-update22022-infant.jpg?rlkey=phqw07f40z8q9lnu5uwon3yae&amp;dl=0","Click to download SizeChart")</f>
      </c>
      <c r="C3259" s="0" t="inlineStr">
        <is>
          <t>Lynn Infant Overall Dress</t>
        </is>
      </c>
      <c r="D3259" s="0" t="inlineStr">
        <is>
          <t>'109409</t>
        </is>
      </c>
      <c r="E3259" s="0" t="inlineStr">
        <is>
          <t>UNI LYNN INFANT:109409B-3-6M</t>
        </is>
      </c>
      <c r="F3259" s="0" t="inlineStr">
        <is>
          <t>'800109409021</t>
        </is>
      </c>
      <c r="G3259" s="0" t="inlineStr">
        <is>
          <t>INFANT</t>
        </is>
      </c>
      <c r="H3259" s="0" t="inlineStr">
        <is>
          <t>3-6M</t>
        </is>
      </c>
      <c r="I3259" s="0">
        <v>29.99</v>
      </c>
      <c r="J3259" s="0">
        <v>7</v>
      </c>
    </row>
    <row r="3260" spans="1:10" customHeight="0">
      <c r="A3260" s="0">
        <f>HYPERLINK("https://dl.dropboxusercontent.com/scl/fi/3n024a2t1xw6x9zjd9fci/109409f.jpg?rlkey=zaaggkjou7jwnisd0eazu0szu&amp;dl=0","Click to download Image")</f>
      </c>
      <c r="B3260" s="0">
        <f>HYPERLINK("https://dl.dropboxusercontent.com/scl/fi/muqz6sosmrwixu93uhruf/graphic-update22022-infant.jpg?rlkey=phqw07f40z8q9lnu5uwon3yae&amp;dl=0","Click to download SizeChart")</f>
      </c>
      <c r="C3260" s="0" t="inlineStr">
        <is>
          <t>Lynn Infant Overall Dress</t>
        </is>
      </c>
      <c r="D3260" s="0" t="inlineStr">
        <is>
          <t>'109409</t>
        </is>
      </c>
      <c r="E3260" s="0" t="inlineStr">
        <is>
          <t>UNI LYNN INFANT:109409C-6-9M</t>
        </is>
      </c>
      <c r="F3260" s="0" t="inlineStr">
        <is>
          <t>'800109409038</t>
        </is>
      </c>
      <c r="G3260" s="0" t="inlineStr">
        <is>
          <t>INFANT</t>
        </is>
      </c>
      <c r="H3260" s="0" t="inlineStr">
        <is>
          <t>6-9M</t>
        </is>
      </c>
      <c r="I3260" s="0">
        <v>29.99</v>
      </c>
      <c r="J3260" s="0">
        <v>8</v>
      </c>
    </row>
    <row r="3261" spans="1:10" customHeight="0">
      <c r="A3261" s="0">
        <f>HYPERLINK("https://dl.dropboxusercontent.com/scl/fi/3n024a2t1xw6x9zjd9fci/109409f.jpg?rlkey=zaaggkjou7jwnisd0eazu0szu&amp;dl=0","Click to download Image")</f>
      </c>
      <c r="B3261" s="0">
        <f>HYPERLINK("https://dl.dropboxusercontent.com/scl/fi/muqz6sosmrwixu93uhruf/graphic-update22022-infant.jpg?rlkey=phqw07f40z8q9lnu5uwon3yae&amp;dl=0","Click to download SizeChart")</f>
      </c>
      <c r="C3261" s="0" t="inlineStr">
        <is>
          <t>Lynn Infant Overall Dress</t>
        </is>
      </c>
      <c r="D3261" s="0" t="inlineStr">
        <is>
          <t>'109409</t>
        </is>
      </c>
      <c r="E3261" s="0" t="inlineStr">
        <is>
          <t>UNI LYNN INFANT:109409F-12M</t>
        </is>
      </c>
      <c r="F3261" s="0" t="inlineStr">
        <is>
          <t>'800109409045</t>
        </is>
      </c>
      <c r="G3261" s="0" t="inlineStr">
        <is>
          <t>INFANT</t>
        </is>
      </c>
      <c r="H3261" s="0" t="inlineStr">
        <is>
          <t>12M</t>
        </is>
      </c>
      <c r="I3261" s="0">
        <v>29.99</v>
      </c>
      <c r="J3261" s="0">
        <v>8</v>
      </c>
    </row>
    <row r="3262" spans="1:10" customHeight="0">
      <c r="A3262" s="0">
        <f>HYPERLINK("https://dl.dropboxusercontent.com/scl/fi/2mluqovfkk8qnsvwkmiq6/109410f.jpg?rlkey=jdy6r3h7u4tfjdu5hg0snfwnn&amp;dl=0","Click to download Image")</f>
      </c>
      <c r="B3262" s="0">
        <f>HYPERLINK("https://dl.dropboxusercontent.com/scl/fi/muqz6sosmrwixu93uhruf/graphic-update22022-infant.jpg?rlkey=phqw07f40z8q9lnu5uwon3yae&amp;dl=0","Click to download SizeChart")</f>
      </c>
      <c r="C3262" s="0" t="inlineStr">
        <is>
          <t>Lynn Infant Overall Dress</t>
        </is>
      </c>
      <c r="D3262" s="0" t="inlineStr">
        <is>
          <t>'109410</t>
        </is>
      </c>
      <c r="E3262" s="0" t="inlineStr">
        <is>
          <t>MU LYNN INFANT:109410A-0-3M</t>
        </is>
      </c>
      <c r="F3262" s="0" t="inlineStr">
        <is>
          <t>'800109410010</t>
        </is>
      </c>
      <c r="G3262" s="0" t="inlineStr">
        <is>
          <t>INFANT</t>
        </is>
      </c>
      <c r="H3262" s="0" t="inlineStr">
        <is>
          <t>0-3M</t>
        </is>
      </c>
      <c r="I3262" s="0">
        <v>29.99</v>
      </c>
      <c r="J3262" s="0">
        <v>5</v>
      </c>
    </row>
    <row r="3263" spans="1:10" customHeight="0">
      <c r="A3263" s="0">
        <f>HYPERLINK("https://dl.dropboxusercontent.com/scl/fi/2mluqovfkk8qnsvwkmiq6/109410f.jpg?rlkey=jdy6r3h7u4tfjdu5hg0snfwnn&amp;dl=0","Click to download Image")</f>
      </c>
      <c r="B3263" s="0">
        <f>HYPERLINK("https://dl.dropboxusercontent.com/scl/fi/muqz6sosmrwixu93uhruf/graphic-update22022-infant.jpg?rlkey=phqw07f40z8q9lnu5uwon3yae&amp;dl=0","Click to download SizeChart")</f>
      </c>
      <c r="C3263" s="0" t="inlineStr">
        <is>
          <t>Lynn Infant Overall Dress</t>
        </is>
      </c>
      <c r="D3263" s="0" t="inlineStr">
        <is>
          <t>'109410</t>
        </is>
      </c>
      <c r="E3263" s="0" t="inlineStr">
        <is>
          <t>MU LYNN INFANT:109410B-3-6M</t>
        </is>
      </c>
      <c r="F3263" s="0" t="inlineStr">
        <is>
          <t>'800109410027</t>
        </is>
      </c>
      <c r="G3263" s="0" t="inlineStr">
        <is>
          <t>INFANT</t>
        </is>
      </c>
      <c r="H3263" s="0" t="inlineStr">
        <is>
          <t>3-6M</t>
        </is>
      </c>
      <c r="I3263" s="0">
        <v>29.99</v>
      </c>
      <c r="J3263" s="0">
        <v>8</v>
      </c>
    </row>
    <row r="3264" spans="1:10" customHeight="0">
      <c r="A3264" s="0">
        <f>HYPERLINK("https://dl.dropboxusercontent.com/scl/fi/2mluqovfkk8qnsvwkmiq6/109410f.jpg?rlkey=jdy6r3h7u4tfjdu5hg0snfwnn&amp;dl=0","Click to download Image")</f>
      </c>
      <c r="B3264" s="0">
        <f>HYPERLINK("https://dl.dropboxusercontent.com/scl/fi/muqz6sosmrwixu93uhruf/graphic-update22022-infant.jpg?rlkey=phqw07f40z8q9lnu5uwon3yae&amp;dl=0","Click to download SizeChart")</f>
      </c>
      <c r="C3264" s="0" t="inlineStr">
        <is>
          <t>Lynn Infant Overall Dress</t>
        </is>
      </c>
      <c r="D3264" s="0" t="inlineStr">
        <is>
          <t>'109410</t>
        </is>
      </c>
      <c r="E3264" s="0" t="inlineStr">
        <is>
          <t>MU LYNN INFANT:109410C-6-9M</t>
        </is>
      </c>
      <c r="F3264" s="0" t="inlineStr">
        <is>
          <t>'800109410034</t>
        </is>
      </c>
      <c r="G3264" s="0" t="inlineStr">
        <is>
          <t>INFANT</t>
        </is>
      </c>
      <c r="H3264" s="0" t="inlineStr">
        <is>
          <t>6-9M</t>
        </is>
      </c>
      <c r="I3264" s="0">
        <v>29.99</v>
      </c>
      <c r="J3264" s="0">
        <v>4</v>
      </c>
    </row>
    <row r="3265" spans="1:10" customHeight="0">
      <c r="A3265" s="0">
        <f>HYPERLINK("https://dl.dropboxusercontent.com/scl/fi/2mluqovfkk8qnsvwkmiq6/109410f.jpg?rlkey=jdy6r3h7u4tfjdu5hg0snfwnn&amp;dl=0","Click to download Image")</f>
      </c>
      <c r="B3265" s="0">
        <f>HYPERLINK("https://dl.dropboxusercontent.com/scl/fi/muqz6sosmrwixu93uhruf/graphic-update22022-infant.jpg?rlkey=phqw07f40z8q9lnu5uwon3yae&amp;dl=0","Click to download SizeChart")</f>
      </c>
      <c r="C3265" s="0" t="inlineStr">
        <is>
          <t>Lynn Infant Overall Dress</t>
        </is>
      </c>
      <c r="D3265" s="0" t="inlineStr">
        <is>
          <t>'109410</t>
        </is>
      </c>
      <c r="E3265" s="0" t="inlineStr">
        <is>
          <t>MU LYNN INFANT:109410F-12M</t>
        </is>
      </c>
      <c r="F3265" s="0" t="inlineStr">
        <is>
          <t>'800109410041</t>
        </is>
      </c>
      <c r="G3265" s="0" t="inlineStr">
        <is>
          <t>INFANT</t>
        </is>
      </c>
      <c r="H3265" s="0" t="inlineStr">
        <is>
          <t>12M</t>
        </is>
      </c>
      <c r="I3265" s="0">
        <v>29.99</v>
      </c>
      <c r="J3265" s="0">
        <v>6</v>
      </c>
    </row>
    <row r="3266" spans="1:10" customHeight="0">
      <c r="A3266" s="0">
        <f>HYPERLINK("https://dl.dropboxusercontent.com/scl/fi/j1x95lvpppdrf9bejenxh/109411f.jpg?rlkey=rl86fnfr7h7s44khylnpodlqj&amp;dl=0","Click to download Image")</f>
      </c>
      <c r="B3266" s="0">
        <f>HYPERLINK("https://dl.dropboxusercontent.com/scl/fi/muqz6sosmrwixu93uhruf/graphic-update22022-infant.jpg?rlkey=phqw07f40z8q9lnu5uwon3yae&amp;dl=0","Click to download SizeChart")</f>
      </c>
      <c r="C3266" s="0" t="inlineStr">
        <is>
          <t>Lynn Infant Overall Dress</t>
        </is>
      </c>
      <c r="D3266" s="0" t="inlineStr">
        <is>
          <t>'109411</t>
        </is>
      </c>
      <c r="E3266" s="0" t="inlineStr">
        <is>
          <t>MARQ LYNN INFANT:109411A-0-3M</t>
        </is>
      </c>
      <c r="F3266" s="0" t="inlineStr">
        <is>
          <t>'800109411017</t>
        </is>
      </c>
      <c r="G3266" s="0" t="inlineStr">
        <is>
          <t>INFANT</t>
        </is>
      </c>
      <c r="H3266" s="0" t="inlineStr">
        <is>
          <t>0-3M</t>
        </is>
      </c>
      <c r="I3266" s="0">
        <v>29.99</v>
      </c>
      <c r="J3266" s="0">
        <v>8</v>
      </c>
    </row>
    <row r="3267" spans="1:10" customHeight="0">
      <c r="A3267" s="0">
        <f>HYPERLINK("https://dl.dropboxusercontent.com/scl/fi/j1x95lvpppdrf9bejenxh/109411f.jpg?rlkey=rl86fnfr7h7s44khylnpodlqj&amp;dl=0","Click to download Image")</f>
      </c>
      <c r="B3267" s="0">
        <f>HYPERLINK("https://dl.dropboxusercontent.com/scl/fi/muqz6sosmrwixu93uhruf/graphic-update22022-infant.jpg?rlkey=phqw07f40z8q9lnu5uwon3yae&amp;dl=0","Click to download SizeChart")</f>
      </c>
      <c r="C3267" s="0" t="inlineStr">
        <is>
          <t>Lynn Infant Overall Dress</t>
        </is>
      </c>
      <c r="D3267" s="0" t="inlineStr">
        <is>
          <t>'109411</t>
        </is>
      </c>
      <c r="E3267" s="0" t="inlineStr">
        <is>
          <t>MARQ LYNN INFANT:109411B-3-6M</t>
        </is>
      </c>
      <c r="F3267" s="0" t="inlineStr">
        <is>
          <t>'800109411024</t>
        </is>
      </c>
      <c r="G3267" s="0" t="inlineStr">
        <is>
          <t>INFANT</t>
        </is>
      </c>
      <c r="H3267" s="0" t="inlineStr">
        <is>
          <t>3-6M</t>
        </is>
      </c>
      <c r="I3267" s="0">
        <v>29.99</v>
      </c>
      <c r="J3267" s="0">
        <v>9</v>
      </c>
    </row>
    <row r="3268" spans="1:10" customHeight="0">
      <c r="A3268" s="0">
        <f>HYPERLINK("https://dl.dropboxusercontent.com/scl/fi/j1x95lvpppdrf9bejenxh/109411f.jpg?rlkey=rl86fnfr7h7s44khylnpodlqj&amp;dl=0","Click to download Image")</f>
      </c>
      <c r="B3268" s="0">
        <f>HYPERLINK("https://dl.dropboxusercontent.com/scl/fi/muqz6sosmrwixu93uhruf/graphic-update22022-infant.jpg?rlkey=phqw07f40z8q9lnu5uwon3yae&amp;dl=0","Click to download SizeChart")</f>
      </c>
      <c r="C3268" s="0" t="inlineStr">
        <is>
          <t>Lynn Infant Overall Dress</t>
        </is>
      </c>
      <c r="D3268" s="0" t="inlineStr">
        <is>
          <t>'109411</t>
        </is>
      </c>
      <c r="E3268" s="0" t="inlineStr">
        <is>
          <t>MARQ LYNN INFANT:109411C-6-9M</t>
        </is>
      </c>
      <c r="F3268" s="0" t="inlineStr">
        <is>
          <t>'800109411031</t>
        </is>
      </c>
      <c r="G3268" s="0" t="inlineStr">
        <is>
          <t>INFANT</t>
        </is>
      </c>
      <c r="H3268" s="0" t="inlineStr">
        <is>
          <t>6-9M</t>
        </is>
      </c>
      <c r="I3268" s="0">
        <v>29.99</v>
      </c>
      <c r="J3268" s="0">
        <v>6</v>
      </c>
    </row>
    <row r="3269" spans="1:10" customHeight="0">
      <c r="A3269" s="0">
        <f>HYPERLINK("https://dl.dropboxusercontent.com/scl/fi/j1x95lvpppdrf9bejenxh/109411f.jpg?rlkey=rl86fnfr7h7s44khylnpodlqj&amp;dl=0","Click to download Image")</f>
      </c>
      <c r="B3269" s="0">
        <f>HYPERLINK("https://dl.dropboxusercontent.com/scl/fi/muqz6sosmrwixu93uhruf/graphic-update22022-infant.jpg?rlkey=phqw07f40z8q9lnu5uwon3yae&amp;dl=0","Click to download SizeChart")</f>
      </c>
      <c r="C3269" s="0" t="inlineStr">
        <is>
          <t>Lynn Infant Overall Dress</t>
        </is>
      </c>
      <c r="D3269" s="0" t="inlineStr">
        <is>
          <t>'109411</t>
        </is>
      </c>
      <c r="E3269" s="0" t="inlineStr">
        <is>
          <t>MARQ LYNN INFANT:109411F-12M</t>
        </is>
      </c>
      <c r="F3269" s="0" t="inlineStr">
        <is>
          <t>'800109411048</t>
        </is>
      </c>
      <c r="G3269" s="0" t="inlineStr">
        <is>
          <t>INFANT</t>
        </is>
      </c>
      <c r="H3269" s="0" t="inlineStr">
        <is>
          <t>12M</t>
        </is>
      </c>
      <c r="I3269" s="0">
        <v>29.99</v>
      </c>
      <c r="J3269" s="0">
        <v>6</v>
      </c>
    </row>
    <row r="3270" spans="1:10" customHeight="0">
      <c r="A3270" s="0">
        <f>HYPERLINK("https://dl.dropboxusercontent.com/scl/fi/p696lghcnmbcv7plcpab4/109402-af.jpg?rlkey=2reqyt6danng1x232mx9tup65&amp;dl=0","Click to download Image")</f>
      </c>
      <c r="B3270" s="0">
        <f>HYPERLINK("https://dl.dropboxusercontent.com/scl/fi/a22l7ua0u23ramr3f2uhz/graphic-update22022-toddler.jpg?rlkey=8j0jstpdrxxdajk2rbbrjm33t&amp;dl=0","Click to download SizeChart")</f>
      </c>
      <c r="C3270" s="0" t="inlineStr">
        <is>
          <t>Lynn Toddler Overall Dress</t>
        </is>
      </c>
      <c r="D3270" s="0" t="inlineStr">
        <is>
          <t>'109402</t>
        </is>
      </c>
      <c r="E3270" s="0" t="inlineStr">
        <is>
          <t>UNI LYNN TDLR:109402A-2T</t>
        </is>
      </c>
      <c r="F3270" s="0" t="inlineStr">
        <is>
          <t>'800109402015</t>
        </is>
      </c>
      <c r="G3270" s="0" t="inlineStr">
        <is>
          <t>TODDLER</t>
        </is>
      </c>
      <c r="H3270" s="0" t="inlineStr">
        <is>
          <t>2T</t>
        </is>
      </c>
      <c r="I3270" s="0">
        <v>29.99</v>
      </c>
      <c r="J3270" s="0">
        <v>6</v>
      </c>
    </row>
    <row r="3271" spans="1:10" customHeight="0">
      <c r="A3271" s="0">
        <f>HYPERLINK("https://dl.dropboxusercontent.com/scl/fi/p696lghcnmbcv7plcpab4/109402-af.jpg?rlkey=2reqyt6danng1x232mx9tup65&amp;dl=0","Click to download Image")</f>
      </c>
      <c r="B3271" s="0">
        <f>HYPERLINK("https://dl.dropboxusercontent.com/scl/fi/a22l7ua0u23ramr3f2uhz/graphic-update22022-toddler.jpg?rlkey=8j0jstpdrxxdajk2rbbrjm33t&amp;dl=0","Click to download SizeChart")</f>
      </c>
      <c r="C3271" s="0" t="inlineStr">
        <is>
          <t>Lynn Toddler Overall Dress</t>
        </is>
      </c>
      <c r="D3271" s="0" t="inlineStr">
        <is>
          <t>'109402</t>
        </is>
      </c>
      <c r="E3271" s="0" t="inlineStr">
        <is>
          <t>UNI LYNN TDLR:109402B-3T</t>
        </is>
      </c>
      <c r="F3271" s="0" t="inlineStr">
        <is>
          <t>'800109402022</t>
        </is>
      </c>
      <c r="G3271" s="0" t="inlineStr">
        <is>
          <t>TODDLER</t>
        </is>
      </c>
      <c r="H3271" s="0" t="inlineStr">
        <is>
          <t>3T</t>
        </is>
      </c>
      <c r="I3271" s="0">
        <v>29.99</v>
      </c>
      <c r="J3271" s="0">
        <v>8</v>
      </c>
    </row>
    <row r="3272" spans="1:10" customHeight="0">
      <c r="A3272" s="0">
        <f>HYPERLINK("https://dl.dropboxusercontent.com/scl/fi/p696lghcnmbcv7plcpab4/109402-af.jpg?rlkey=2reqyt6danng1x232mx9tup65&amp;dl=0","Click to download Image")</f>
      </c>
      <c r="B3272" s="0">
        <f>HYPERLINK("https://dl.dropboxusercontent.com/scl/fi/a22l7ua0u23ramr3f2uhz/graphic-update22022-toddler.jpg?rlkey=8j0jstpdrxxdajk2rbbrjm33t&amp;dl=0","Click to download SizeChart")</f>
      </c>
      <c r="C3272" s="0" t="inlineStr">
        <is>
          <t>Lynn Toddler Overall Dress</t>
        </is>
      </c>
      <c r="D3272" s="0" t="inlineStr">
        <is>
          <t>'109402</t>
        </is>
      </c>
      <c r="E3272" s="0" t="inlineStr">
        <is>
          <t>UNI LYNN TDLR:109402C-4T</t>
        </is>
      </c>
      <c r="F3272" s="0" t="inlineStr">
        <is>
          <t>'800109402039</t>
        </is>
      </c>
      <c r="G3272" s="0" t="inlineStr">
        <is>
          <t>TODDLER</t>
        </is>
      </c>
      <c r="H3272" s="0" t="inlineStr">
        <is>
          <t>4T</t>
        </is>
      </c>
      <c r="I3272" s="0">
        <v>29.99</v>
      </c>
      <c r="J3272" s="0">
        <v>7</v>
      </c>
    </row>
    <row r="3273" spans="1:10" customHeight="0">
      <c r="A3273" s="0">
        <f>HYPERLINK("https://dl.dropboxusercontent.com/scl/fi/p696lghcnmbcv7plcpab4/109402-af.jpg?rlkey=2reqyt6danng1x232mx9tup65&amp;dl=0","Click to download Image")</f>
      </c>
      <c r="B3273" s="0">
        <f>HYPERLINK("https://dl.dropboxusercontent.com/scl/fi/a22l7ua0u23ramr3f2uhz/graphic-update22022-toddler.jpg?rlkey=8j0jstpdrxxdajk2rbbrjm33t&amp;dl=0","Click to download SizeChart")</f>
      </c>
      <c r="C3273" s="0" t="inlineStr">
        <is>
          <t>Lynn Toddler Overall Dress</t>
        </is>
      </c>
      <c r="D3273" s="0" t="inlineStr">
        <is>
          <t>'109402</t>
        </is>
      </c>
      <c r="E3273" s="0" t="inlineStr">
        <is>
          <t>UNI LYNN TDLR:109402D-5T</t>
        </is>
      </c>
      <c r="F3273" s="0" t="inlineStr">
        <is>
          <t>'800109402046</t>
        </is>
      </c>
      <c r="G3273" s="0" t="inlineStr">
        <is>
          <t>TODDLER</t>
        </is>
      </c>
      <c r="H3273" s="0" t="inlineStr">
        <is>
          <t>5T</t>
        </is>
      </c>
      <c r="I3273" s="0">
        <v>29.99</v>
      </c>
      <c r="J3273" s="0">
        <v>7</v>
      </c>
    </row>
    <row r="3274" spans="1:10" customHeight="0">
      <c r="A3274" s="0">
        <f>HYPERLINK("https://dl.dropboxusercontent.com/scl/fi/wmwoib0xt8z1g1s74dtdm/109403-af.jpg?rlkey=yl8d1a3fmwx0bkda8trnti95r&amp;dl=0","Click to download Image")</f>
      </c>
      <c r="B3274" s="0">
        <f>HYPERLINK("https://dl.dropboxusercontent.com/scl/fi/a22l7ua0u23ramr3f2uhz/graphic-update22022-toddler.jpg?rlkey=8j0jstpdrxxdajk2rbbrjm33t&amp;dl=0","Click to download SizeChart")</f>
      </c>
      <c r="C3274" s="0" t="inlineStr">
        <is>
          <t>Lynn Toddler Overall Dress</t>
        </is>
      </c>
      <c r="D3274" s="0" t="inlineStr">
        <is>
          <t>'109403</t>
        </is>
      </c>
      <c r="E3274" s="0" t="inlineStr">
        <is>
          <t>MU LYNN TDLR:109403A-2T</t>
        </is>
      </c>
      <c r="F3274" s="0" t="inlineStr">
        <is>
          <t>'800109403012</t>
        </is>
      </c>
      <c r="G3274" s="0" t="inlineStr">
        <is>
          <t>TODDLER</t>
        </is>
      </c>
      <c r="H3274" s="0" t="inlineStr">
        <is>
          <t>2T</t>
        </is>
      </c>
      <c r="I3274" s="0">
        <v>29.99</v>
      </c>
      <c r="J3274" s="0">
        <v>9</v>
      </c>
    </row>
    <row r="3275" spans="1:10" customHeight="0">
      <c r="A3275" s="0">
        <f>HYPERLINK("https://dl.dropboxusercontent.com/scl/fi/wmwoib0xt8z1g1s74dtdm/109403-af.jpg?rlkey=yl8d1a3fmwx0bkda8trnti95r&amp;dl=0","Click to download Image")</f>
      </c>
      <c r="B3275" s="0">
        <f>HYPERLINK("https://dl.dropboxusercontent.com/scl/fi/a22l7ua0u23ramr3f2uhz/graphic-update22022-toddler.jpg?rlkey=8j0jstpdrxxdajk2rbbrjm33t&amp;dl=0","Click to download SizeChart")</f>
      </c>
      <c r="C3275" s="0" t="inlineStr">
        <is>
          <t>Lynn Toddler Overall Dress</t>
        </is>
      </c>
      <c r="D3275" s="0" t="inlineStr">
        <is>
          <t>'109403</t>
        </is>
      </c>
      <c r="E3275" s="0" t="inlineStr">
        <is>
          <t>MU LYNN TDLR:109403B-3T</t>
        </is>
      </c>
      <c r="F3275" s="0" t="inlineStr">
        <is>
          <t>'800109403029</t>
        </is>
      </c>
      <c r="G3275" s="0" t="inlineStr">
        <is>
          <t>TODDLER</t>
        </is>
      </c>
      <c r="H3275" s="0" t="inlineStr">
        <is>
          <t>3T</t>
        </is>
      </c>
      <c r="I3275" s="0">
        <v>29.99</v>
      </c>
      <c r="J3275" s="0">
        <v>9</v>
      </c>
    </row>
    <row r="3276" spans="1:10" customHeight="0">
      <c r="A3276" s="0">
        <f>HYPERLINK("https://dl.dropboxusercontent.com/scl/fi/wmwoib0xt8z1g1s74dtdm/109403-af.jpg?rlkey=yl8d1a3fmwx0bkda8trnti95r&amp;dl=0","Click to download Image")</f>
      </c>
      <c r="B3276" s="0">
        <f>HYPERLINK("https://dl.dropboxusercontent.com/scl/fi/a22l7ua0u23ramr3f2uhz/graphic-update22022-toddler.jpg?rlkey=8j0jstpdrxxdajk2rbbrjm33t&amp;dl=0","Click to download SizeChart")</f>
      </c>
      <c r="C3276" s="0" t="inlineStr">
        <is>
          <t>Lynn Toddler Overall Dress</t>
        </is>
      </c>
      <c r="D3276" s="0" t="inlineStr">
        <is>
          <t>'109403</t>
        </is>
      </c>
      <c r="E3276" s="0" t="inlineStr">
        <is>
          <t>MU LYNN TDLR:109403C-4T</t>
        </is>
      </c>
      <c r="F3276" s="0" t="inlineStr">
        <is>
          <t>'800109403036</t>
        </is>
      </c>
      <c r="G3276" s="0" t="inlineStr">
        <is>
          <t>TODDLER</t>
        </is>
      </c>
      <c r="H3276" s="0" t="inlineStr">
        <is>
          <t>4T</t>
        </is>
      </c>
      <c r="I3276" s="0">
        <v>29.99</v>
      </c>
      <c r="J3276" s="0">
        <v>9</v>
      </c>
    </row>
    <row r="3277" spans="1:10" customHeight="0">
      <c r="A3277" s="0">
        <f>HYPERLINK("https://dl.dropboxusercontent.com/scl/fi/wmwoib0xt8z1g1s74dtdm/109403-af.jpg?rlkey=yl8d1a3fmwx0bkda8trnti95r&amp;dl=0","Click to download Image")</f>
      </c>
      <c r="B3277" s="0">
        <f>HYPERLINK("https://dl.dropboxusercontent.com/scl/fi/a22l7ua0u23ramr3f2uhz/graphic-update22022-toddler.jpg?rlkey=8j0jstpdrxxdajk2rbbrjm33t&amp;dl=0","Click to download SizeChart")</f>
      </c>
      <c r="C3277" s="0" t="inlineStr">
        <is>
          <t>Lynn Toddler Overall Dress</t>
        </is>
      </c>
      <c r="D3277" s="0" t="inlineStr">
        <is>
          <t>'109403</t>
        </is>
      </c>
      <c r="E3277" s="0" t="inlineStr">
        <is>
          <t>MU LYNN TDLR:109403D-5T</t>
        </is>
      </c>
      <c r="F3277" s="0" t="inlineStr">
        <is>
          <t>'800109403043</t>
        </is>
      </c>
      <c r="G3277" s="0" t="inlineStr">
        <is>
          <t>TODDLER</t>
        </is>
      </c>
      <c r="H3277" s="0" t="inlineStr">
        <is>
          <t>5T</t>
        </is>
      </c>
      <c r="I3277" s="0">
        <v>29.99</v>
      </c>
      <c r="J3277" s="0">
        <v>0</v>
      </c>
    </row>
    <row r="3278" spans="1:10" customHeight="0">
      <c r="A3278" s="0">
        <f>HYPERLINK("https://dl.dropboxusercontent.com/scl/fi/y005mplhwtd4kn104taj6/109405-af.jpg?rlkey=3d12kczpn6a9nz70v6i11zh1d&amp;dl=0","Click to download Image")</f>
      </c>
      <c r="B3278" s="0">
        <f>HYPERLINK("https://dl.dropboxusercontent.com/scl/fi/a22l7ua0u23ramr3f2uhz/graphic-update22022-toddler.jpg?rlkey=8j0jstpdrxxdajk2rbbrjm33t&amp;dl=0","Click to download SizeChart")</f>
      </c>
      <c r="C3278" s="0" t="inlineStr">
        <is>
          <t>Lynn Toddler Overall Dress</t>
        </is>
      </c>
      <c r="D3278" s="0" t="inlineStr">
        <is>
          <t>'109405</t>
        </is>
      </c>
      <c r="E3278" s="0" t="inlineStr">
        <is>
          <t>MARQ LYNN TDLR:109405A-2T</t>
        </is>
      </c>
      <c r="F3278" s="0" t="inlineStr">
        <is>
          <t>'800109405016</t>
        </is>
      </c>
      <c r="G3278" s="0" t="inlineStr">
        <is>
          <t>TODDLER</t>
        </is>
      </c>
      <c r="H3278" s="0" t="inlineStr">
        <is>
          <t>2T</t>
        </is>
      </c>
      <c r="I3278" s="0">
        <v>29.99</v>
      </c>
      <c r="J3278" s="0">
        <v>6</v>
      </c>
    </row>
    <row r="3279" spans="1:10" customHeight="0">
      <c r="A3279" s="0">
        <f>HYPERLINK("https://dl.dropboxusercontent.com/scl/fi/y005mplhwtd4kn104taj6/109405-af.jpg?rlkey=3d12kczpn6a9nz70v6i11zh1d&amp;dl=0","Click to download Image")</f>
      </c>
      <c r="B3279" s="0">
        <f>HYPERLINK("https://dl.dropboxusercontent.com/scl/fi/a22l7ua0u23ramr3f2uhz/graphic-update22022-toddler.jpg?rlkey=8j0jstpdrxxdajk2rbbrjm33t&amp;dl=0","Click to download SizeChart")</f>
      </c>
      <c r="C3279" s="0" t="inlineStr">
        <is>
          <t>Lynn Toddler Overall Dress</t>
        </is>
      </c>
      <c r="D3279" s="0" t="inlineStr">
        <is>
          <t>'109405</t>
        </is>
      </c>
      <c r="E3279" s="0" t="inlineStr">
        <is>
          <t>MARQ LYNN TDLR:109405B-3T</t>
        </is>
      </c>
      <c r="F3279" s="0" t="inlineStr">
        <is>
          <t>'800109405023</t>
        </is>
      </c>
      <c r="G3279" s="0" t="inlineStr">
        <is>
          <t>TODDLER</t>
        </is>
      </c>
      <c r="H3279" s="0" t="inlineStr">
        <is>
          <t>3T</t>
        </is>
      </c>
      <c r="I3279" s="0">
        <v>29.99</v>
      </c>
      <c r="J3279" s="0">
        <v>9</v>
      </c>
    </row>
    <row r="3280" spans="1:10" customHeight="0">
      <c r="A3280" s="0">
        <f>HYPERLINK("https://dl.dropboxusercontent.com/scl/fi/y005mplhwtd4kn104taj6/109405-af.jpg?rlkey=3d12kczpn6a9nz70v6i11zh1d&amp;dl=0","Click to download Image")</f>
      </c>
      <c r="B3280" s="0">
        <f>HYPERLINK("https://dl.dropboxusercontent.com/scl/fi/a22l7ua0u23ramr3f2uhz/graphic-update22022-toddler.jpg?rlkey=8j0jstpdrxxdajk2rbbrjm33t&amp;dl=0","Click to download SizeChart")</f>
      </c>
      <c r="C3280" s="0" t="inlineStr">
        <is>
          <t>Lynn Toddler Overall Dress</t>
        </is>
      </c>
      <c r="D3280" s="0" t="inlineStr">
        <is>
          <t>'109405</t>
        </is>
      </c>
      <c r="E3280" s="0" t="inlineStr">
        <is>
          <t>MARQ LYNN TDLR:109405C-4T</t>
        </is>
      </c>
      <c r="F3280" s="0" t="inlineStr">
        <is>
          <t>'800109405030</t>
        </is>
      </c>
      <c r="G3280" s="0" t="inlineStr">
        <is>
          <t>TODDLER</t>
        </is>
      </c>
      <c r="H3280" s="0" t="inlineStr">
        <is>
          <t>4T</t>
        </is>
      </c>
      <c r="I3280" s="0">
        <v>29.99</v>
      </c>
      <c r="J3280" s="0">
        <v>9</v>
      </c>
    </row>
    <row r="3281" spans="1:10" customHeight="0">
      <c r="A3281" s="0">
        <f>HYPERLINK("https://dl.dropboxusercontent.com/scl/fi/y005mplhwtd4kn104taj6/109405-af.jpg?rlkey=3d12kczpn6a9nz70v6i11zh1d&amp;dl=0","Click to download Image")</f>
      </c>
      <c r="B3281" s="0">
        <f>HYPERLINK("https://dl.dropboxusercontent.com/scl/fi/a22l7ua0u23ramr3f2uhz/graphic-update22022-toddler.jpg?rlkey=8j0jstpdrxxdajk2rbbrjm33t&amp;dl=0","Click to download SizeChart")</f>
      </c>
      <c r="C3281" s="0" t="inlineStr">
        <is>
          <t>Lynn Toddler Overall Dress</t>
        </is>
      </c>
      <c r="D3281" s="0" t="inlineStr">
        <is>
          <t>'109405</t>
        </is>
      </c>
      <c r="E3281" s="0" t="inlineStr">
        <is>
          <t>MARQ LYNN TDLR:109405D-5T</t>
        </is>
      </c>
      <c r="F3281" s="0" t="inlineStr">
        <is>
          <t>'800109405047</t>
        </is>
      </c>
      <c r="G3281" s="0" t="inlineStr">
        <is>
          <t>TODDLER</t>
        </is>
      </c>
      <c r="H3281" s="0" t="inlineStr">
        <is>
          <t>5T</t>
        </is>
      </c>
      <c r="I3281" s="0">
        <v>29.99</v>
      </c>
      <c r="J3281" s="0">
        <v>7</v>
      </c>
    </row>
    <row r="3282" spans="1:10" customHeight="0">
      <c r="A3282" s="0">
        <f>HYPERLINK("https://dl.dropboxusercontent.com/scl/fi/gza5flo8gqo0fus4j65zh/109406-af.jpg?rlkey=mqep6khj6cg5zss2v9q4g3zo2&amp;dl=0","Click to download Image")</f>
      </c>
      <c r="B3282" s="0">
        <f>HYPERLINK("https://dl.dropboxusercontent.com/scl/fi/a22l7ua0u23ramr3f2uhz/graphic-update22022-toddler.jpg?rlkey=8j0jstpdrxxdajk2rbbrjm33t&amp;dl=0","Click to download SizeChart")</f>
      </c>
      <c r="C3282" s="0" t="inlineStr">
        <is>
          <t>Lynn Toddler Overall Dress</t>
        </is>
      </c>
      <c r="D3282" s="0" t="inlineStr">
        <is>
          <t>'109406</t>
        </is>
      </c>
      <c r="E3282" s="0" t="inlineStr">
        <is>
          <t>PURDUE LYNN TDLR:109406A-2T</t>
        </is>
      </c>
      <c r="F3282" s="0" t="inlineStr">
        <is>
          <t>'800109406013</t>
        </is>
      </c>
      <c r="G3282" s="0" t="inlineStr">
        <is>
          <t>TODDLER</t>
        </is>
      </c>
      <c r="H3282" s="0" t="inlineStr">
        <is>
          <t>2T</t>
        </is>
      </c>
      <c r="I3282" s="0">
        <v>29.99</v>
      </c>
      <c r="J3282" s="0">
        <v>3</v>
      </c>
    </row>
    <row r="3283" spans="1:10" customHeight="0">
      <c r="A3283" s="0">
        <f>HYPERLINK("https://dl.dropboxusercontent.com/scl/fi/gza5flo8gqo0fus4j65zh/109406-af.jpg?rlkey=mqep6khj6cg5zss2v9q4g3zo2&amp;dl=0","Click to download Image")</f>
      </c>
      <c r="B3283" s="0">
        <f>HYPERLINK("https://dl.dropboxusercontent.com/scl/fi/a22l7ua0u23ramr3f2uhz/graphic-update22022-toddler.jpg?rlkey=8j0jstpdrxxdajk2rbbrjm33t&amp;dl=0","Click to download SizeChart")</f>
      </c>
      <c r="C3283" s="0" t="inlineStr">
        <is>
          <t>Lynn Toddler Overall Dress</t>
        </is>
      </c>
      <c r="D3283" s="0" t="inlineStr">
        <is>
          <t>'109406</t>
        </is>
      </c>
      <c r="E3283" s="0" t="inlineStr">
        <is>
          <t>PURDUE LYNN TDLR:109406B-3T</t>
        </is>
      </c>
      <c r="F3283" s="0" t="inlineStr">
        <is>
          <t>'800109406020</t>
        </is>
      </c>
      <c r="G3283" s="0" t="inlineStr">
        <is>
          <t>TODDLER</t>
        </is>
      </c>
      <c r="H3283" s="0" t="inlineStr">
        <is>
          <t>3T</t>
        </is>
      </c>
      <c r="I3283" s="0">
        <v>29.99</v>
      </c>
      <c r="J3283" s="0">
        <v>8</v>
      </c>
    </row>
    <row r="3284" spans="1:10" customHeight="0">
      <c r="A3284" s="0">
        <f>HYPERLINK("https://dl.dropboxusercontent.com/scl/fi/gza5flo8gqo0fus4j65zh/109406-af.jpg?rlkey=mqep6khj6cg5zss2v9q4g3zo2&amp;dl=0","Click to download Image")</f>
      </c>
      <c r="B3284" s="0">
        <f>HYPERLINK("https://dl.dropboxusercontent.com/scl/fi/a22l7ua0u23ramr3f2uhz/graphic-update22022-toddler.jpg?rlkey=8j0jstpdrxxdajk2rbbrjm33t&amp;dl=0","Click to download SizeChart")</f>
      </c>
      <c r="C3284" s="0" t="inlineStr">
        <is>
          <t>Lynn Toddler Overall Dress</t>
        </is>
      </c>
      <c r="D3284" s="0" t="inlineStr">
        <is>
          <t>'109406</t>
        </is>
      </c>
      <c r="E3284" s="0" t="inlineStr">
        <is>
          <t>PURDUE LYNN TDLR:109406C-4T</t>
        </is>
      </c>
      <c r="F3284" s="0" t="inlineStr">
        <is>
          <t>'800109406037</t>
        </is>
      </c>
      <c r="G3284" s="0" t="inlineStr">
        <is>
          <t>TODDLER</t>
        </is>
      </c>
      <c r="H3284" s="0" t="inlineStr">
        <is>
          <t>4T</t>
        </is>
      </c>
      <c r="I3284" s="0">
        <v>29.99</v>
      </c>
      <c r="J3284" s="0">
        <v>1</v>
      </c>
    </row>
    <row r="3285" spans="1:10" customHeight="0">
      <c r="A3285" s="0">
        <f>HYPERLINK("https://dl.dropboxusercontent.com/scl/fi/gza5flo8gqo0fus4j65zh/109406-af.jpg?rlkey=mqep6khj6cg5zss2v9q4g3zo2&amp;dl=0","Click to download Image")</f>
      </c>
      <c r="B3285" s="0">
        <f>HYPERLINK("https://dl.dropboxusercontent.com/scl/fi/a22l7ua0u23ramr3f2uhz/graphic-update22022-toddler.jpg?rlkey=8j0jstpdrxxdajk2rbbrjm33t&amp;dl=0","Click to download SizeChart")</f>
      </c>
      <c r="C3285" s="0" t="inlineStr">
        <is>
          <t>Lynn Toddler Overall Dress</t>
        </is>
      </c>
      <c r="D3285" s="0" t="inlineStr">
        <is>
          <t>'109406</t>
        </is>
      </c>
      <c r="E3285" s="0" t="inlineStr">
        <is>
          <t>PURDUE LYNN TDLR:109406D-5T</t>
        </is>
      </c>
      <c r="F3285" s="0" t="inlineStr">
        <is>
          <t>'800109406044</t>
        </is>
      </c>
      <c r="G3285" s="0" t="inlineStr">
        <is>
          <t>TODDLER</t>
        </is>
      </c>
      <c r="H3285" s="0" t="inlineStr">
        <is>
          <t>5T</t>
        </is>
      </c>
      <c r="I3285" s="0">
        <v>29.99</v>
      </c>
      <c r="J3285" s="0">
        <v>6</v>
      </c>
    </row>
    <row r="3286" spans="1:10" customHeight="0">
      <c r="A3286" s="0">
        <f>HYPERLINK("https://dl.dropboxusercontent.com/scl/fi/w6b5ch5bmveooqfq1036y/mae2.jpg?rlkey=4lczlts0nqkafnafci04dm0f8&amp;dl=0","Click to download Image")</f>
      </c>
      <c r="B3286" s="0">
        <f>HYPERLINK("https://dl.dropboxusercontent.com/scl/fi/lnevy0856he8r8ulpg6l3/womens-size-chartsmae.jpg?rlkey=f1t11apw7l5hli5ahs8h2rw7n&amp;dl=0","Click to download SizeChart")</f>
      </c>
      <c r="C3286" s="0" t="inlineStr">
        <is>
          <t>Mae Women's Faux Leather Leggings</t>
        </is>
      </c>
      <c r="D3286" s="0" t="inlineStr">
        <is>
          <t>'111001</t>
        </is>
      </c>
      <c r="E3286" s="0" t="inlineStr">
        <is>
          <t>IOWA MAE:111001AA-XS</t>
        </is>
      </c>
      <c r="F3286" s="0" t="inlineStr">
        <is>
          <t>'800111001008</t>
        </is>
      </c>
      <c r="G3286" s="0" t="inlineStr">
        <is>
          <t>WOMENS</t>
        </is>
      </c>
      <c r="H3286" s="0" t="inlineStr">
        <is>
          <t>XS</t>
        </is>
      </c>
      <c r="I3286" s="0">
        <v>49.99</v>
      </c>
      <c r="J3286" s="0">
        <v>40</v>
      </c>
    </row>
    <row r="3287" spans="1:10" customHeight="0">
      <c r="A3287" s="0">
        <f>HYPERLINK("https://dl.dropboxusercontent.com/scl/fi/w6b5ch5bmveooqfq1036y/mae2.jpg?rlkey=4lczlts0nqkafnafci04dm0f8&amp;dl=0","Click to download Image")</f>
      </c>
      <c r="B3287" s="0">
        <f>HYPERLINK("https://dl.dropboxusercontent.com/scl/fi/lnevy0856he8r8ulpg6l3/womens-size-chartsmae.jpg?rlkey=f1t11apw7l5hli5ahs8h2rw7n&amp;dl=0","Click to download SizeChart")</f>
      </c>
      <c r="C3287" s="0" t="inlineStr">
        <is>
          <t>Mae Women's Faux Leather Leggings</t>
        </is>
      </c>
      <c r="D3287" s="0" t="inlineStr">
        <is>
          <t>'111001</t>
        </is>
      </c>
      <c r="E3287" s="0" t="inlineStr">
        <is>
          <t>IOWA MAE:111001A-S</t>
        </is>
      </c>
      <c r="F3287" s="0" t="inlineStr">
        <is>
          <t>'800111001015</t>
        </is>
      </c>
      <c r="G3287" s="0" t="inlineStr">
        <is>
          <t>WOMENS</t>
        </is>
      </c>
      <c r="H3287" s="0" t="inlineStr">
        <is>
          <t>S</t>
        </is>
      </c>
      <c r="I3287" s="0">
        <v>49.99</v>
      </c>
      <c r="J3287" s="0">
        <v>59</v>
      </c>
    </row>
    <row r="3288" spans="1:10" customHeight="0">
      <c r="A3288" s="0">
        <f>HYPERLINK("https://dl.dropboxusercontent.com/scl/fi/w6b5ch5bmveooqfq1036y/mae2.jpg?rlkey=4lczlts0nqkafnafci04dm0f8&amp;dl=0","Click to download Image")</f>
      </c>
      <c r="B3288" s="0">
        <f>HYPERLINK("https://dl.dropboxusercontent.com/scl/fi/lnevy0856he8r8ulpg6l3/womens-size-chartsmae.jpg?rlkey=f1t11apw7l5hli5ahs8h2rw7n&amp;dl=0","Click to download SizeChart")</f>
      </c>
      <c r="C3288" s="0" t="inlineStr">
        <is>
          <t>Mae Women's Faux Leather Leggings</t>
        </is>
      </c>
      <c r="D3288" s="0" t="inlineStr">
        <is>
          <t>'111001</t>
        </is>
      </c>
      <c r="E3288" s="0" t="inlineStr">
        <is>
          <t>IOWA MAE:111001B-M</t>
        </is>
      </c>
      <c r="F3288" s="0" t="inlineStr">
        <is>
          <t>'800111001022</t>
        </is>
      </c>
      <c r="G3288" s="0" t="inlineStr">
        <is>
          <t>WOMENS</t>
        </is>
      </c>
      <c r="H3288" s="0" t="inlineStr">
        <is>
          <t>M</t>
        </is>
      </c>
      <c r="I3288" s="0">
        <v>49.99</v>
      </c>
      <c r="J3288" s="0">
        <v>60</v>
      </c>
    </row>
    <row r="3289" spans="1:10" customHeight="0">
      <c r="A3289" s="0">
        <f>HYPERLINK("https://dl.dropboxusercontent.com/scl/fi/w6b5ch5bmveooqfq1036y/mae2.jpg?rlkey=4lczlts0nqkafnafci04dm0f8&amp;dl=0","Click to download Image")</f>
      </c>
      <c r="B3289" s="0">
        <f>HYPERLINK("https://dl.dropboxusercontent.com/scl/fi/lnevy0856he8r8ulpg6l3/womens-size-chartsmae.jpg?rlkey=f1t11apw7l5hli5ahs8h2rw7n&amp;dl=0","Click to download SizeChart")</f>
      </c>
      <c r="C3289" s="0" t="inlineStr">
        <is>
          <t>Mae Women's Faux Leather Leggings</t>
        </is>
      </c>
      <c r="D3289" s="0" t="inlineStr">
        <is>
          <t>'111001</t>
        </is>
      </c>
      <c r="E3289" s="0" t="inlineStr">
        <is>
          <t>IOWA MAE:111001C-L</t>
        </is>
      </c>
      <c r="F3289" s="0" t="inlineStr">
        <is>
          <t>'800111001039</t>
        </is>
      </c>
      <c r="G3289" s="0" t="inlineStr">
        <is>
          <t>WOMENS</t>
        </is>
      </c>
      <c r="H3289" s="0" t="inlineStr">
        <is>
          <t>L</t>
        </is>
      </c>
      <c r="I3289" s="0">
        <v>49.99</v>
      </c>
      <c r="J3289" s="0">
        <v>39</v>
      </c>
    </row>
    <row r="3290" spans="1:10" customHeight="0">
      <c r="A3290" s="0">
        <f>HYPERLINK("https://dl.dropboxusercontent.com/scl/fi/w6b5ch5bmveooqfq1036y/mae2.jpg?rlkey=4lczlts0nqkafnafci04dm0f8&amp;dl=0","Click to download Image")</f>
      </c>
      <c r="B3290" s="0">
        <f>HYPERLINK("https://dl.dropboxusercontent.com/scl/fi/lnevy0856he8r8ulpg6l3/womens-size-chartsmae.jpg?rlkey=f1t11apw7l5hli5ahs8h2rw7n&amp;dl=0","Click to download SizeChart")</f>
      </c>
      <c r="C3290" s="0" t="inlineStr">
        <is>
          <t>Mae Women's Faux Leather Leggings</t>
        </is>
      </c>
      <c r="D3290" s="0" t="inlineStr">
        <is>
          <t>'111001</t>
        </is>
      </c>
      <c r="E3290" s="0" t="inlineStr">
        <is>
          <t>IOWA MAE:111001D-XL</t>
        </is>
      </c>
      <c r="F3290" s="0" t="inlineStr">
        <is>
          <t>'800111001046</t>
        </is>
      </c>
      <c r="G3290" s="0" t="inlineStr">
        <is>
          <t>WOMENS</t>
        </is>
      </c>
      <c r="H3290" s="0" t="inlineStr">
        <is>
          <t>XL</t>
        </is>
      </c>
      <c r="I3290" s="0">
        <v>49.99</v>
      </c>
      <c r="J3290" s="0">
        <v>37</v>
      </c>
    </row>
    <row r="3291" spans="1:10" customHeight="0">
      <c r="A3291" s="0">
        <f>HYPERLINK("https://dl.dropboxusercontent.com/scl/fi/w6b5ch5bmveooqfq1036y/mae2.jpg?rlkey=4lczlts0nqkafnafci04dm0f8&amp;dl=0","Click to download Image")</f>
      </c>
      <c r="B3291" s="0">
        <f>HYPERLINK("https://dl.dropboxusercontent.com/scl/fi/lnevy0856he8r8ulpg6l3/womens-size-chartsmae.jpg?rlkey=f1t11apw7l5hli5ahs8h2rw7n&amp;dl=0","Click to download SizeChart")</f>
      </c>
      <c r="C3291" s="0" t="inlineStr">
        <is>
          <t>Mae Women's Faux Leather Leggings</t>
        </is>
      </c>
      <c r="D3291" s="0" t="inlineStr">
        <is>
          <t>'111001</t>
        </is>
      </c>
      <c r="E3291" s="0" t="inlineStr">
        <is>
          <t>IOWA MAE:111001E-2XL</t>
        </is>
      </c>
      <c r="F3291" s="0" t="inlineStr">
        <is>
          <t>'800111001053</t>
        </is>
      </c>
      <c r="G3291" s="0" t="inlineStr">
        <is>
          <t>WOMENS</t>
        </is>
      </c>
      <c r="H3291" s="0" t="inlineStr">
        <is>
          <t>2XL</t>
        </is>
      </c>
      <c r="I3291" s="0">
        <v>51.99</v>
      </c>
      <c r="J3291" s="0">
        <v>24</v>
      </c>
    </row>
    <row r="3292" spans="1:10" customHeight="0">
      <c r="A3292" s="0">
        <f>HYPERLINK("https://dl.dropboxusercontent.com/scl/fi/w6b5ch5bmveooqfq1036y/mae2.jpg?rlkey=4lczlts0nqkafnafci04dm0f8&amp;dl=0","Click to download Image")</f>
      </c>
      <c r="B3292" s="0">
        <f>HYPERLINK("https://dl.dropboxusercontent.com/scl/fi/lnevy0856he8r8ulpg6l3/womens-size-chartsmae.jpg?rlkey=f1t11apw7l5hli5ahs8h2rw7n&amp;dl=0","Click to download SizeChart")</f>
      </c>
      <c r="C3292" s="0" t="inlineStr">
        <is>
          <t>Mae Women's Faux Leather Leggings</t>
        </is>
      </c>
      <c r="D3292" s="0" t="inlineStr">
        <is>
          <t>'111001</t>
        </is>
      </c>
      <c r="E3292" s="0" t="inlineStr">
        <is>
          <t>IOWA MAE:111001F-3XL</t>
        </is>
      </c>
      <c r="F3292" s="0" t="inlineStr">
        <is>
          <t>'800111001060</t>
        </is>
      </c>
      <c r="G3292" s="0" t="inlineStr">
        <is>
          <t>WOMENS</t>
        </is>
      </c>
      <c r="H3292" s="0" t="inlineStr">
        <is>
          <t>3XL</t>
        </is>
      </c>
      <c r="I3292" s="0">
        <v>51.99</v>
      </c>
      <c r="J3292" s="0">
        <v>24</v>
      </c>
    </row>
    <row r="3293" spans="1:10" customHeight="0">
      <c r="A3293" s="0">
        <f>HYPERLINK("https://dl.dropboxusercontent.com/scl/fi/w6b5ch5bmveooqfq1036y/mae2.jpg?rlkey=4lczlts0nqkafnafci04dm0f8&amp;dl=0","Click to download Image")</f>
      </c>
      <c r="B3293" s="0">
        <f>HYPERLINK("https://dl.dropboxusercontent.com/scl/fi/lnevy0856he8r8ulpg6l3/womens-size-chartsmae.jpg?rlkey=f1t11apw7l5hli5ahs8h2rw7n&amp;dl=0","Click to download SizeChart")</f>
      </c>
      <c r="C3293" s="0" t="inlineStr">
        <is>
          <t>Mae Women's Faux Leather Leggings</t>
        </is>
      </c>
      <c r="D3293" s="0" t="inlineStr">
        <is>
          <t>'111001</t>
        </is>
      </c>
      <c r="E3293" s="0" t="inlineStr">
        <is>
          <t>IOWA MAE 12 PACK:111001Z-12PK</t>
        </is>
      </c>
      <c r="F3293" s="0" t="inlineStr">
        <is>
          <t>'800111001992</t>
        </is>
      </c>
      <c r="G3293" s="0" t="inlineStr">
        <is>
          <t>WOMENS</t>
        </is>
      </c>
      <c r="H3293" s="0" t="inlineStr">
        <is>
          <t>12 PACK</t>
        </is>
      </c>
      <c r="I3293" s="0">
        <v>480</v>
      </c>
      <c r="J3293" s="0">
        <v>0</v>
      </c>
    </row>
    <row r="3294" spans="1:10" customHeight="0">
      <c r="A3294" s="0">
        <f>HYPERLINK("https://dl.dropboxusercontent.com/scl/fi/aoxnk2ki5jo9a83yrshdj/final-dsc1966.jpg?rlkey=hjgm2qi1kvxc492p3v4hghtxh&amp;dl=0","Click to download Image")</f>
      </c>
      <c r="B3294" s="0">
        <f>HYPERLINK("https://dl.dropboxusercontent.com/scl/fi/f3eni9qi47npz3wkojbzz/womens-t-shirt-size-chartsmarilynn-bamboo.jpg?rlkey=rlvz88foftdymj3z8rxip95p0&amp;dl=0","Click to download SizeChart")</f>
      </c>
      <c r="C3294" s="0" t="inlineStr">
        <is>
          <t>Marilynn Women's Bamboo T-Shirt</t>
        </is>
      </c>
      <c r="D3294" s="0" t="inlineStr">
        <is>
          <t>'107154</t>
        </is>
      </c>
      <c r="E3294" s="0" t="inlineStr">
        <is>
          <t>IA IA IA MARILYNN:107154A-S</t>
        </is>
      </c>
      <c r="F3294" s="0" t="inlineStr">
        <is>
          <t>'800107154015</t>
        </is>
      </c>
      <c r="G3294" s="0" t="inlineStr">
        <is>
          <t>WOMENS</t>
        </is>
      </c>
      <c r="H3294" s="0" t="inlineStr">
        <is>
          <t>S</t>
        </is>
      </c>
      <c r="I3294" s="0">
        <v>29.99</v>
      </c>
      <c r="J3294" s="0">
        <v>4</v>
      </c>
    </row>
    <row r="3295" spans="1:10" customHeight="0">
      <c r="A3295" s="0">
        <f>HYPERLINK("https://dl.dropboxusercontent.com/scl/fi/aoxnk2ki5jo9a83yrshdj/final-dsc1966.jpg?rlkey=hjgm2qi1kvxc492p3v4hghtxh&amp;dl=0","Click to download Image")</f>
      </c>
      <c r="B3295" s="0">
        <f>HYPERLINK("https://dl.dropboxusercontent.com/scl/fi/f3eni9qi47npz3wkojbzz/womens-t-shirt-size-chartsmarilynn-bamboo.jpg?rlkey=rlvz88foftdymj3z8rxip95p0&amp;dl=0","Click to download SizeChart")</f>
      </c>
      <c r="C3295" s="0" t="inlineStr">
        <is>
          <t>Marilynn Women's Bamboo T-Shirt</t>
        </is>
      </c>
      <c r="D3295" s="0" t="inlineStr">
        <is>
          <t>'107154</t>
        </is>
      </c>
      <c r="E3295" s="0" t="inlineStr">
        <is>
          <t>IA MARILYNN:107154B-M</t>
        </is>
      </c>
      <c r="F3295" s="0" t="inlineStr">
        <is>
          <t>'800107154022</t>
        </is>
      </c>
      <c r="G3295" s="0" t="inlineStr">
        <is>
          <t>WOMENS</t>
        </is>
      </c>
      <c r="H3295" s="0" t="inlineStr">
        <is>
          <t>M</t>
        </is>
      </c>
      <c r="I3295" s="0">
        <v>29.99</v>
      </c>
      <c r="J3295" s="0">
        <v>43</v>
      </c>
    </row>
    <row r="3296" spans="1:10" customHeight="0">
      <c r="A3296" s="0">
        <f>HYPERLINK("https://dl.dropboxusercontent.com/scl/fi/aoxnk2ki5jo9a83yrshdj/final-dsc1966.jpg?rlkey=hjgm2qi1kvxc492p3v4hghtxh&amp;dl=0","Click to download Image")</f>
      </c>
      <c r="B3296" s="0">
        <f>HYPERLINK("https://dl.dropboxusercontent.com/scl/fi/f3eni9qi47npz3wkojbzz/womens-t-shirt-size-chartsmarilynn-bamboo.jpg?rlkey=rlvz88foftdymj3z8rxip95p0&amp;dl=0","Click to download SizeChart")</f>
      </c>
      <c r="C3296" s="0" t="inlineStr">
        <is>
          <t>Marilynn Women's Bamboo T-Shirt</t>
        </is>
      </c>
      <c r="D3296" s="0" t="inlineStr">
        <is>
          <t>'107154</t>
        </is>
      </c>
      <c r="E3296" s="0" t="inlineStr">
        <is>
          <t>IA MARILYNN:107154C-L</t>
        </is>
      </c>
      <c r="F3296" s="0" t="inlineStr">
        <is>
          <t>'800107154039</t>
        </is>
      </c>
      <c r="G3296" s="0" t="inlineStr">
        <is>
          <t>WOMENS</t>
        </is>
      </c>
      <c r="H3296" s="0" t="inlineStr">
        <is>
          <t>L</t>
        </is>
      </c>
      <c r="I3296" s="0">
        <v>29.99</v>
      </c>
      <c r="J3296" s="0">
        <v>36</v>
      </c>
    </row>
    <row r="3297" spans="1:10" customHeight="0">
      <c r="A3297" s="0">
        <f>HYPERLINK("https://dl.dropboxusercontent.com/scl/fi/aoxnk2ki5jo9a83yrshdj/final-dsc1966.jpg?rlkey=hjgm2qi1kvxc492p3v4hghtxh&amp;dl=0","Click to download Image")</f>
      </c>
      <c r="B3297" s="0">
        <f>HYPERLINK("https://dl.dropboxusercontent.com/scl/fi/f3eni9qi47npz3wkojbzz/womens-t-shirt-size-chartsmarilynn-bamboo.jpg?rlkey=rlvz88foftdymj3z8rxip95p0&amp;dl=0","Click to download SizeChart")</f>
      </c>
      <c r="C3297" s="0" t="inlineStr">
        <is>
          <t>Marilynn Women's Bamboo T-Shirt</t>
        </is>
      </c>
      <c r="D3297" s="0" t="inlineStr">
        <is>
          <t>'107154</t>
        </is>
      </c>
      <c r="E3297" s="0" t="inlineStr">
        <is>
          <t>IA MARILYNN:107154D-XL</t>
        </is>
      </c>
      <c r="F3297" s="0" t="inlineStr">
        <is>
          <t>'800107154046</t>
        </is>
      </c>
      <c r="G3297" s="0" t="inlineStr">
        <is>
          <t>WOMENS</t>
        </is>
      </c>
      <c r="H3297" s="0" t="inlineStr">
        <is>
          <t>XL</t>
        </is>
      </c>
      <c r="I3297" s="0">
        <v>29.99</v>
      </c>
      <c r="J3297" s="0">
        <v>0</v>
      </c>
    </row>
    <row r="3298" spans="1:10" customHeight="0">
      <c r="A3298" s="0">
        <f>HYPERLINK("https://dl.dropboxusercontent.com/scl/fi/aoxnk2ki5jo9a83yrshdj/final-dsc1966.jpg?rlkey=hjgm2qi1kvxc492p3v4hghtxh&amp;dl=0","Click to download Image")</f>
      </c>
      <c r="B3298" s="0">
        <f>HYPERLINK("https://dl.dropboxusercontent.com/scl/fi/f3eni9qi47npz3wkojbzz/womens-t-shirt-size-chartsmarilynn-bamboo.jpg?rlkey=rlvz88foftdymj3z8rxip95p0&amp;dl=0","Click to download SizeChart")</f>
      </c>
      <c r="C3298" s="0" t="inlineStr">
        <is>
          <t>Marilynn Women's Bamboo T-Shirt</t>
        </is>
      </c>
      <c r="D3298" s="0" t="inlineStr">
        <is>
          <t>'107154</t>
        </is>
      </c>
      <c r="E3298" s="0" t="inlineStr">
        <is>
          <t>IA MARILYNN:107154E-2XL</t>
        </is>
      </c>
      <c r="F3298" s="0" t="inlineStr">
        <is>
          <t>'800107154053</t>
        </is>
      </c>
      <c r="G3298" s="0" t="inlineStr">
        <is>
          <t>WOMENS</t>
        </is>
      </c>
      <c r="H3298" s="0" t="inlineStr">
        <is>
          <t>2XL</t>
        </is>
      </c>
      <c r="I3298" s="0">
        <v>31.99</v>
      </c>
      <c r="J3298" s="0">
        <v>0</v>
      </c>
    </row>
    <row r="3299" spans="1:10" customHeight="0">
      <c r="A3299" s="0">
        <f>HYPERLINK("https://dl.dropboxusercontent.com/scl/fi/aoxnk2ki5jo9a83yrshdj/final-dsc1966.jpg?rlkey=hjgm2qi1kvxc492p3v4hghtxh&amp;dl=0","Click to download Image")</f>
      </c>
      <c r="B3299" s="0">
        <f>HYPERLINK("https://dl.dropboxusercontent.com/scl/fi/f3eni9qi47npz3wkojbzz/womens-t-shirt-size-chartsmarilynn-bamboo.jpg?rlkey=rlvz88foftdymj3z8rxip95p0&amp;dl=0","Click to download SizeChart")</f>
      </c>
      <c r="C3299" s="0" t="inlineStr">
        <is>
          <t>Marilynn Women's Bamboo T-Shirt</t>
        </is>
      </c>
      <c r="D3299" s="0" t="inlineStr">
        <is>
          <t>'107154</t>
        </is>
      </c>
      <c r="E3299" s="0" t="inlineStr">
        <is>
          <t>IA MARILYNN:107154F-3XL</t>
        </is>
      </c>
      <c r="F3299" s="0" t="inlineStr">
        <is>
          <t>'800107154060</t>
        </is>
      </c>
      <c r="G3299" s="0" t="inlineStr">
        <is>
          <t>WOMENS</t>
        </is>
      </c>
      <c r="H3299" s="0" t="inlineStr">
        <is>
          <t>3XL</t>
        </is>
      </c>
      <c r="I3299" s="0">
        <v>31.99</v>
      </c>
      <c r="J3299" s="0">
        <v>0</v>
      </c>
    </row>
    <row r="3300" spans="1:10" customHeight="0">
      <c r="A3300" s="0">
        <f>HYPERLINK("https://dl.dropboxusercontent.com/scl/fi/srtv0ku6feder674ptdhv/108936-f.jpg?rlkey=zke7fub4aflk8ut2caswwc4fg&amp;dl=0","Click to download Image")</f>
      </c>
      <c r="B3300" s="0">
        <f>HYPERLINK("https://dl.dropboxusercontent.com/scl/fi/f3eni9qi47npz3wkojbzz/womens-t-shirt-size-chartsmarilynn-bamboo.jpg?rlkey=rlvz88foftdymj3z8rxip95p0&amp;dl=0","Click to download SizeChart")</f>
      </c>
      <c r="C3300" s="0" t="inlineStr">
        <is>
          <t>Marilynn Women's Bamboo T-Shirt</t>
        </is>
      </c>
      <c r="D3300" s="0" t="inlineStr">
        <is>
          <t>'108936</t>
        </is>
      </c>
      <c r="E3300" s="0" t="inlineStr">
        <is>
          <t>UNI MARILYNN:108936A-S</t>
        </is>
      </c>
      <c r="F3300" s="0" t="inlineStr">
        <is>
          <t>'800108936016</t>
        </is>
      </c>
      <c r="G3300" s="0" t="inlineStr">
        <is>
          <t>WOMENS</t>
        </is>
      </c>
      <c r="H3300" s="0" t="inlineStr">
        <is>
          <t>S</t>
        </is>
      </c>
      <c r="I3300" s="0">
        <v>29.99</v>
      </c>
      <c r="J3300" s="0">
        <v>2</v>
      </c>
    </row>
    <row r="3301" spans="1:10" customHeight="0">
      <c r="A3301" s="0">
        <f>HYPERLINK("https://dl.dropboxusercontent.com/scl/fi/srtv0ku6feder674ptdhv/108936-f.jpg?rlkey=zke7fub4aflk8ut2caswwc4fg&amp;dl=0","Click to download Image")</f>
      </c>
      <c r="B3301" s="0">
        <f>HYPERLINK("https://dl.dropboxusercontent.com/scl/fi/f3eni9qi47npz3wkojbzz/womens-t-shirt-size-chartsmarilynn-bamboo.jpg?rlkey=rlvz88foftdymj3z8rxip95p0&amp;dl=0","Click to download SizeChart")</f>
      </c>
      <c r="C3301" s="0" t="inlineStr">
        <is>
          <t>Marilynn Women's Bamboo T-Shirt</t>
        </is>
      </c>
      <c r="D3301" s="0" t="inlineStr">
        <is>
          <t>'108936</t>
        </is>
      </c>
      <c r="E3301" s="0" t="inlineStr">
        <is>
          <t>UNI MARILYNN:108936B-M</t>
        </is>
      </c>
      <c r="F3301" s="0" t="inlineStr">
        <is>
          <t>'800108936023</t>
        </is>
      </c>
      <c r="G3301" s="0" t="inlineStr">
        <is>
          <t>WOMENS</t>
        </is>
      </c>
      <c r="H3301" s="0" t="inlineStr">
        <is>
          <t>M</t>
        </is>
      </c>
      <c r="I3301" s="0">
        <v>29.99</v>
      </c>
      <c r="J3301" s="0">
        <v>9</v>
      </c>
    </row>
    <row r="3302" spans="1:10" customHeight="0">
      <c r="A3302" s="0">
        <f>HYPERLINK("https://dl.dropboxusercontent.com/scl/fi/srtv0ku6feder674ptdhv/108936-f.jpg?rlkey=zke7fub4aflk8ut2caswwc4fg&amp;dl=0","Click to download Image")</f>
      </c>
      <c r="B3302" s="0">
        <f>HYPERLINK("https://dl.dropboxusercontent.com/scl/fi/f3eni9qi47npz3wkojbzz/womens-t-shirt-size-chartsmarilynn-bamboo.jpg?rlkey=rlvz88foftdymj3z8rxip95p0&amp;dl=0","Click to download SizeChart")</f>
      </c>
      <c r="C3302" s="0" t="inlineStr">
        <is>
          <t>Marilynn Women's Bamboo T-Shirt</t>
        </is>
      </c>
      <c r="D3302" s="0" t="inlineStr">
        <is>
          <t>'108936</t>
        </is>
      </c>
      <c r="E3302" s="0" t="inlineStr">
        <is>
          <t>UNI MARILYNN:108936C-L</t>
        </is>
      </c>
      <c r="F3302" s="0" t="inlineStr">
        <is>
          <t>'800108936030</t>
        </is>
      </c>
      <c r="G3302" s="0" t="inlineStr">
        <is>
          <t>WOMENS</t>
        </is>
      </c>
      <c r="H3302" s="0" t="inlineStr">
        <is>
          <t>L</t>
        </is>
      </c>
      <c r="I3302" s="0">
        <v>29.99</v>
      </c>
      <c r="J3302" s="0">
        <v>9</v>
      </c>
    </row>
    <row r="3303" spans="1:10" customHeight="0">
      <c r="A3303" s="0">
        <f>HYPERLINK("https://dl.dropboxusercontent.com/scl/fi/srtv0ku6feder674ptdhv/108936-f.jpg?rlkey=zke7fub4aflk8ut2caswwc4fg&amp;dl=0","Click to download Image")</f>
      </c>
      <c r="B3303" s="0">
        <f>HYPERLINK("https://dl.dropboxusercontent.com/scl/fi/f3eni9qi47npz3wkojbzz/womens-t-shirt-size-chartsmarilynn-bamboo.jpg?rlkey=rlvz88foftdymj3z8rxip95p0&amp;dl=0","Click to download SizeChart")</f>
      </c>
      <c r="C3303" s="0" t="inlineStr">
        <is>
          <t>Marilynn Women's Bamboo T-Shirt</t>
        </is>
      </c>
      <c r="D3303" s="0" t="inlineStr">
        <is>
          <t>'108936</t>
        </is>
      </c>
      <c r="E3303" s="0" t="inlineStr">
        <is>
          <t>UNI MARILYNN:108936D-XL</t>
        </is>
      </c>
      <c r="F3303" s="0" t="inlineStr">
        <is>
          <t>'800108936047</t>
        </is>
      </c>
      <c r="G3303" s="0" t="inlineStr">
        <is>
          <t>WOMENS</t>
        </is>
      </c>
      <c r="H3303" s="0" t="inlineStr">
        <is>
          <t>XL</t>
        </is>
      </c>
      <c r="I3303" s="0">
        <v>29.99</v>
      </c>
      <c r="J3303" s="0">
        <v>9</v>
      </c>
    </row>
    <row r="3304" spans="1:10" customHeight="0">
      <c r="A3304" s="0">
        <f>HYPERLINK("https://dl.dropboxusercontent.com/scl/fi/srtv0ku6feder674ptdhv/108936-f.jpg?rlkey=zke7fub4aflk8ut2caswwc4fg&amp;dl=0","Click to download Image")</f>
      </c>
      <c r="B3304" s="0">
        <f>HYPERLINK("https://dl.dropboxusercontent.com/scl/fi/f3eni9qi47npz3wkojbzz/womens-t-shirt-size-chartsmarilynn-bamboo.jpg?rlkey=rlvz88foftdymj3z8rxip95p0&amp;dl=0","Click to download SizeChart")</f>
      </c>
      <c r="C3304" s="0" t="inlineStr">
        <is>
          <t>Marilynn Women's Bamboo T-Shirt</t>
        </is>
      </c>
      <c r="D3304" s="0" t="inlineStr">
        <is>
          <t>'108936</t>
        </is>
      </c>
      <c r="E3304" s="0" t="inlineStr">
        <is>
          <t>UNI MARILYNN:108936E-2XL</t>
        </is>
      </c>
      <c r="F3304" s="0" t="inlineStr">
        <is>
          <t>'800108936054</t>
        </is>
      </c>
      <c r="G3304" s="0" t="inlineStr">
        <is>
          <t>WOMENS</t>
        </is>
      </c>
      <c r="H3304" s="0" t="inlineStr">
        <is>
          <t>2XL</t>
        </is>
      </c>
      <c r="I3304" s="0">
        <v>31.99</v>
      </c>
      <c r="J3304" s="0">
        <v>2</v>
      </c>
    </row>
    <row r="3305" spans="1:10" customHeight="0">
      <c r="A3305" s="0">
        <f>HYPERLINK("https://dl.dropboxusercontent.com/scl/fi/srtv0ku6feder674ptdhv/108936-f.jpg?rlkey=zke7fub4aflk8ut2caswwc4fg&amp;dl=0","Click to download Image")</f>
      </c>
      <c r="B3305" s="0">
        <f>HYPERLINK("https://dl.dropboxusercontent.com/scl/fi/f3eni9qi47npz3wkojbzz/womens-t-shirt-size-chartsmarilynn-bamboo.jpg?rlkey=rlvz88foftdymj3z8rxip95p0&amp;dl=0","Click to download SizeChart")</f>
      </c>
      <c r="C3305" s="0" t="inlineStr">
        <is>
          <t>Marilynn Women's Bamboo T-Shirt</t>
        </is>
      </c>
      <c r="D3305" s="0" t="inlineStr">
        <is>
          <t>'108936</t>
        </is>
      </c>
      <c r="E3305" s="0" t="inlineStr">
        <is>
          <t>UNI MARILYNN:108936F-3XL</t>
        </is>
      </c>
      <c r="F3305" s="0" t="inlineStr">
        <is>
          <t>'800108936061</t>
        </is>
      </c>
      <c r="G3305" s="0" t="inlineStr">
        <is>
          <t>WOMENS</t>
        </is>
      </c>
      <c r="H3305" s="0" t="inlineStr">
        <is>
          <t>3XL</t>
        </is>
      </c>
      <c r="I3305" s="0">
        <v>31.99</v>
      </c>
      <c r="J3305" s="0">
        <v>2</v>
      </c>
    </row>
    <row r="3306" spans="1:10" customHeight="0">
      <c r="A3306" s="0">
        <f>HYPERLINK("https://dl.dropboxusercontent.com/scl/fi/6eqddnrpgbfzi1o5tyopw/drake-grey-marilynn-01.jpg?rlkey=m9ddgcrt31bsjgm8coxwn6bho&amp;dl=0","Click to download Image")</f>
      </c>
      <c r="B3306" s="0">
        <f>HYPERLINK("https://dl.dropboxusercontent.com/scl/fi/f3eni9qi47npz3wkojbzz/womens-t-shirt-size-chartsmarilynn-bamboo.jpg?rlkey=rlvz88foftdymj3z8rxip95p0&amp;dl=0","Click to download SizeChart")</f>
      </c>
      <c r="C3306" s="0" t="inlineStr">
        <is>
          <t>Marilynn Women's Bamboo T-Shirt</t>
        </is>
      </c>
      <c r="D3306" s="0" t="inlineStr">
        <is>
          <t>'130795</t>
        </is>
      </c>
      <c r="E3306" s="0" t="inlineStr">
        <is>
          <t>DRK MARILY W GY:130795A-S</t>
        </is>
      </c>
      <c r="F3306" s="0" t="inlineStr">
        <is>
          <t>'817130795047</t>
        </is>
      </c>
      <c r="G3306" s="0" t="inlineStr">
        <is>
          <t>WOMENS</t>
        </is>
      </c>
      <c r="H3306" s="0" t="inlineStr">
        <is>
          <t>S</t>
        </is>
      </c>
      <c r="I3306" s="0">
        <v>29.99</v>
      </c>
      <c r="J3306" s="0">
        <v>7</v>
      </c>
    </row>
    <row r="3307" spans="1:10" customHeight="0">
      <c r="A3307" s="0">
        <f>HYPERLINK("https://dl.dropboxusercontent.com/scl/fi/6eqddnrpgbfzi1o5tyopw/drake-grey-marilynn-01.jpg?rlkey=m9ddgcrt31bsjgm8coxwn6bho&amp;dl=0","Click to download Image")</f>
      </c>
      <c r="B3307" s="0">
        <f>HYPERLINK("https://dl.dropboxusercontent.com/scl/fi/f3eni9qi47npz3wkojbzz/womens-t-shirt-size-chartsmarilynn-bamboo.jpg?rlkey=rlvz88foftdymj3z8rxip95p0&amp;dl=0","Click to download SizeChart")</f>
      </c>
      <c r="C3307" s="0" t="inlineStr">
        <is>
          <t>Marilynn Women's Bamboo T-Shirt</t>
        </is>
      </c>
      <c r="D3307" s="0" t="inlineStr">
        <is>
          <t>'130795</t>
        </is>
      </c>
      <c r="E3307" s="0" t="inlineStr">
        <is>
          <t>DRK MARILY W GY:130795B-M</t>
        </is>
      </c>
      <c r="F3307" s="0" t="inlineStr">
        <is>
          <t>'817130795054</t>
        </is>
      </c>
      <c r="G3307" s="0" t="inlineStr">
        <is>
          <t>WOMENS</t>
        </is>
      </c>
      <c r="H3307" s="0" t="inlineStr">
        <is>
          <t>M</t>
        </is>
      </c>
      <c r="I3307" s="0">
        <v>29.99</v>
      </c>
      <c r="J3307" s="0">
        <v>14</v>
      </c>
    </row>
    <row r="3308" spans="1:10" customHeight="0">
      <c r="A3308" s="0">
        <f>HYPERLINK("https://dl.dropboxusercontent.com/scl/fi/6eqddnrpgbfzi1o5tyopw/drake-grey-marilynn-01.jpg?rlkey=m9ddgcrt31bsjgm8coxwn6bho&amp;dl=0","Click to download Image")</f>
      </c>
      <c r="B3308" s="0">
        <f>HYPERLINK("https://dl.dropboxusercontent.com/scl/fi/f3eni9qi47npz3wkojbzz/womens-t-shirt-size-chartsmarilynn-bamboo.jpg?rlkey=rlvz88foftdymj3z8rxip95p0&amp;dl=0","Click to download SizeChart")</f>
      </c>
      <c r="C3308" s="0" t="inlineStr">
        <is>
          <t>Marilynn Women's Bamboo T-Shirt</t>
        </is>
      </c>
      <c r="D3308" s="0" t="inlineStr">
        <is>
          <t>'130795</t>
        </is>
      </c>
      <c r="E3308" s="0" t="inlineStr">
        <is>
          <t>DRK MARILY W GY:130795C-L</t>
        </is>
      </c>
      <c r="F3308" s="0" t="inlineStr">
        <is>
          <t>'817130795061</t>
        </is>
      </c>
      <c r="G3308" s="0" t="inlineStr">
        <is>
          <t>WOMENS</t>
        </is>
      </c>
      <c r="H3308" s="0" t="inlineStr">
        <is>
          <t>L</t>
        </is>
      </c>
      <c r="I3308" s="0">
        <v>29.99</v>
      </c>
      <c r="J3308" s="0">
        <v>5</v>
      </c>
    </row>
    <row r="3309" spans="1:10" customHeight="0">
      <c r="A3309" s="0">
        <f>HYPERLINK("https://dl.dropboxusercontent.com/scl/fi/6eqddnrpgbfzi1o5tyopw/drake-grey-marilynn-01.jpg?rlkey=m9ddgcrt31bsjgm8coxwn6bho&amp;dl=0","Click to download Image")</f>
      </c>
      <c r="B3309" s="0">
        <f>HYPERLINK("https://dl.dropboxusercontent.com/scl/fi/f3eni9qi47npz3wkojbzz/womens-t-shirt-size-chartsmarilynn-bamboo.jpg?rlkey=rlvz88foftdymj3z8rxip95p0&amp;dl=0","Click to download SizeChart")</f>
      </c>
      <c r="C3309" s="0" t="inlineStr">
        <is>
          <t>Marilynn Women's Bamboo T-Shirt</t>
        </is>
      </c>
      <c r="D3309" s="0" t="inlineStr">
        <is>
          <t>'130795</t>
        </is>
      </c>
      <c r="E3309" s="0" t="inlineStr">
        <is>
          <t>DRK MARILY W GY:130795D-XL</t>
        </is>
      </c>
      <c r="F3309" s="0" t="inlineStr">
        <is>
          <t>'817130795078</t>
        </is>
      </c>
      <c r="G3309" s="0" t="inlineStr">
        <is>
          <t>WOMENS</t>
        </is>
      </c>
      <c r="H3309" s="0" t="inlineStr">
        <is>
          <t>XL</t>
        </is>
      </c>
      <c r="I3309" s="0">
        <v>29.99</v>
      </c>
      <c r="J3309" s="0">
        <v>5</v>
      </c>
    </row>
    <row r="3310" spans="1:10" customHeight="0">
      <c r="A3310" s="0">
        <f>HYPERLINK("https://dl.dropboxusercontent.com/scl/fi/7c3eb1klu5r6lx7s32nui/108941f.jpg?rlkey=if4muc7ws2f7u7e6qpjpbicyh&amp;dl=0","Click to download Image")</f>
      </c>
      <c r="B3310" s="0">
        <f>HYPERLINK("https://dl.dropboxusercontent.com/scl/fi/f3eni9qi47npz3wkojbzz/womens-t-shirt-size-chartsmarilynn-bamboo.jpg?rlkey=rlvz88foftdymj3z8rxip95p0&amp;dl=0","Click to download SizeChart")</f>
      </c>
      <c r="C3310" s="0" t="inlineStr">
        <is>
          <t>Marilynn Women's Bamboo T-Shirt</t>
        </is>
      </c>
      <c r="D3310" s="0" t="inlineStr">
        <is>
          <t>'108941</t>
        </is>
      </c>
      <c r="E3310" s="0" t="inlineStr">
        <is>
          <t>PURDUE MARILYNN:108941A-S</t>
        </is>
      </c>
      <c r="F3310" s="0" t="inlineStr">
        <is>
          <t>'800108941010</t>
        </is>
      </c>
      <c r="G3310" s="0" t="inlineStr">
        <is>
          <t>WOMENS</t>
        </is>
      </c>
      <c r="H3310" s="0" t="inlineStr">
        <is>
          <t>S</t>
        </is>
      </c>
      <c r="I3310" s="0">
        <v>29.99</v>
      </c>
      <c r="J3310" s="0">
        <v>6</v>
      </c>
    </row>
    <row r="3311" spans="1:10" customHeight="0">
      <c r="A3311" s="0">
        <f>HYPERLINK("https://dl.dropboxusercontent.com/scl/fi/7c3eb1klu5r6lx7s32nui/108941f.jpg?rlkey=if4muc7ws2f7u7e6qpjpbicyh&amp;dl=0","Click to download Image")</f>
      </c>
      <c r="B3311" s="0">
        <f>HYPERLINK("https://dl.dropboxusercontent.com/scl/fi/f3eni9qi47npz3wkojbzz/womens-t-shirt-size-chartsmarilynn-bamboo.jpg?rlkey=rlvz88foftdymj3z8rxip95p0&amp;dl=0","Click to download SizeChart")</f>
      </c>
      <c r="C3311" s="0" t="inlineStr">
        <is>
          <t>Marilynn Women's Bamboo T-Shirt</t>
        </is>
      </c>
      <c r="D3311" s="0" t="inlineStr">
        <is>
          <t>'108941</t>
        </is>
      </c>
      <c r="E3311" s="0" t="inlineStr">
        <is>
          <t>PURDUE MARILYNN:108941B-M</t>
        </is>
      </c>
      <c r="F3311" s="0" t="inlineStr">
        <is>
          <t>'800108941027</t>
        </is>
      </c>
      <c r="G3311" s="0" t="inlineStr">
        <is>
          <t>WOMENS</t>
        </is>
      </c>
      <c r="H3311" s="0" t="inlineStr">
        <is>
          <t>M</t>
        </is>
      </c>
      <c r="I3311" s="0">
        <v>29.99</v>
      </c>
      <c r="J3311" s="0">
        <v>12</v>
      </c>
    </row>
    <row r="3312" spans="1:10" customHeight="0">
      <c r="A3312" s="0">
        <f>HYPERLINK("https://dl.dropboxusercontent.com/scl/fi/7c3eb1klu5r6lx7s32nui/108941f.jpg?rlkey=if4muc7ws2f7u7e6qpjpbicyh&amp;dl=0","Click to download Image")</f>
      </c>
      <c r="B3312" s="0">
        <f>HYPERLINK("https://dl.dropboxusercontent.com/scl/fi/f3eni9qi47npz3wkojbzz/womens-t-shirt-size-chartsmarilynn-bamboo.jpg?rlkey=rlvz88foftdymj3z8rxip95p0&amp;dl=0","Click to download SizeChart")</f>
      </c>
      <c r="C3312" s="0" t="inlineStr">
        <is>
          <t>Marilynn Women's Bamboo T-Shirt</t>
        </is>
      </c>
      <c r="D3312" s="0" t="inlineStr">
        <is>
          <t>'108941</t>
        </is>
      </c>
      <c r="E3312" s="0" t="inlineStr">
        <is>
          <t>PURDUE MARILYNN:108941C-L</t>
        </is>
      </c>
      <c r="F3312" s="0" t="inlineStr">
        <is>
          <t>'800108941034</t>
        </is>
      </c>
      <c r="G3312" s="0" t="inlineStr">
        <is>
          <t>WOMENS</t>
        </is>
      </c>
      <c r="H3312" s="0" t="inlineStr">
        <is>
          <t>L</t>
        </is>
      </c>
      <c r="I3312" s="0">
        <v>29.99</v>
      </c>
      <c r="J3312" s="0">
        <v>15</v>
      </c>
    </row>
    <row r="3313" spans="1:10" customHeight="0">
      <c r="A3313" s="0">
        <f>HYPERLINK("https://dl.dropboxusercontent.com/scl/fi/7c3eb1klu5r6lx7s32nui/108941f.jpg?rlkey=if4muc7ws2f7u7e6qpjpbicyh&amp;dl=0","Click to download Image")</f>
      </c>
      <c r="B3313" s="0">
        <f>HYPERLINK("https://dl.dropboxusercontent.com/scl/fi/f3eni9qi47npz3wkojbzz/womens-t-shirt-size-chartsmarilynn-bamboo.jpg?rlkey=rlvz88foftdymj3z8rxip95p0&amp;dl=0","Click to download SizeChart")</f>
      </c>
      <c r="C3313" s="0" t="inlineStr">
        <is>
          <t>Marilynn Women's Bamboo T-Shirt</t>
        </is>
      </c>
      <c r="D3313" s="0" t="inlineStr">
        <is>
          <t>'108941</t>
        </is>
      </c>
      <c r="E3313" s="0" t="inlineStr">
        <is>
          <t>PURDUE MARILYNN:108941D-XL</t>
        </is>
      </c>
      <c r="F3313" s="0" t="inlineStr">
        <is>
          <t>'800108941041</t>
        </is>
      </c>
      <c r="G3313" s="0" t="inlineStr">
        <is>
          <t>WOMENS</t>
        </is>
      </c>
      <c r="H3313" s="0" t="inlineStr">
        <is>
          <t>XL</t>
        </is>
      </c>
      <c r="I3313" s="0">
        <v>29.99</v>
      </c>
      <c r="J3313" s="0">
        <v>4</v>
      </c>
    </row>
    <row r="3314" spans="1:10" customHeight="0">
      <c r="A3314" s="0">
        <f>HYPERLINK("https://dl.dropboxusercontent.com/scl/fi/7c3eb1klu5r6lx7s32nui/108941f.jpg?rlkey=if4muc7ws2f7u7e6qpjpbicyh&amp;dl=0","Click to download Image")</f>
      </c>
      <c r="B3314" s="0">
        <f>HYPERLINK("https://dl.dropboxusercontent.com/scl/fi/f3eni9qi47npz3wkojbzz/womens-t-shirt-size-chartsmarilynn-bamboo.jpg?rlkey=rlvz88foftdymj3z8rxip95p0&amp;dl=0","Click to download SizeChart")</f>
      </c>
      <c r="C3314" s="0" t="inlineStr">
        <is>
          <t>Marilynn Women's Bamboo T-Shirt</t>
        </is>
      </c>
      <c r="D3314" s="0" t="inlineStr">
        <is>
          <t>'108941</t>
        </is>
      </c>
      <c r="E3314" s="0" t="inlineStr">
        <is>
          <t>PURDUE MARILYNN:108941E-2XL</t>
        </is>
      </c>
      <c r="F3314" s="0" t="inlineStr">
        <is>
          <t>'800108941058</t>
        </is>
      </c>
      <c r="G3314" s="0" t="inlineStr">
        <is>
          <t>WOMENS</t>
        </is>
      </c>
      <c r="H3314" s="0" t="inlineStr">
        <is>
          <t>2XL</t>
        </is>
      </c>
      <c r="I3314" s="0">
        <v>31.99</v>
      </c>
      <c r="J3314" s="0">
        <v>2</v>
      </c>
    </row>
    <row r="3315" spans="1:10" customHeight="0">
      <c r="A3315" s="0">
        <f>HYPERLINK("https://dl.dropboxusercontent.com/scl/fi/7c3eb1klu5r6lx7s32nui/108941f.jpg?rlkey=if4muc7ws2f7u7e6qpjpbicyh&amp;dl=0","Click to download Image")</f>
      </c>
      <c r="B3315" s="0">
        <f>HYPERLINK("https://dl.dropboxusercontent.com/scl/fi/f3eni9qi47npz3wkojbzz/womens-t-shirt-size-chartsmarilynn-bamboo.jpg?rlkey=rlvz88foftdymj3z8rxip95p0&amp;dl=0","Click to download SizeChart")</f>
      </c>
      <c r="C3315" s="0" t="inlineStr">
        <is>
          <t>Marilynn Women's Bamboo T-Shirt</t>
        </is>
      </c>
      <c r="D3315" s="0" t="inlineStr">
        <is>
          <t>'108941</t>
        </is>
      </c>
      <c r="E3315" s="0" t="inlineStr">
        <is>
          <t>PURDUE MARILYNN:108941F-3XL</t>
        </is>
      </c>
      <c r="F3315" s="0" t="inlineStr">
        <is>
          <t>'800108941065</t>
        </is>
      </c>
      <c r="G3315" s="0" t="inlineStr">
        <is>
          <t>WOMENS</t>
        </is>
      </c>
      <c r="H3315" s="0" t="inlineStr">
        <is>
          <t>3XL</t>
        </is>
      </c>
      <c r="I3315" s="0">
        <v>31.99</v>
      </c>
      <c r="J3315" s="0">
        <v>2</v>
      </c>
    </row>
    <row r="3316" spans="1:10" customHeight="0">
      <c r="A3316" s="0">
        <f>HYPERLINK("https://dl.dropboxusercontent.com/scl/fi/e0ak8htp377573k59svfr/108938f.jpg?rlkey=ezrzij72zszu74q2xdruquzuc&amp;dl=0","Click to download Image")</f>
      </c>
      <c r="B3316" s="0">
        <f>HYPERLINK("https://dl.dropboxusercontent.com/scl/fi/f3eni9qi47npz3wkojbzz/womens-t-shirt-size-chartsmarilynn-bamboo.jpg?rlkey=rlvz88foftdymj3z8rxip95p0&amp;dl=0","Click to download SizeChart")</f>
      </c>
      <c r="C3316" s="0" t="inlineStr">
        <is>
          <t>Marilynn Women's Bamboo T-Shirt</t>
        </is>
      </c>
      <c r="D3316" s="0" t="inlineStr">
        <is>
          <t>'108938</t>
        </is>
      </c>
      <c r="E3316" s="0" t="inlineStr">
        <is>
          <t>MU MARILYNN:108938A-S</t>
        </is>
      </c>
      <c r="F3316" s="0" t="inlineStr">
        <is>
          <t>'800108938010</t>
        </is>
      </c>
      <c r="G3316" s="0" t="inlineStr">
        <is>
          <t>WOMENS</t>
        </is>
      </c>
      <c r="H3316" s="0" t="inlineStr">
        <is>
          <t>S</t>
        </is>
      </c>
      <c r="I3316" s="0">
        <v>29.99</v>
      </c>
      <c r="J3316" s="0">
        <v>4</v>
      </c>
    </row>
    <row r="3317" spans="1:10" customHeight="0">
      <c r="A3317" s="0">
        <f>HYPERLINK("https://dl.dropboxusercontent.com/scl/fi/e0ak8htp377573k59svfr/108938f.jpg?rlkey=ezrzij72zszu74q2xdruquzuc&amp;dl=0","Click to download Image")</f>
      </c>
      <c r="B3317" s="0">
        <f>HYPERLINK("https://dl.dropboxusercontent.com/scl/fi/f3eni9qi47npz3wkojbzz/womens-t-shirt-size-chartsmarilynn-bamboo.jpg?rlkey=rlvz88foftdymj3z8rxip95p0&amp;dl=0","Click to download SizeChart")</f>
      </c>
      <c r="C3317" s="0" t="inlineStr">
        <is>
          <t>Marilynn Women's Bamboo T-Shirt</t>
        </is>
      </c>
      <c r="D3317" s="0" t="inlineStr">
        <is>
          <t>'108938</t>
        </is>
      </c>
      <c r="E3317" s="0" t="inlineStr">
        <is>
          <t>MU MARILYNN:108938B-M</t>
        </is>
      </c>
      <c r="F3317" s="0" t="inlineStr">
        <is>
          <t>'800108938027</t>
        </is>
      </c>
      <c r="G3317" s="0" t="inlineStr">
        <is>
          <t>WOMENS</t>
        </is>
      </c>
      <c r="H3317" s="0" t="inlineStr">
        <is>
          <t>M</t>
        </is>
      </c>
      <c r="I3317" s="0">
        <v>29.99</v>
      </c>
      <c r="J3317" s="0">
        <v>13</v>
      </c>
    </row>
    <row r="3318" spans="1:10" customHeight="0">
      <c r="A3318" s="0">
        <f>HYPERLINK("https://dl.dropboxusercontent.com/scl/fi/e0ak8htp377573k59svfr/108938f.jpg?rlkey=ezrzij72zszu74q2xdruquzuc&amp;dl=0","Click to download Image")</f>
      </c>
      <c r="B3318" s="0">
        <f>HYPERLINK("https://dl.dropboxusercontent.com/scl/fi/f3eni9qi47npz3wkojbzz/womens-t-shirt-size-chartsmarilynn-bamboo.jpg?rlkey=rlvz88foftdymj3z8rxip95p0&amp;dl=0","Click to download SizeChart")</f>
      </c>
      <c r="C3318" s="0" t="inlineStr">
        <is>
          <t>Marilynn Women's Bamboo T-Shirt</t>
        </is>
      </c>
      <c r="D3318" s="0" t="inlineStr">
        <is>
          <t>'108938</t>
        </is>
      </c>
      <c r="E3318" s="0" t="inlineStr">
        <is>
          <t>MU MARILYNN:108938C-L</t>
        </is>
      </c>
      <c r="F3318" s="0" t="inlineStr">
        <is>
          <t>'800108938034</t>
        </is>
      </c>
      <c r="G3318" s="0" t="inlineStr">
        <is>
          <t>WOMENS</t>
        </is>
      </c>
      <c r="H3318" s="0" t="inlineStr">
        <is>
          <t>L</t>
        </is>
      </c>
      <c r="I3318" s="0">
        <v>29.99</v>
      </c>
      <c r="J3318" s="0">
        <v>11</v>
      </c>
    </row>
    <row r="3319" spans="1:10" customHeight="0">
      <c r="A3319" s="0">
        <f>HYPERLINK("https://dl.dropboxusercontent.com/scl/fi/e0ak8htp377573k59svfr/108938f.jpg?rlkey=ezrzij72zszu74q2xdruquzuc&amp;dl=0","Click to download Image")</f>
      </c>
      <c r="B3319" s="0">
        <f>HYPERLINK("https://dl.dropboxusercontent.com/scl/fi/f3eni9qi47npz3wkojbzz/womens-t-shirt-size-chartsmarilynn-bamboo.jpg?rlkey=rlvz88foftdymj3z8rxip95p0&amp;dl=0","Click to download SizeChart")</f>
      </c>
      <c r="C3319" s="0" t="inlineStr">
        <is>
          <t>Marilynn Women's Bamboo T-Shirt</t>
        </is>
      </c>
      <c r="D3319" s="0" t="inlineStr">
        <is>
          <t>'108938</t>
        </is>
      </c>
      <c r="E3319" s="0" t="inlineStr">
        <is>
          <t>MU MARILYNN:108938D-XL</t>
        </is>
      </c>
      <c r="F3319" s="0" t="inlineStr">
        <is>
          <t>'800108938041</t>
        </is>
      </c>
      <c r="G3319" s="0" t="inlineStr">
        <is>
          <t>WOMENS</t>
        </is>
      </c>
      <c r="H3319" s="0" t="inlineStr">
        <is>
          <t>XL</t>
        </is>
      </c>
      <c r="I3319" s="0">
        <v>29.99</v>
      </c>
      <c r="J3319" s="0">
        <v>5</v>
      </c>
    </row>
    <row r="3320" spans="1:10" customHeight="0">
      <c r="A3320" s="0">
        <f>HYPERLINK("https://dl.dropboxusercontent.com/scl/fi/e0ak8htp377573k59svfr/108938f.jpg?rlkey=ezrzij72zszu74q2xdruquzuc&amp;dl=0","Click to download Image")</f>
      </c>
      <c r="B3320" s="0">
        <f>HYPERLINK("https://dl.dropboxusercontent.com/scl/fi/f3eni9qi47npz3wkojbzz/womens-t-shirt-size-chartsmarilynn-bamboo.jpg?rlkey=rlvz88foftdymj3z8rxip95p0&amp;dl=0","Click to download SizeChart")</f>
      </c>
      <c r="C3320" s="0" t="inlineStr">
        <is>
          <t>Marilynn Women's Bamboo T-Shirt</t>
        </is>
      </c>
      <c r="D3320" s="0" t="inlineStr">
        <is>
          <t>'108938</t>
        </is>
      </c>
      <c r="E3320" s="0" t="inlineStr">
        <is>
          <t>MU MARILYNN:108938E-2XL</t>
        </is>
      </c>
      <c r="F3320" s="0" t="inlineStr">
        <is>
          <t>'800108938058</t>
        </is>
      </c>
      <c r="G3320" s="0" t="inlineStr">
        <is>
          <t>WOMENS</t>
        </is>
      </c>
      <c r="H3320" s="0" t="inlineStr">
        <is>
          <t>2XL</t>
        </is>
      </c>
      <c r="I3320" s="0">
        <v>31.99</v>
      </c>
      <c r="J3320" s="0">
        <v>2</v>
      </c>
    </row>
    <row r="3321" spans="1:10" customHeight="0">
      <c r="A3321" s="0">
        <f>HYPERLINK("https://dl.dropboxusercontent.com/scl/fi/e0ak8htp377573k59svfr/108938f.jpg?rlkey=ezrzij72zszu74q2xdruquzuc&amp;dl=0","Click to download Image")</f>
      </c>
      <c r="B3321" s="0">
        <f>HYPERLINK("https://dl.dropboxusercontent.com/scl/fi/f3eni9qi47npz3wkojbzz/womens-t-shirt-size-chartsmarilynn-bamboo.jpg?rlkey=rlvz88foftdymj3z8rxip95p0&amp;dl=0","Click to download SizeChart")</f>
      </c>
      <c r="C3321" s="0" t="inlineStr">
        <is>
          <t>Marilynn Women's Bamboo T-Shirt</t>
        </is>
      </c>
      <c r="D3321" s="0" t="inlineStr">
        <is>
          <t>'108938</t>
        </is>
      </c>
      <c r="E3321" s="0" t="inlineStr">
        <is>
          <t>MU MARILYNN:108938F-3XL</t>
        </is>
      </c>
      <c r="F3321" s="0" t="inlineStr">
        <is>
          <t>'800108938065</t>
        </is>
      </c>
      <c r="G3321" s="0" t="inlineStr">
        <is>
          <t>WOMENS</t>
        </is>
      </c>
      <c r="H3321" s="0" t="inlineStr">
        <is>
          <t>3XL</t>
        </is>
      </c>
      <c r="I3321" s="0">
        <v>31.99</v>
      </c>
      <c r="J3321" s="0">
        <v>2</v>
      </c>
    </row>
    <row r="3322" spans="1:10" customHeight="0">
      <c r="A3322" s="0">
        <f>HYPERLINK("https://dl.dropboxusercontent.com/scl/fi/oi9c6l314tyhrteakyhjo/108937f.jpg?rlkey=j2qpjg8ai9v5myvx00yb7h7b7&amp;dl=0","Click to download Image")</f>
      </c>
      <c r="B3322" s="0">
        <f>HYPERLINK("https://dl.dropboxusercontent.com/scl/fi/f3eni9qi47npz3wkojbzz/womens-t-shirt-size-chartsmarilynn-bamboo.jpg?rlkey=rlvz88foftdymj3z8rxip95p0&amp;dl=0","Click to download SizeChart")</f>
      </c>
      <c r="C3322" s="0" t="inlineStr">
        <is>
          <t>Marilynn Women's Bamboo T-Shirt</t>
        </is>
      </c>
      <c r="D3322" s="0" t="inlineStr">
        <is>
          <t>'108937</t>
        </is>
      </c>
      <c r="E3322" s="0" t="inlineStr">
        <is>
          <t>INDIANA MARILYNN:108937A-S</t>
        </is>
      </c>
      <c r="F3322" s="0" t="inlineStr">
        <is>
          <t>'800108937013</t>
        </is>
      </c>
      <c r="G3322" s="0" t="inlineStr">
        <is>
          <t>WOMENS</t>
        </is>
      </c>
      <c r="H3322" s="0" t="inlineStr">
        <is>
          <t>S</t>
        </is>
      </c>
      <c r="I3322" s="0">
        <v>29.99</v>
      </c>
      <c r="J3322" s="0">
        <v>6</v>
      </c>
    </row>
    <row r="3323" spans="1:10" customHeight="0">
      <c r="A3323" s="0">
        <f>HYPERLINK("https://dl.dropboxusercontent.com/scl/fi/oi9c6l314tyhrteakyhjo/108937f.jpg?rlkey=j2qpjg8ai9v5myvx00yb7h7b7&amp;dl=0","Click to download Image")</f>
      </c>
      <c r="B3323" s="0">
        <f>HYPERLINK("https://dl.dropboxusercontent.com/scl/fi/f3eni9qi47npz3wkojbzz/womens-t-shirt-size-chartsmarilynn-bamboo.jpg?rlkey=rlvz88foftdymj3z8rxip95p0&amp;dl=0","Click to download SizeChart")</f>
      </c>
      <c r="C3323" s="0" t="inlineStr">
        <is>
          <t>Marilynn Women's Bamboo T-Shirt</t>
        </is>
      </c>
      <c r="D3323" s="0" t="inlineStr">
        <is>
          <t>'108937</t>
        </is>
      </c>
      <c r="E3323" s="0" t="inlineStr">
        <is>
          <t>INDIANA MARILYNN:108937B-M</t>
        </is>
      </c>
      <c r="F3323" s="0" t="inlineStr">
        <is>
          <t>'800108937020</t>
        </is>
      </c>
      <c r="G3323" s="0" t="inlineStr">
        <is>
          <t>WOMENS</t>
        </is>
      </c>
      <c r="H3323" s="0" t="inlineStr">
        <is>
          <t>M</t>
        </is>
      </c>
      <c r="I3323" s="0">
        <v>29.99</v>
      </c>
      <c r="J3323" s="0">
        <v>12</v>
      </c>
    </row>
    <row r="3324" spans="1:10" customHeight="0">
      <c r="A3324" s="0">
        <f>HYPERLINK("https://dl.dropboxusercontent.com/scl/fi/oi9c6l314tyhrteakyhjo/108937f.jpg?rlkey=j2qpjg8ai9v5myvx00yb7h7b7&amp;dl=0","Click to download Image")</f>
      </c>
      <c r="B3324" s="0">
        <f>HYPERLINK("https://dl.dropboxusercontent.com/scl/fi/f3eni9qi47npz3wkojbzz/womens-t-shirt-size-chartsmarilynn-bamboo.jpg?rlkey=rlvz88foftdymj3z8rxip95p0&amp;dl=0","Click to download SizeChart")</f>
      </c>
      <c r="C3324" s="0" t="inlineStr">
        <is>
          <t>Marilynn Women's Bamboo T-Shirt</t>
        </is>
      </c>
      <c r="D3324" s="0" t="inlineStr">
        <is>
          <t>'108937</t>
        </is>
      </c>
      <c r="E3324" s="0" t="inlineStr">
        <is>
          <t>INDIANA MARILYNN:108937C-L</t>
        </is>
      </c>
      <c r="F3324" s="0" t="inlineStr">
        <is>
          <t>'800108937037</t>
        </is>
      </c>
      <c r="G3324" s="0" t="inlineStr">
        <is>
          <t>WOMENS</t>
        </is>
      </c>
      <c r="H3324" s="0" t="inlineStr">
        <is>
          <t>L</t>
        </is>
      </c>
      <c r="I3324" s="0">
        <v>29.99</v>
      </c>
      <c r="J3324" s="0">
        <v>15</v>
      </c>
    </row>
    <row r="3325" spans="1:10" customHeight="0">
      <c r="A3325" s="0">
        <f>HYPERLINK("https://dl.dropboxusercontent.com/scl/fi/oi9c6l314tyhrteakyhjo/108937f.jpg?rlkey=j2qpjg8ai9v5myvx00yb7h7b7&amp;dl=0","Click to download Image")</f>
      </c>
      <c r="B3325" s="0">
        <f>HYPERLINK("https://dl.dropboxusercontent.com/scl/fi/f3eni9qi47npz3wkojbzz/womens-t-shirt-size-chartsmarilynn-bamboo.jpg?rlkey=rlvz88foftdymj3z8rxip95p0&amp;dl=0","Click to download SizeChart")</f>
      </c>
      <c r="C3325" s="0" t="inlineStr">
        <is>
          <t>Marilynn Women's Bamboo T-Shirt</t>
        </is>
      </c>
      <c r="D3325" s="0" t="inlineStr">
        <is>
          <t>'108937</t>
        </is>
      </c>
      <c r="E3325" s="0" t="inlineStr">
        <is>
          <t>INDIANA MARILYNN:108937D-XL</t>
        </is>
      </c>
      <c r="F3325" s="0" t="inlineStr">
        <is>
          <t>'800108937044</t>
        </is>
      </c>
      <c r="G3325" s="0" t="inlineStr">
        <is>
          <t>WOMENS</t>
        </is>
      </c>
      <c r="H3325" s="0" t="inlineStr">
        <is>
          <t>XL</t>
        </is>
      </c>
      <c r="I3325" s="0">
        <v>29.99</v>
      </c>
      <c r="J3325" s="0">
        <v>7</v>
      </c>
    </row>
    <row r="3326" spans="1:10" customHeight="0">
      <c r="A3326" s="0">
        <f>HYPERLINK("https://dl.dropboxusercontent.com/scl/fi/oi9c6l314tyhrteakyhjo/108937f.jpg?rlkey=j2qpjg8ai9v5myvx00yb7h7b7&amp;dl=0","Click to download Image")</f>
      </c>
      <c r="B3326" s="0">
        <f>HYPERLINK("https://dl.dropboxusercontent.com/scl/fi/f3eni9qi47npz3wkojbzz/womens-t-shirt-size-chartsmarilynn-bamboo.jpg?rlkey=rlvz88foftdymj3z8rxip95p0&amp;dl=0","Click to download SizeChart")</f>
      </c>
      <c r="C3326" s="0" t="inlineStr">
        <is>
          <t>Marilynn Women's Bamboo T-Shirt</t>
        </is>
      </c>
      <c r="D3326" s="0" t="inlineStr">
        <is>
          <t>'108937</t>
        </is>
      </c>
      <c r="E3326" s="0" t="inlineStr">
        <is>
          <t>INDIANA MARILYNN:108937E-2XL</t>
        </is>
      </c>
      <c r="F3326" s="0" t="inlineStr">
        <is>
          <t>'800108937051</t>
        </is>
      </c>
      <c r="G3326" s="0" t="inlineStr">
        <is>
          <t>WOMENS</t>
        </is>
      </c>
      <c r="H3326" s="0" t="inlineStr">
        <is>
          <t>2XL</t>
        </is>
      </c>
      <c r="I3326" s="0">
        <v>31.99</v>
      </c>
      <c r="J3326" s="0">
        <v>2</v>
      </c>
    </row>
    <row r="3327" spans="1:10" customHeight="0">
      <c r="A3327" s="0">
        <f>HYPERLINK("https://dl.dropboxusercontent.com/scl/fi/oi9c6l314tyhrteakyhjo/108937f.jpg?rlkey=j2qpjg8ai9v5myvx00yb7h7b7&amp;dl=0","Click to download Image")</f>
      </c>
      <c r="B3327" s="0">
        <f>HYPERLINK("https://dl.dropboxusercontent.com/scl/fi/f3eni9qi47npz3wkojbzz/womens-t-shirt-size-chartsmarilynn-bamboo.jpg?rlkey=rlvz88foftdymj3z8rxip95p0&amp;dl=0","Click to download SizeChart")</f>
      </c>
      <c r="C3327" s="0" t="inlineStr">
        <is>
          <t>Marilynn Women's Bamboo T-Shirt</t>
        </is>
      </c>
      <c r="D3327" s="0" t="inlineStr">
        <is>
          <t>'108937</t>
        </is>
      </c>
      <c r="E3327" s="0" t="inlineStr">
        <is>
          <t>INDIANA MARILYNN:108937F-3XL</t>
        </is>
      </c>
      <c r="F3327" s="0" t="inlineStr">
        <is>
          <t>'800108937068</t>
        </is>
      </c>
      <c r="G3327" s="0" t="inlineStr">
        <is>
          <t>WOMENS</t>
        </is>
      </c>
      <c r="H3327" s="0" t="inlineStr">
        <is>
          <t>3XL</t>
        </is>
      </c>
      <c r="I3327" s="0">
        <v>31.99</v>
      </c>
      <c r="J3327" s="0">
        <v>2</v>
      </c>
    </row>
    <row r="3328" spans="1:10" customHeight="0">
      <c r="A3328" s="0">
        <f>HYPERLINK("https://dl.dropboxusercontent.com/scl/fi/incndzgxk51t2fp8mmih4/108940-f.jpg?rlkey=m8t4nvrfzemn55xr9lle2623t&amp;dl=0","Click to download Image")</f>
      </c>
      <c r="B3328" s="0">
        <f>HYPERLINK("https://dl.dropboxusercontent.com/scl/fi/f3eni9qi47npz3wkojbzz/womens-t-shirt-size-chartsmarilynn-bamboo.jpg?rlkey=rlvz88foftdymj3z8rxip95p0&amp;dl=0","Click to download SizeChart")</f>
      </c>
      <c r="C3328" s="0" t="inlineStr">
        <is>
          <t>Marilynn Women's Bamboo T-Shirt</t>
        </is>
      </c>
      <c r="D3328" s="0" t="inlineStr">
        <is>
          <t>'108940</t>
        </is>
      </c>
      <c r="E3328" s="0" t="inlineStr">
        <is>
          <t>KSU MARILYNN:108940A-S</t>
        </is>
      </c>
      <c r="F3328" s="0" t="inlineStr">
        <is>
          <t>'800108940013</t>
        </is>
      </c>
      <c r="G3328" s="0" t="inlineStr">
        <is>
          <t>WOMENS</t>
        </is>
      </c>
      <c r="H3328" s="0" t="inlineStr">
        <is>
          <t>S</t>
        </is>
      </c>
      <c r="I3328" s="0">
        <v>29.99</v>
      </c>
      <c r="J3328" s="0">
        <v>8</v>
      </c>
    </row>
    <row r="3329" spans="1:10" customHeight="0">
      <c r="A3329" s="0">
        <f>HYPERLINK("https://dl.dropboxusercontent.com/scl/fi/incndzgxk51t2fp8mmih4/108940-f.jpg?rlkey=m8t4nvrfzemn55xr9lle2623t&amp;dl=0","Click to download Image")</f>
      </c>
      <c r="B3329" s="0">
        <f>HYPERLINK("https://dl.dropboxusercontent.com/scl/fi/f3eni9qi47npz3wkojbzz/womens-t-shirt-size-chartsmarilynn-bamboo.jpg?rlkey=rlvz88foftdymj3z8rxip95p0&amp;dl=0","Click to download SizeChart")</f>
      </c>
      <c r="C3329" s="0" t="inlineStr">
        <is>
          <t>Marilynn Women's Bamboo T-Shirt</t>
        </is>
      </c>
      <c r="D3329" s="0" t="inlineStr">
        <is>
          <t>'108940</t>
        </is>
      </c>
      <c r="E3329" s="0" t="inlineStr">
        <is>
          <t>KSU MARILYNN:108940B-M</t>
        </is>
      </c>
      <c r="F3329" s="0" t="inlineStr">
        <is>
          <t>'800108940020</t>
        </is>
      </c>
      <c r="G3329" s="0" t="inlineStr">
        <is>
          <t>WOMENS</t>
        </is>
      </c>
      <c r="H3329" s="0" t="inlineStr">
        <is>
          <t>M</t>
        </is>
      </c>
      <c r="I3329" s="0">
        <v>29.99</v>
      </c>
      <c r="J3329" s="0">
        <v>16</v>
      </c>
    </row>
    <row r="3330" spans="1:10" customHeight="0">
      <c r="A3330" s="0">
        <f>HYPERLINK("https://dl.dropboxusercontent.com/scl/fi/incndzgxk51t2fp8mmih4/108940-f.jpg?rlkey=m8t4nvrfzemn55xr9lle2623t&amp;dl=0","Click to download Image")</f>
      </c>
      <c r="B3330" s="0">
        <f>HYPERLINK("https://dl.dropboxusercontent.com/scl/fi/f3eni9qi47npz3wkojbzz/womens-t-shirt-size-chartsmarilynn-bamboo.jpg?rlkey=rlvz88foftdymj3z8rxip95p0&amp;dl=0","Click to download SizeChart")</f>
      </c>
      <c r="C3330" s="0" t="inlineStr">
        <is>
          <t>Marilynn Women's Bamboo T-Shirt</t>
        </is>
      </c>
      <c r="D3330" s="0" t="inlineStr">
        <is>
          <t>'108940</t>
        </is>
      </c>
      <c r="E3330" s="0" t="inlineStr">
        <is>
          <t>KSU MARILYNN:108940C-L</t>
        </is>
      </c>
      <c r="F3330" s="0" t="inlineStr">
        <is>
          <t>'800108940037</t>
        </is>
      </c>
      <c r="G3330" s="0" t="inlineStr">
        <is>
          <t>WOMENS</t>
        </is>
      </c>
      <c r="H3330" s="0" t="inlineStr">
        <is>
          <t>L</t>
        </is>
      </c>
      <c r="I3330" s="0">
        <v>29.99</v>
      </c>
      <c r="J3330" s="0">
        <v>16</v>
      </c>
    </row>
    <row r="3331" spans="1:10" customHeight="0">
      <c r="A3331" s="0">
        <f>HYPERLINK("https://dl.dropboxusercontent.com/scl/fi/incndzgxk51t2fp8mmih4/108940-f.jpg?rlkey=m8t4nvrfzemn55xr9lle2623t&amp;dl=0","Click to download Image")</f>
      </c>
      <c r="B3331" s="0">
        <f>HYPERLINK("https://dl.dropboxusercontent.com/scl/fi/f3eni9qi47npz3wkojbzz/womens-t-shirt-size-chartsmarilynn-bamboo.jpg?rlkey=rlvz88foftdymj3z8rxip95p0&amp;dl=0","Click to download SizeChart")</f>
      </c>
      <c r="C3331" s="0" t="inlineStr">
        <is>
          <t>Marilynn Women's Bamboo T-Shirt</t>
        </is>
      </c>
      <c r="D3331" s="0" t="inlineStr">
        <is>
          <t>'108940</t>
        </is>
      </c>
      <c r="E3331" s="0" t="inlineStr">
        <is>
          <t>KSU MARILYNN:108940D-XL</t>
        </is>
      </c>
      <c r="F3331" s="0" t="inlineStr">
        <is>
          <t>'800108940044</t>
        </is>
      </c>
      <c r="G3331" s="0" t="inlineStr">
        <is>
          <t>WOMENS</t>
        </is>
      </c>
      <c r="H3331" s="0" t="inlineStr">
        <is>
          <t>XL</t>
        </is>
      </c>
      <c r="I3331" s="0">
        <v>29.99</v>
      </c>
      <c r="J3331" s="0">
        <v>8</v>
      </c>
    </row>
    <row r="3332" spans="1:10" customHeight="0">
      <c r="A3332" s="0">
        <f>HYPERLINK("https://dl.dropboxusercontent.com/scl/fi/incndzgxk51t2fp8mmih4/108940-f.jpg?rlkey=m8t4nvrfzemn55xr9lle2623t&amp;dl=0","Click to download Image")</f>
      </c>
      <c r="B3332" s="0">
        <f>HYPERLINK("https://dl.dropboxusercontent.com/scl/fi/f3eni9qi47npz3wkojbzz/womens-t-shirt-size-chartsmarilynn-bamboo.jpg?rlkey=rlvz88foftdymj3z8rxip95p0&amp;dl=0","Click to download SizeChart")</f>
      </c>
      <c r="C3332" s="0" t="inlineStr">
        <is>
          <t>Marilynn Women's Bamboo T-Shirt</t>
        </is>
      </c>
      <c r="D3332" s="0" t="inlineStr">
        <is>
          <t>'108940</t>
        </is>
      </c>
      <c r="E3332" s="0" t="inlineStr">
        <is>
          <t>KSU MARILYNN:108940E-2XL</t>
        </is>
      </c>
      <c r="F3332" s="0" t="inlineStr">
        <is>
          <t>'800108940051</t>
        </is>
      </c>
      <c r="G3332" s="0" t="inlineStr">
        <is>
          <t>WOMENS</t>
        </is>
      </c>
      <c r="H3332" s="0" t="inlineStr">
        <is>
          <t>2XL</t>
        </is>
      </c>
      <c r="I3332" s="0">
        <v>31.99</v>
      </c>
      <c r="J3332" s="0">
        <v>1</v>
      </c>
    </row>
    <row r="3333" spans="1:10" customHeight="0">
      <c r="A3333" s="0">
        <f>HYPERLINK("https://dl.dropboxusercontent.com/scl/fi/incndzgxk51t2fp8mmih4/108940-f.jpg?rlkey=m8t4nvrfzemn55xr9lle2623t&amp;dl=0","Click to download Image")</f>
      </c>
      <c r="B3333" s="0">
        <f>HYPERLINK("https://dl.dropboxusercontent.com/scl/fi/f3eni9qi47npz3wkojbzz/womens-t-shirt-size-chartsmarilynn-bamboo.jpg?rlkey=rlvz88foftdymj3z8rxip95p0&amp;dl=0","Click to download SizeChart")</f>
      </c>
      <c r="C3333" s="0" t="inlineStr">
        <is>
          <t>Marilynn Women's Bamboo T-Shirt</t>
        </is>
      </c>
      <c r="D3333" s="0" t="inlineStr">
        <is>
          <t>'108940</t>
        </is>
      </c>
      <c r="E3333" s="0" t="inlineStr">
        <is>
          <t>KSU MARILYNN:108940F-3XL</t>
        </is>
      </c>
      <c r="F3333" s="0" t="inlineStr">
        <is>
          <t>'800108940068</t>
        </is>
      </c>
      <c r="G3333" s="0" t="inlineStr">
        <is>
          <t>WOMENS</t>
        </is>
      </c>
      <c r="H3333" s="0" t="inlineStr">
        <is>
          <t>3XL</t>
        </is>
      </c>
      <c r="I3333" s="0">
        <v>31.99</v>
      </c>
      <c r="J3333" s="0">
        <v>1</v>
      </c>
    </row>
    <row r="3334" spans="1:10" customHeight="0">
      <c r="A3334" s="0">
        <f>HYPERLINK("https://dl.dropboxusercontent.com/scl/fi/pvkw6pt18t556xfplqhop/120621-af.jpg?rlkey=j1qm0a8wctefq2ou5ynn7lmqz&amp;dl=0","Click to download Image")</f>
      </c>
      <c r="B3334" s="0">
        <f>HYPERLINK("https://dl.dropboxusercontent.com/scl/fi/6rizpnn91alnab4nqbjbi/graphic-update22022-toddler.jpg?rlkey=5otk454rc5ary7cltefcc644f&amp;dl=0","Click to download SizeChart")</f>
      </c>
      <c r="C3334" s="0" t="inlineStr">
        <is>
          <t>Matilda Toddler Girls Shirt </t>
        </is>
      </c>
      <c r="D3334" s="0" t="inlineStr">
        <is>
          <t>'120620</t>
        </is>
      </c>
      <c r="E3334" s="0" t="inlineStr">
        <is>
          <t>UNI MATILDA T PURPLE:120620A-2T</t>
        </is>
      </c>
      <c r="F3334" s="0" t="inlineStr">
        <is>
          <t>'802120620089</t>
        </is>
      </c>
      <c r="G3334" s="0" t="inlineStr">
        <is>
          <t>TODDLER</t>
        </is>
      </c>
      <c r="H3334" s="0" t="inlineStr">
        <is>
          <t>2T</t>
        </is>
      </c>
      <c r="I3334" s="0">
        <v>29.99</v>
      </c>
      <c r="J3334" s="0">
        <v>4</v>
      </c>
    </row>
    <row r="3335" spans="1:10" customHeight="0">
      <c r="A3335" s="0">
        <f>HYPERLINK("https://dl.dropboxusercontent.com/scl/fi/pvkw6pt18t556xfplqhop/120621-af.jpg?rlkey=j1qm0a8wctefq2ou5ynn7lmqz&amp;dl=0","Click to download Image")</f>
      </c>
      <c r="B3335" s="0">
        <f>HYPERLINK("https://dl.dropboxusercontent.com/scl/fi/6rizpnn91alnab4nqbjbi/graphic-update22022-toddler.jpg?rlkey=5otk454rc5ary7cltefcc644f&amp;dl=0","Click to download SizeChart")</f>
      </c>
      <c r="C3335" s="0" t="inlineStr">
        <is>
          <t>Matilda Toddler Girls Shirt </t>
        </is>
      </c>
      <c r="D3335" s="0" t="inlineStr">
        <is>
          <t>'120620</t>
        </is>
      </c>
      <c r="E3335" s="0" t="inlineStr">
        <is>
          <t>UNI MATILDA T PURPLE:120620B-3T</t>
        </is>
      </c>
      <c r="F3335" s="0" t="inlineStr">
        <is>
          <t>'802120620096</t>
        </is>
      </c>
      <c r="G3335" s="0" t="inlineStr">
        <is>
          <t>TODDLER</t>
        </is>
      </c>
      <c r="H3335" s="0" t="inlineStr">
        <is>
          <t>3T</t>
        </is>
      </c>
      <c r="I3335" s="0">
        <v>29.99</v>
      </c>
      <c r="J3335" s="0">
        <v>4</v>
      </c>
    </row>
    <row r="3336" spans="1:10" customHeight="0">
      <c r="A3336" s="0">
        <f>HYPERLINK("https://dl.dropboxusercontent.com/scl/fi/pvkw6pt18t556xfplqhop/120621-af.jpg?rlkey=j1qm0a8wctefq2ou5ynn7lmqz&amp;dl=0","Click to download Image")</f>
      </c>
      <c r="B3336" s="0">
        <f>HYPERLINK("https://dl.dropboxusercontent.com/scl/fi/6rizpnn91alnab4nqbjbi/graphic-update22022-toddler.jpg?rlkey=5otk454rc5ary7cltefcc644f&amp;dl=0","Click to download SizeChart")</f>
      </c>
      <c r="C3336" s="0" t="inlineStr">
        <is>
          <t>Matilda Toddler Girls Shirt </t>
        </is>
      </c>
      <c r="D3336" s="0" t="inlineStr">
        <is>
          <t>'120620</t>
        </is>
      </c>
      <c r="E3336" s="0" t="inlineStr">
        <is>
          <t>UNI MATILDA T PURPLE:120620C-4T</t>
        </is>
      </c>
      <c r="F3336" s="0" t="inlineStr">
        <is>
          <t>'802120620102</t>
        </is>
      </c>
      <c r="G3336" s="0" t="inlineStr">
        <is>
          <t>TODDLER</t>
        </is>
      </c>
      <c r="H3336" s="0" t="inlineStr">
        <is>
          <t>4T</t>
        </is>
      </c>
      <c r="I3336" s="0">
        <v>29.99</v>
      </c>
      <c r="J3336" s="0">
        <v>5</v>
      </c>
    </row>
    <row r="3337" spans="1:10" customHeight="0">
      <c r="A3337" s="0">
        <f>HYPERLINK("https://dl.dropboxusercontent.com/scl/fi/pvkw6pt18t556xfplqhop/120621-af.jpg?rlkey=j1qm0a8wctefq2ou5ynn7lmqz&amp;dl=0","Click to download Image")</f>
      </c>
      <c r="B3337" s="0">
        <f>HYPERLINK("https://dl.dropboxusercontent.com/scl/fi/6rizpnn91alnab4nqbjbi/graphic-update22022-toddler.jpg?rlkey=5otk454rc5ary7cltefcc644f&amp;dl=0","Click to download SizeChart")</f>
      </c>
      <c r="C3337" s="0" t="inlineStr">
        <is>
          <t>Matilda Toddler Girls Shirt </t>
        </is>
      </c>
      <c r="D3337" s="0" t="inlineStr">
        <is>
          <t>'120620</t>
        </is>
      </c>
      <c r="E3337" s="0" t="inlineStr">
        <is>
          <t>UNI MATILDA T PURPLE:120620D-5T</t>
        </is>
      </c>
      <c r="F3337" s="0" t="inlineStr">
        <is>
          <t>'802120620119</t>
        </is>
      </c>
      <c r="G3337" s="0" t="inlineStr">
        <is>
          <t>TODDLER</t>
        </is>
      </c>
      <c r="H3337" s="0" t="inlineStr">
        <is>
          <t>5T</t>
        </is>
      </c>
      <c r="I3337" s="0">
        <v>29.99</v>
      </c>
      <c r="J3337" s="0">
        <v>7</v>
      </c>
    </row>
    <row r="3338" spans="1:10" customHeight="0">
      <c r="A3338" s="0">
        <f>HYPERLINK("https://dl.dropboxusercontent.com/scl/fi/pvkw6pt18t556xfplqhop/120621-af.jpg?rlkey=j1qm0a8wctefq2ou5ynn7lmqz&amp;dl=0","Click to download Image")</f>
      </c>
      <c r="B3338" s="0">
        <f>HYPERLINK("https://dl.dropboxusercontent.com/scl/fi/6rizpnn91alnab4nqbjbi/graphic-update22022-toddler.jpg?rlkey=5otk454rc5ary7cltefcc644f&amp;dl=0","Click to download SizeChart")</f>
      </c>
      <c r="C3338" s="0" t="inlineStr">
        <is>
          <t>Matilda Toddler Girls Shirt </t>
        </is>
      </c>
      <c r="D3338" s="0" t="inlineStr">
        <is>
          <t>'120620</t>
        </is>
      </c>
      <c r="E3338" s="0" t="inlineStr">
        <is>
          <t>UNI MATILDA T PURPLE 12 PACK:120620Z-12PK</t>
        </is>
      </c>
      <c r="F3338" s="0" t="inlineStr">
        <is>
          <t>'802120620997</t>
        </is>
      </c>
      <c r="G3338" s="0" t="inlineStr">
        <is>
          <t>TODDLER</t>
        </is>
      </c>
      <c r="H3338" s="0" t="inlineStr">
        <is>
          <t>12 PACK</t>
        </is>
      </c>
      <c r="I3338" s="0">
        <v>280</v>
      </c>
      <c r="J3338" s="0">
        <v>1</v>
      </c>
    </row>
    <row r="3339" spans="1:10" customHeight="0">
      <c r="A3339" s="0">
        <f>HYPERLINK("https://dl.dropboxusercontent.com/scl/fi/2us6hbjcvytub0swhit9s/107214af28620.jpg?rlkey=wnwig0bkp1jxztcbgklx1y9bv&amp;dl=0","Click to download Image")</f>
      </c>
      <c r="C3339" s="0" t="inlineStr">
        <is>
          <t>Mayfield Youth Hoodie</t>
        </is>
      </c>
      <c r="D3339" s="0" t="inlineStr">
        <is>
          <t>'107214</t>
        </is>
      </c>
      <c r="E3339" s="0" t="inlineStr">
        <is>
          <t>IA IA MAYFIELD:107214B-YS</t>
        </is>
      </c>
      <c r="F3339" s="0" t="inlineStr">
        <is>
          <t>'800107214016</t>
        </is>
      </c>
      <c r="G3339" s="0" t="inlineStr">
        <is>
          <t>YOUTH</t>
        </is>
      </c>
      <c r="H3339" s="0" t="inlineStr">
        <is>
          <t>YS</t>
        </is>
      </c>
      <c r="I3339" s="0">
        <v>39.99</v>
      </c>
      <c r="J3339" s="0">
        <v>0</v>
      </c>
    </row>
    <row r="3340" spans="1:10" customHeight="0">
      <c r="A3340" s="0">
        <f>HYPERLINK("https://dl.dropboxusercontent.com/scl/fi/2us6hbjcvytub0swhit9s/107214af28620.jpg?rlkey=wnwig0bkp1jxztcbgklx1y9bv&amp;dl=0","Click to download Image")</f>
      </c>
      <c r="C3340" s="0" t="inlineStr">
        <is>
          <t>Mayfield Youth Hoodie</t>
        </is>
      </c>
      <c r="D3340" s="0" t="inlineStr">
        <is>
          <t>'107214</t>
        </is>
      </c>
      <c r="E3340" s="0" t="inlineStr">
        <is>
          <t>IA MAYFIELD:107214C-YM</t>
        </is>
      </c>
      <c r="F3340" s="0" t="inlineStr">
        <is>
          <t>'800107214023</t>
        </is>
      </c>
      <c r="G3340" s="0" t="inlineStr">
        <is>
          <t>YOUTH</t>
        </is>
      </c>
      <c r="H3340" s="0" t="inlineStr">
        <is>
          <t>YM</t>
        </is>
      </c>
      <c r="I3340" s="0">
        <v>39.99</v>
      </c>
      <c r="J3340" s="0">
        <v>32</v>
      </c>
    </row>
    <row r="3341" spans="1:10" customHeight="0">
      <c r="A3341" s="0">
        <f>HYPERLINK("https://dl.dropboxusercontent.com/scl/fi/2us6hbjcvytub0swhit9s/107214af28620.jpg?rlkey=wnwig0bkp1jxztcbgklx1y9bv&amp;dl=0","Click to download Image")</f>
      </c>
      <c r="C3341" s="0" t="inlineStr">
        <is>
          <t>Mayfield Youth Hoodie</t>
        </is>
      </c>
      <c r="D3341" s="0" t="inlineStr">
        <is>
          <t>'107214</t>
        </is>
      </c>
      <c r="E3341" s="0" t="inlineStr">
        <is>
          <t>IA MAYFIELD:107214D-YL</t>
        </is>
      </c>
      <c r="F3341" s="0" t="inlineStr">
        <is>
          <t>'800107214030</t>
        </is>
      </c>
      <c r="G3341" s="0" t="inlineStr">
        <is>
          <t>YOUTH</t>
        </is>
      </c>
      <c r="H3341" s="0" t="inlineStr">
        <is>
          <t>YL</t>
        </is>
      </c>
      <c r="I3341" s="0">
        <v>39.99</v>
      </c>
      <c r="J3341" s="0">
        <v>24</v>
      </c>
    </row>
    <row r="3342" spans="1:10" customHeight="0">
      <c r="A3342" s="0">
        <f>HYPERLINK("https://dl.dropboxusercontent.com/scl/fi/2us6hbjcvytub0swhit9s/107214af28620.jpg?rlkey=wnwig0bkp1jxztcbgklx1y9bv&amp;dl=0","Click to download Image")</f>
      </c>
      <c r="C3342" s="0" t="inlineStr">
        <is>
          <t>Mayfield Youth Hoodie</t>
        </is>
      </c>
      <c r="D3342" s="0" t="inlineStr">
        <is>
          <t>'107214</t>
        </is>
      </c>
      <c r="E3342" s="0" t="inlineStr">
        <is>
          <t>IA MAYFIELD:107214E-YXL</t>
        </is>
      </c>
      <c r="F3342" s="0" t="inlineStr">
        <is>
          <t>'800107214047</t>
        </is>
      </c>
      <c r="G3342" s="0" t="inlineStr">
        <is>
          <t>YOUTH</t>
        </is>
      </c>
      <c r="H3342" s="0" t="inlineStr">
        <is>
          <t>YXL</t>
        </is>
      </c>
      <c r="I3342" s="0">
        <v>39.99</v>
      </c>
      <c r="J3342" s="0">
        <v>45</v>
      </c>
    </row>
    <row r="3343" spans="1:10" customHeight="0">
      <c r="A3343" s="0">
        <f>HYPERLINK("https://dl.dropboxusercontent.com/scl/fi/8tw0rti3028otvn49psrk/109274-af.jpg?rlkey=z9r3feeh9ve18t9qbps48f0io&amp;dl=0","Click to download Image")</f>
      </c>
      <c r="C3343" s="0" t="inlineStr">
        <is>
          <t>Mayfield Youth Hoodie</t>
        </is>
      </c>
      <c r="D3343" s="0" t="inlineStr">
        <is>
          <t>'109274</t>
        </is>
      </c>
      <c r="E3343" s="0" t="inlineStr">
        <is>
          <t>WICHITA MAYFIELD:109274B-YS</t>
        </is>
      </c>
      <c r="F3343" s="0" t="inlineStr">
        <is>
          <t>'800109274018</t>
        </is>
      </c>
      <c r="G3343" s="0" t="inlineStr">
        <is>
          <t>YOUTH</t>
        </is>
      </c>
      <c r="H3343" s="0" t="inlineStr">
        <is>
          <t>YS</t>
        </is>
      </c>
      <c r="I3343" s="0">
        <v>39.99</v>
      </c>
      <c r="J3343" s="0">
        <v>12</v>
      </c>
    </row>
    <row r="3344" spans="1:10" customHeight="0">
      <c r="A3344" s="0">
        <f>HYPERLINK("https://dl.dropboxusercontent.com/scl/fi/8tw0rti3028otvn49psrk/109274-af.jpg?rlkey=z9r3feeh9ve18t9qbps48f0io&amp;dl=0","Click to download Image")</f>
      </c>
      <c r="C3344" s="0" t="inlineStr">
        <is>
          <t>Mayfield Youth Hoodie</t>
        </is>
      </c>
      <c r="D3344" s="0" t="inlineStr">
        <is>
          <t>'109274</t>
        </is>
      </c>
      <c r="E3344" s="0" t="inlineStr">
        <is>
          <t>WICHITA MAYFIELD:109274C-YM</t>
        </is>
      </c>
      <c r="F3344" s="0" t="inlineStr">
        <is>
          <t>'800109274025</t>
        </is>
      </c>
      <c r="G3344" s="0" t="inlineStr">
        <is>
          <t>YOUTH</t>
        </is>
      </c>
      <c r="H3344" s="0" t="inlineStr">
        <is>
          <t>YM</t>
        </is>
      </c>
      <c r="I3344" s="0">
        <v>39.99</v>
      </c>
      <c r="J3344" s="0">
        <v>12</v>
      </c>
    </row>
    <row r="3345" spans="1:10" customHeight="0">
      <c r="A3345" s="0">
        <f>HYPERLINK("https://dl.dropboxusercontent.com/scl/fi/8tw0rti3028otvn49psrk/109274-af.jpg?rlkey=z9r3feeh9ve18t9qbps48f0io&amp;dl=0","Click to download Image")</f>
      </c>
      <c r="C3345" s="0" t="inlineStr">
        <is>
          <t>Mayfield Youth Hoodie</t>
        </is>
      </c>
      <c r="D3345" s="0" t="inlineStr">
        <is>
          <t>'109274</t>
        </is>
      </c>
      <c r="E3345" s="0" t="inlineStr">
        <is>
          <t>WICHITA MAYFIELD:109274D-YL</t>
        </is>
      </c>
      <c r="F3345" s="0" t="inlineStr">
        <is>
          <t>'800109274032</t>
        </is>
      </c>
      <c r="G3345" s="0" t="inlineStr">
        <is>
          <t>YOUTH</t>
        </is>
      </c>
      <c r="H3345" s="0" t="inlineStr">
        <is>
          <t>YL</t>
        </is>
      </c>
      <c r="I3345" s="0">
        <v>39.99</v>
      </c>
      <c r="J3345" s="0">
        <v>12</v>
      </c>
    </row>
    <row r="3346" spans="1:10" customHeight="0">
      <c r="A3346" s="0">
        <f>HYPERLINK("https://dl.dropboxusercontent.com/scl/fi/8tw0rti3028otvn49psrk/109274-af.jpg?rlkey=z9r3feeh9ve18t9qbps48f0io&amp;dl=0","Click to download Image")</f>
      </c>
      <c r="C3346" s="0" t="inlineStr">
        <is>
          <t>Mayfield Youth Hoodie</t>
        </is>
      </c>
      <c r="D3346" s="0" t="inlineStr">
        <is>
          <t>'109274</t>
        </is>
      </c>
      <c r="E3346" s="0" t="inlineStr">
        <is>
          <t>WICHITA MAYFIELD:109274E-YXL</t>
        </is>
      </c>
      <c r="F3346" s="0" t="inlineStr">
        <is>
          <t>'800109274049</t>
        </is>
      </c>
      <c r="G3346" s="0" t="inlineStr">
        <is>
          <t>YOUTH</t>
        </is>
      </c>
      <c r="H3346" s="0" t="inlineStr">
        <is>
          <t>YXL</t>
        </is>
      </c>
      <c r="I3346" s="0">
        <v>39.99</v>
      </c>
      <c r="J3346" s="0">
        <v>12</v>
      </c>
    </row>
    <row r="3347" spans="1:10" customHeight="0">
      <c r="A3347" s="0">
        <f>HYPERLINK("https://dl.dropboxusercontent.com/scl/fi/awz7zfuti6e8e4x4zvedu/109273-af.jpg?rlkey=uwv16q8xlpf0m62yna4jv1lzc&amp;dl=0","Click to download Image")</f>
      </c>
      <c r="C3347" s="0" t="inlineStr">
        <is>
          <t>Mayfield Youth Hoodie</t>
        </is>
      </c>
      <c r="D3347" s="0" t="inlineStr">
        <is>
          <t>'109273</t>
        </is>
      </c>
      <c r="E3347" s="0" t="inlineStr">
        <is>
          <t>UWY MAYFIELD:109273B-YS</t>
        </is>
      </c>
      <c r="F3347" s="0" t="inlineStr">
        <is>
          <t>'800109273011</t>
        </is>
      </c>
      <c r="G3347" s="0" t="inlineStr">
        <is>
          <t>YOUTH</t>
        </is>
      </c>
      <c r="H3347" s="0" t="inlineStr">
        <is>
          <t>YS</t>
        </is>
      </c>
      <c r="I3347" s="0">
        <v>39.99</v>
      </c>
      <c r="J3347" s="0">
        <v>23</v>
      </c>
    </row>
    <row r="3348" spans="1:10" customHeight="0">
      <c r="A3348" s="0">
        <f>HYPERLINK("https://dl.dropboxusercontent.com/scl/fi/awz7zfuti6e8e4x4zvedu/109273-af.jpg?rlkey=uwv16q8xlpf0m62yna4jv1lzc&amp;dl=0","Click to download Image")</f>
      </c>
      <c r="C3348" s="0" t="inlineStr">
        <is>
          <t>Mayfield Youth Hoodie</t>
        </is>
      </c>
      <c r="D3348" s="0" t="inlineStr">
        <is>
          <t>'109273</t>
        </is>
      </c>
      <c r="E3348" s="0" t="inlineStr">
        <is>
          <t>UWY MAYFIELD:109273C-YM</t>
        </is>
      </c>
      <c r="F3348" s="0" t="inlineStr">
        <is>
          <t>'800109273028</t>
        </is>
      </c>
      <c r="G3348" s="0" t="inlineStr">
        <is>
          <t>YOUTH</t>
        </is>
      </c>
      <c r="H3348" s="0" t="inlineStr">
        <is>
          <t>YM</t>
        </is>
      </c>
      <c r="I3348" s="0">
        <v>39.99</v>
      </c>
      <c r="J3348" s="0">
        <v>24</v>
      </c>
    </row>
    <row r="3349" spans="1:10" customHeight="0">
      <c r="A3349" s="0">
        <f>HYPERLINK("https://dl.dropboxusercontent.com/scl/fi/awz7zfuti6e8e4x4zvedu/109273-af.jpg?rlkey=uwv16q8xlpf0m62yna4jv1lzc&amp;dl=0","Click to download Image")</f>
      </c>
      <c r="C3349" s="0" t="inlineStr">
        <is>
          <t>Mayfield Youth Hoodie</t>
        </is>
      </c>
      <c r="D3349" s="0" t="inlineStr">
        <is>
          <t>'109273</t>
        </is>
      </c>
      <c r="E3349" s="0" t="inlineStr">
        <is>
          <t>UWY MAYFIELD:109273D-YL</t>
        </is>
      </c>
      <c r="F3349" s="0" t="inlineStr">
        <is>
          <t>'800109273035</t>
        </is>
      </c>
      <c r="G3349" s="0" t="inlineStr">
        <is>
          <t>YOUTH</t>
        </is>
      </c>
      <c r="H3349" s="0" t="inlineStr">
        <is>
          <t>YL</t>
        </is>
      </c>
      <c r="I3349" s="0">
        <v>39.99</v>
      </c>
      <c r="J3349" s="0">
        <v>24</v>
      </c>
    </row>
    <row r="3350" spans="1:10" customHeight="0">
      <c r="A3350" s="0">
        <f>HYPERLINK("https://dl.dropboxusercontent.com/scl/fi/awz7zfuti6e8e4x4zvedu/109273-af.jpg?rlkey=uwv16q8xlpf0m62yna4jv1lzc&amp;dl=0","Click to download Image")</f>
      </c>
      <c r="C3350" s="0" t="inlineStr">
        <is>
          <t>Mayfield Youth Hoodie</t>
        </is>
      </c>
      <c r="D3350" s="0" t="inlineStr">
        <is>
          <t>'109273</t>
        </is>
      </c>
      <c r="E3350" s="0" t="inlineStr">
        <is>
          <t>UWY MAYFIELD:109273E-YXL</t>
        </is>
      </c>
      <c r="F3350" s="0" t="inlineStr">
        <is>
          <t>'800109273042</t>
        </is>
      </c>
      <c r="G3350" s="0" t="inlineStr">
        <is>
          <t>YOUTH</t>
        </is>
      </c>
      <c r="H3350" s="0" t="inlineStr">
        <is>
          <t>YXL</t>
        </is>
      </c>
      <c r="I3350" s="0">
        <v>39.99</v>
      </c>
      <c r="J3350" s="0">
        <v>24</v>
      </c>
    </row>
    <row r="3351" spans="1:10" customHeight="0">
      <c r="A3351" s="0">
        <f>HYPERLINK("https://dl.dropboxusercontent.com/scl/fi/de9oaje53dcattjkmzc8t/dsc5924.jpg?rlkey=xunw31m4kg77bmn2iuka3aya9&amp;dl=0","Click to download Image")</f>
      </c>
      <c r="C3351" s="0" t="inlineStr">
        <is>
          <t>Mercy Women's Leggings</t>
        </is>
      </c>
      <c r="D3351" s="0" t="inlineStr">
        <is>
          <t>'110862</t>
        </is>
      </c>
      <c r="E3351" s="0" t="inlineStr">
        <is>
          <t>IOWA MERCY:110862AA-XS</t>
        </is>
      </c>
      <c r="F3351" s="0" t="inlineStr">
        <is>
          <t>'800110862006</t>
        </is>
      </c>
      <c r="G3351" s="0" t="inlineStr">
        <is>
          <t>WOMENS</t>
        </is>
      </c>
      <c r="H3351" s="0" t="inlineStr">
        <is>
          <t>XS</t>
        </is>
      </c>
      <c r="I3351" s="0">
        <v>34.99</v>
      </c>
      <c r="J3351" s="0">
        <v>66</v>
      </c>
    </row>
    <row r="3352" spans="1:10" customHeight="0">
      <c r="A3352" s="0">
        <f>HYPERLINK("https://dl.dropboxusercontent.com/scl/fi/de9oaje53dcattjkmzc8t/dsc5924.jpg?rlkey=xunw31m4kg77bmn2iuka3aya9&amp;dl=0","Click to download Image")</f>
      </c>
      <c r="C3352" s="0" t="inlineStr">
        <is>
          <t>Mercy Women's Leggings</t>
        </is>
      </c>
      <c r="D3352" s="0" t="inlineStr">
        <is>
          <t>'110862</t>
        </is>
      </c>
      <c r="E3352" s="0" t="inlineStr">
        <is>
          <t>IOWA MERCY:110862A-S</t>
        </is>
      </c>
      <c r="F3352" s="0" t="inlineStr">
        <is>
          <t>'800110862013</t>
        </is>
      </c>
      <c r="G3352" s="0" t="inlineStr">
        <is>
          <t>WOMENS</t>
        </is>
      </c>
      <c r="H3352" s="0" t="inlineStr">
        <is>
          <t>S</t>
        </is>
      </c>
      <c r="I3352" s="0">
        <v>34.99</v>
      </c>
      <c r="J3352" s="0">
        <v>76</v>
      </c>
    </row>
    <row r="3353" spans="1:10" customHeight="0">
      <c r="A3353" s="0">
        <f>HYPERLINK("https://dl.dropboxusercontent.com/scl/fi/de9oaje53dcattjkmzc8t/dsc5924.jpg?rlkey=xunw31m4kg77bmn2iuka3aya9&amp;dl=0","Click to download Image")</f>
      </c>
      <c r="C3353" s="0" t="inlineStr">
        <is>
          <t>Mercy Women's Leggings</t>
        </is>
      </c>
      <c r="D3353" s="0" t="inlineStr">
        <is>
          <t>'110862</t>
        </is>
      </c>
      <c r="E3353" s="0" t="inlineStr">
        <is>
          <t>IOWA MERCY:110862B-M</t>
        </is>
      </c>
      <c r="F3353" s="0" t="inlineStr">
        <is>
          <t>'800110862020</t>
        </is>
      </c>
      <c r="G3353" s="0" t="inlineStr">
        <is>
          <t>WOMENS</t>
        </is>
      </c>
      <c r="H3353" s="0" t="inlineStr">
        <is>
          <t>M</t>
        </is>
      </c>
      <c r="I3353" s="0">
        <v>34.99</v>
      </c>
      <c r="J3353" s="0">
        <v>55</v>
      </c>
    </row>
    <row r="3354" spans="1:10" customHeight="0">
      <c r="A3354" s="0">
        <f>HYPERLINK("https://dl.dropboxusercontent.com/scl/fi/de9oaje53dcattjkmzc8t/dsc5924.jpg?rlkey=xunw31m4kg77bmn2iuka3aya9&amp;dl=0","Click to download Image")</f>
      </c>
      <c r="C3354" s="0" t="inlineStr">
        <is>
          <t>Mercy Women's Leggings</t>
        </is>
      </c>
      <c r="D3354" s="0" t="inlineStr">
        <is>
          <t>'110862</t>
        </is>
      </c>
      <c r="E3354" s="0" t="inlineStr">
        <is>
          <t>IOWA MERCY:110862C-L</t>
        </is>
      </c>
      <c r="F3354" s="0" t="inlineStr">
        <is>
          <t>'800110862037</t>
        </is>
      </c>
      <c r="G3354" s="0" t="inlineStr">
        <is>
          <t>WOMENS</t>
        </is>
      </c>
      <c r="H3354" s="0" t="inlineStr">
        <is>
          <t>L</t>
        </is>
      </c>
      <c r="I3354" s="0">
        <v>34.99</v>
      </c>
      <c r="J3354" s="0">
        <v>23</v>
      </c>
    </row>
    <row r="3355" spans="1:10" customHeight="0">
      <c r="A3355" s="0">
        <f>HYPERLINK("https://dl.dropboxusercontent.com/scl/fi/de9oaje53dcattjkmzc8t/dsc5924.jpg?rlkey=xunw31m4kg77bmn2iuka3aya9&amp;dl=0","Click to download Image")</f>
      </c>
      <c r="C3355" s="0" t="inlineStr">
        <is>
          <t>Mercy Women's Leggings</t>
        </is>
      </c>
      <c r="D3355" s="0" t="inlineStr">
        <is>
          <t>'110862</t>
        </is>
      </c>
      <c r="E3355" s="0" t="inlineStr">
        <is>
          <t>IOWA MERCY:110862D-XL</t>
        </is>
      </c>
      <c r="F3355" s="0" t="inlineStr">
        <is>
          <t>'800110862044</t>
        </is>
      </c>
      <c r="G3355" s="0" t="inlineStr">
        <is>
          <t>WOMENS</t>
        </is>
      </c>
      <c r="H3355" s="0" t="inlineStr">
        <is>
          <t>XL</t>
        </is>
      </c>
      <c r="I3355" s="0">
        <v>34.99</v>
      </c>
      <c r="J3355" s="0">
        <v>26</v>
      </c>
    </row>
    <row r="3356" spans="1:10" customHeight="0">
      <c r="A3356" s="0">
        <f>HYPERLINK("https://dl.dropboxusercontent.com/scl/fi/de9oaje53dcattjkmzc8t/dsc5924.jpg?rlkey=xunw31m4kg77bmn2iuka3aya9&amp;dl=0","Click to download Image")</f>
      </c>
      <c r="C3356" s="0" t="inlineStr">
        <is>
          <t>Mercy Women's Leggings</t>
        </is>
      </c>
      <c r="D3356" s="0" t="inlineStr">
        <is>
          <t>'110862</t>
        </is>
      </c>
      <c r="E3356" s="0" t="inlineStr">
        <is>
          <t>IOWA MERCY:110862E-2XL</t>
        </is>
      </c>
      <c r="F3356" s="0" t="inlineStr">
        <is>
          <t>'800110862051</t>
        </is>
      </c>
      <c r="G3356" s="0" t="inlineStr">
        <is>
          <t>WOMENS</t>
        </is>
      </c>
      <c r="H3356" s="0" t="inlineStr">
        <is>
          <t>2XL</t>
        </is>
      </c>
      <c r="I3356" s="0">
        <v>36.99</v>
      </c>
      <c r="J3356" s="0">
        <v>20</v>
      </c>
    </row>
    <row r="3357" spans="1:10" customHeight="0">
      <c r="A3357" s="0">
        <f>HYPERLINK("https://dl.dropboxusercontent.com/scl/fi/de9oaje53dcattjkmzc8t/dsc5924.jpg?rlkey=xunw31m4kg77bmn2iuka3aya9&amp;dl=0","Click to download Image")</f>
      </c>
      <c r="C3357" s="0" t="inlineStr">
        <is>
          <t>Mercy Women's Leggings</t>
        </is>
      </c>
      <c r="D3357" s="0" t="inlineStr">
        <is>
          <t>'110862</t>
        </is>
      </c>
      <c r="E3357" s="0" t="inlineStr">
        <is>
          <t>IOWA MERCY:110862F-3XL</t>
        </is>
      </c>
      <c r="F3357" s="0" t="inlineStr">
        <is>
          <t>'800110862068</t>
        </is>
      </c>
      <c r="G3357" s="0" t="inlineStr">
        <is>
          <t>WOMENS</t>
        </is>
      </c>
      <c r="H3357" s="0" t="inlineStr">
        <is>
          <t>3XL</t>
        </is>
      </c>
      <c r="I3357" s="0">
        <v>36.99</v>
      </c>
      <c r="J3357" s="0">
        <v>26</v>
      </c>
    </row>
    <row r="3358" spans="1:10" customHeight="0">
      <c r="A3358" s="0">
        <f>HYPERLINK("https://dl.dropboxusercontent.com/scl/fi/de9oaje53dcattjkmzc8t/dsc5924.jpg?rlkey=xunw31m4kg77bmn2iuka3aya9&amp;dl=0","Click to download Image")</f>
      </c>
      <c r="C3358" s="0" t="inlineStr">
        <is>
          <t>Mercy Women's Leggings</t>
        </is>
      </c>
      <c r="D3358" s="0" t="inlineStr">
        <is>
          <t>'110862</t>
        </is>
      </c>
      <c r="E3358" s="0" t="inlineStr">
        <is>
          <t>IOWA MERCY 12 PACK:110862Z-12PK</t>
        </is>
      </c>
      <c r="F3358" s="0" t="inlineStr">
        <is>
          <t>'800110862990</t>
        </is>
      </c>
      <c r="G3358" s="0" t="inlineStr">
        <is>
          <t>WOMENS</t>
        </is>
      </c>
      <c r="H3358" s="0" t="inlineStr">
        <is>
          <t>12 PACK</t>
        </is>
      </c>
      <c r="I3358" s="0">
        <v>407.88</v>
      </c>
      <c r="J3358" s="0">
        <v>0</v>
      </c>
    </row>
    <row r="3359" spans="1:10" customHeight="0">
      <c r="A3359" s="0">
        <f>HYPERLINK("https://dl.dropboxusercontent.com/scl/fi/s8i7do8ldv0hg6z43uv1g/104281-af.jpg?rlkey=fhr1ijp5b3cbhhfkk017js2jz&amp;dl=0","Click to download Image")</f>
      </c>
      <c r="C3359" s="0" t="inlineStr">
        <is>
          <t>Mick Men's Cap</t>
        </is>
      </c>
      <c r="D3359" s="0" t="inlineStr">
        <is>
          <t>'104281</t>
        </is>
      </c>
      <c r="E3359" s="0" t="inlineStr">
        <is>
          <t>MICK:104281</t>
        </is>
      </c>
      <c r="F3359" s="0" t="inlineStr">
        <is>
          <t>'000000000000</t>
        </is>
      </c>
      <c r="G3359" s="0" t="inlineStr">
        <is>
          <t>MENS</t>
        </is>
      </c>
      <c r="H3359" s="0" t="inlineStr">
        <is>
          <t>STANDARD MENS</t>
        </is>
      </c>
      <c r="I3359" s="0">
        <v>24.99</v>
      </c>
      <c r="J3359" s="0">
        <v>45</v>
      </c>
    </row>
    <row r="3360" spans="1:10" customHeight="0">
      <c r="A3360" s="0">
        <f>HYPERLINK("https://dl.dropboxusercontent.com/scl/fi/4ysajothx1wd65g0jqq1r/104284-af.jpg?rlkey=092ytlxyabfkgqb9fyglmdu2x&amp;dl=0","Click to download Image")</f>
      </c>
      <c r="C3360" s="0" t="inlineStr">
        <is>
          <t>Mick Men's Cap</t>
        </is>
      </c>
      <c r="D3360" s="0" t="inlineStr">
        <is>
          <t>'104284</t>
        </is>
      </c>
      <c r="E3360" s="0" t="inlineStr">
        <is>
          <t>MICK:104284</t>
        </is>
      </c>
      <c r="F3360" s="0" t="inlineStr">
        <is>
          <t>'700104284015</t>
        </is>
      </c>
      <c r="G3360" s="0" t="inlineStr">
        <is>
          <t>MENS</t>
        </is>
      </c>
      <c r="H3360" s="0" t="inlineStr">
        <is>
          <t>STANDARD MENS</t>
        </is>
      </c>
      <c r="I3360" s="0">
        <v>24.99</v>
      </c>
      <c r="J3360" s="0">
        <v>73</v>
      </c>
    </row>
    <row r="3361" spans="1:10" customHeight="0">
      <c r="A3361" s="0">
        <f>HYPERLINK("https://dl.dropboxusercontent.com/scl/fi/zxyofeoyduzfuma0vd1o3/104285-af.jpg?rlkey=t9ggvbsnn3h511k73686yk4ux&amp;dl=0","Click to download Image")</f>
      </c>
      <c r="C3361" s="0" t="inlineStr">
        <is>
          <t>Mick Men's Cap</t>
        </is>
      </c>
      <c r="D3361" s="0" t="inlineStr">
        <is>
          <t>'104285</t>
        </is>
      </c>
      <c r="E3361" s="0" t="inlineStr">
        <is>
          <t>MICK:104285</t>
        </is>
      </c>
      <c r="F3361" s="0" t="inlineStr">
        <is>
          <t>'000000000000</t>
        </is>
      </c>
      <c r="G3361" s="0" t="inlineStr">
        <is>
          <t>MENS</t>
        </is>
      </c>
      <c r="H3361" s="0" t="inlineStr">
        <is>
          <t>STANDARD MENS</t>
        </is>
      </c>
      <c r="I3361" s="0">
        <v>24.99</v>
      </c>
      <c r="J3361" s="0">
        <v>40</v>
      </c>
    </row>
    <row r="3362" spans="1:10" customHeight="0">
      <c r="A3362" s="0">
        <f>HYPERLINK("https://dl.dropboxusercontent.com/scl/fi/3md1bxcnjguyspg065jjx/104286-af.jpg?rlkey=k0au8gtbwd1pvzv5pdcwcecib&amp;dl=0","Click to download Image")</f>
      </c>
      <c r="C3362" s="0" t="inlineStr">
        <is>
          <t>Mick Men's Cap</t>
        </is>
      </c>
      <c r="D3362" s="0" t="inlineStr">
        <is>
          <t>'104286</t>
        </is>
      </c>
      <c r="E3362" s="0" t="inlineStr">
        <is>
          <t>MICK:104286</t>
        </is>
      </c>
      <c r="F3362" s="0" t="inlineStr">
        <is>
          <t>'000000000000</t>
        </is>
      </c>
      <c r="G3362" s="0" t="inlineStr">
        <is>
          <t>MENS</t>
        </is>
      </c>
      <c r="H3362" s="0" t="inlineStr">
        <is>
          <t>STANDARD MENS</t>
        </is>
      </c>
      <c r="I3362" s="0">
        <v>24.99</v>
      </c>
      <c r="J3362" s="0">
        <v>139</v>
      </c>
    </row>
    <row r="3363" spans="1:10" customHeight="0">
      <c r="A3363" s="0">
        <f>HYPERLINK("https://dl.dropboxusercontent.com/scl/fi/use0jh89fkpmvcneqb1y3/104288-af.jpg?rlkey=n3nv646ikvrk3fslkyz1qv2iw&amp;dl=0","Click to download Image")</f>
      </c>
      <c r="C3363" s="0" t="inlineStr">
        <is>
          <t>Mick Men's Cap</t>
        </is>
      </c>
      <c r="D3363" s="0" t="inlineStr">
        <is>
          <t>'104288</t>
        </is>
      </c>
      <c r="E3363" s="0" t="inlineStr">
        <is>
          <t>MICK:104288</t>
        </is>
      </c>
      <c r="F3363" s="0" t="inlineStr">
        <is>
          <t>'000000000000</t>
        </is>
      </c>
      <c r="G3363" s="0" t="inlineStr">
        <is>
          <t>MENS</t>
        </is>
      </c>
      <c r="H3363" s="0" t="inlineStr">
        <is>
          <t>STANDARD MENS</t>
        </is>
      </c>
      <c r="I3363" s="0">
        <v>24.99</v>
      </c>
      <c r="J3363" s="0">
        <v>92</v>
      </c>
    </row>
    <row r="3364" spans="1:10" customHeight="0">
      <c r="A3364" s="0">
        <f>HYPERLINK("https://dl.dropboxusercontent.com/scl/fi/n0vekl9du1rbn55ker7nq/104283-af.jpg?rlkey=fgia0uoel1gxc92td99mmanx1&amp;dl=0","Click to download Image")</f>
      </c>
      <c r="C3364" s="0" t="inlineStr">
        <is>
          <t>Mick Men's Cap</t>
        </is>
      </c>
      <c r="D3364" s="0" t="inlineStr">
        <is>
          <t>'104283</t>
        </is>
      </c>
      <c r="E3364" s="0" t="inlineStr">
        <is>
          <t>MICK:104283</t>
        </is>
      </c>
      <c r="F3364" s="0" t="inlineStr">
        <is>
          <t>'000000000000</t>
        </is>
      </c>
      <c r="G3364" s="0" t="inlineStr">
        <is>
          <t>MENS</t>
        </is>
      </c>
      <c r="H3364" s="0" t="inlineStr">
        <is>
          <t>STANDARD MENS</t>
        </is>
      </c>
      <c r="I3364" s="0">
        <v>24.99</v>
      </c>
      <c r="J3364" s="0">
        <v>104</v>
      </c>
    </row>
    <row r="3365" spans="1:10" customHeight="0">
      <c r="A3365" s="0">
        <f>HYPERLINK("https://dl.dropboxusercontent.com/scl/fi/nmlyxaof808ncchdrcpr4/104282-af.jpg?rlkey=jzqhe357rxob71irdu7kai1ee&amp;dl=0","Click to download Image")</f>
      </c>
      <c r="C3365" s="0" t="inlineStr">
        <is>
          <t>Mick Men's Cap</t>
        </is>
      </c>
      <c r="D3365" s="0" t="inlineStr">
        <is>
          <t>'104282</t>
        </is>
      </c>
      <c r="E3365" s="0" t="inlineStr">
        <is>
          <t>MICK:104282</t>
        </is>
      </c>
      <c r="F3365" s="0" t="inlineStr">
        <is>
          <t>'000000000000</t>
        </is>
      </c>
      <c r="G3365" s="0" t="inlineStr">
        <is>
          <t>MENS</t>
        </is>
      </c>
      <c r="H3365" s="0" t="inlineStr">
        <is>
          <t>STANDARD MENS</t>
        </is>
      </c>
      <c r="I3365" s="0">
        <v>24.99</v>
      </c>
      <c r="J3365" s="0">
        <v>66</v>
      </c>
    </row>
    <row r="3366" spans="1:10" customHeight="0">
      <c r="A3366" s="0">
        <f>HYPERLINK("https://dl.dropboxusercontent.com/scl/fi/px2j0j2fscj9yr4wcxpwy/104287-af.jpg?rlkey=wtrw9minr9uhkwue5skudasrd&amp;dl=0","Click to download Image")</f>
      </c>
      <c r="C3366" s="0" t="inlineStr">
        <is>
          <t>Mick Men's Cap</t>
        </is>
      </c>
      <c r="D3366" s="0" t="inlineStr">
        <is>
          <t>'104287</t>
        </is>
      </c>
      <c r="E3366" s="0" t="inlineStr">
        <is>
          <t>MICK:104287</t>
        </is>
      </c>
      <c r="F3366" s="0" t="inlineStr">
        <is>
          <t>'000000000000</t>
        </is>
      </c>
      <c r="G3366" s="0" t="inlineStr">
        <is>
          <t>MENS</t>
        </is>
      </c>
      <c r="H3366" s="0" t="inlineStr">
        <is>
          <t>STANDARD MENS</t>
        </is>
      </c>
      <c r="I3366" s="0">
        <v>24.99</v>
      </c>
      <c r="J3366" s="0">
        <v>138</v>
      </c>
    </row>
    <row r="3367" spans="1:10" customHeight="0">
      <c r="A3367" s="0">
        <f>HYPERLINK("https://dl.dropboxusercontent.com/scl/fi/uxbox25jvs5ybeo51t4qr/111465f30849.jpg?rlkey=i0rfvjxl7xrwy5zo5msoatoce&amp;dl=0","Click to download Image")</f>
      </c>
      <c r="B3367" s="0">
        <f>HYPERLINK("https://dl.dropboxusercontent.com/scl/fi/8n2ns85x6z91x7wqov1es/mens-t-shirt-size-chartsodessa.jpg?rlkey=50x3lbih4qn4i834ccfbpn5ob&amp;dl=0","Click to download SizeChart")</f>
      </c>
      <c r="C3367" s="0" t="inlineStr">
        <is>
          <t>Odessa Men's Cotton Long Sleeve</t>
        </is>
      </c>
      <c r="D3367" s="0" t="inlineStr">
        <is>
          <t>'109579</t>
        </is>
      </c>
      <c r="E3367" s="0" t="inlineStr">
        <is>
          <t>UNI ODESSA PURPLE:109579A-S</t>
        </is>
      </c>
      <c r="F3367" s="0" t="inlineStr">
        <is>
          <t>'802109579049</t>
        </is>
      </c>
      <c r="G3367" s="0" t="inlineStr">
        <is>
          <t>MENS</t>
        </is>
      </c>
      <c r="H3367" s="0" t="inlineStr">
        <is>
          <t>S</t>
        </is>
      </c>
      <c r="I3367" s="0">
        <v>28.99</v>
      </c>
      <c r="J3367" s="0">
        <v>0</v>
      </c>
    </row>
    <row r="3368" spans="1:10" customHeight="0">
      <c r="A3368" s="0">
        <f>HYPERLINK("https://dl.dropboxusercontent.com/scl/fi/uxbox25jvs5ybeo51t4qr/111465f30849.jpg?rlkey=i0rfvjxl7xrwy5zo5msoatoce&amp;dl=0","Click to download Image")</f>
      </c>
      <c r="B3368" s="0">
        <f>HYPERLINK("https://dl.dropboxusercontent.com/scl/fi/8n2ns85x6z91x7wqov1es/mens-t-shirt-size-chartsodessa.jpg?rlkey=50x3lbih4qn4i834ccfbpn5ob&amp;dl=0","Click to download SizeChart")</f>
      </c>
      <c r="C3368" s="0" t="inlineStr">
        <is>
          <t>Odessa Men's Cotton Long Sleeve</t>
        </is>
      </c>
      <c r="D3368" s="0" t="inlineStr">
        <is>
          <t>'109579</t>
        </is>
      </c>
      <c r="E3368" s="0" t="inlineStr">
        <is>
          <t>UNI ODESSA PURPLE:109579B-M</t>
        </is>
      </c>
      <c r="F3368" s="0" t="inlineStr">
        <is>
          <t>'802109579056</t>
        </is>
      </c>
      <c r="G3368" s="0" t="inlineStr">
        <is>
          <t>MENS</t>
        </is>
      </c>
      <c r="H3368" s="0" t="inlineStr">
        <is>
          <t>M</t>
        </is>
      </c>
      <c r="I3368" s="0">
        <v>28.99</v>
      </c>
      <c r="J3368" s="0">
        <v>0</v>
      </c>
    </row>
    <row r="3369" spans="1:10" customHeight="0">
      <c r="A3369" s="0">
        <f>HYPERLINK("https://dl.dropboxusercontent.com/scl/fi/uxbox25jvs5ybeo51t4qr/111465f30849.jpg?rlkey=i0rfvjxl7xrwy5zo5msoatoce&amp;dl=0","Click to download Image")</f>
      </c>
      <c r="B3369" s="0">
        <f>HYPERLINK("https://dl.dropboxusercontent.com/scl/fi/8n2ns85x6z91x7wqov1es/mens-t-shirt-size-chartsodessa.jpg?rlkey=50x3lbih4qn4i834ccfbpn5ob&amp;dl=0","Click to download SizeChart")</f>
      </c>
      <c r="C3369" s="0" t="inlineStr">
        <is>
          <t>Odessa Men's Cotton Long Sleeve</t>
        </is>
      </c>
      <c r="D3369" s="0" t="inlineStr">
        <is>
          <t>'109579</t>
        </is>
      </c>
      <c r="E3369" s="0" t="inlineStr">
        <is>
          <t>UNI ODESSA PURPLE:109579C-L</t>
        </is>
      </c>
      <c r="F3369" s="0" t="inlineStr">
        <is>
          <t>'802109579063</t>
        </is>
      </c>
      <c r="G3369" s="0" t="inlineStr">
        <is>
          <t>MENS</t>
        </is>
      </c>
      <c r="H3369" s="0" t="inlineStr">
        <is>
          <t>L</t>
        </is>
      </c>
      <c r="I3369" s="0">
        <v>28.99</v>
      </c>
      <c r="J3369" s="0">
        <v>0</v>
      </c>
    </row>
    <row r="3370" spans="1:10" customHeight="0">
      <c r="A3370" s="0">
        <f>HYPERLINK("https://dl.dropboxusercontent.com/scl/fi/uxbox25jvs5ybeo51t4qr/111465f30849.jpg?rlkey=i0rfvjxl7xrwy5zo5msoatoce&amp;dl=0","Click to download Image")</f>
      </c>
      <c r="B3370" s="0">
        <f>HYPERLINK("https://dl.dropboxusercontent.com/scl/fi/8n2ns85x6z91x7wqov1es/mens-t-shirt-size-chartsodessa.jpg?rlkey=50x3lbih4qn4i834ccfbpn5ob&amp;dl=0","Click to download SizeChart")</f>
      </c>
      <c r="C3370" s="0" t="inlineStr">
        <is>
          <t>Odessa Men's Cotton Long Sleeve</t>
        </is>
      </c>
      <c r="D3370" s="0" t="inlineStr">
        <is>
          <t>'109579</t>
        </is>
      </c>
      <c r="E3370" s="0" t="inlineStr">
        <is>
          <t>UNI ODESSA PURPLE:109579D-XL</t>
        </is>
      </c>
      <c r="F3370" s="0" t="inlineStr">
        <is>
          <t>'802109579070</t>
        </is>
      </c>
      <c r="G3370" s="0" t="inlineStr">
        <is>
          <t>MENS</t>
        </is>
      </c>
      <c r="H3370" s="0" t="inlineStr">
        <is>
          <t>XL</t>
        </is>
      </c>
      <c r="I3370" s="0">
        <v>28.99</v>
      </c>
      <c r="J3370" s="0">
        <v>2</v>
      </c>
    </row>
    <row r="3371" spans="1:10" customHeight="0">
      <c r="A3371" s="0">
        <f>HYPERLINK("https://dl.dropboxusercontent.com/scl/fi/uxbox25jvs5ybeo51t4qr/111465f30849.jpg?rlkey=i0rfvjxl7xrwy5zo5msoatoce&amp;dl=0","Click to download Image")</f>
      </c>
      <c r="B3371" s="0">
        <f>HYPERLINK("https://dl.dropboxusercontent.com/scl/fi/8n2ns85x6z91x7wqov1es/mens-t-shirt-size-chartsodessa.jpg?rlkey=50x3lbih4qn4i834ccfbpn5ob&amp;dl=0","Click to download SizeChart")</f>
      </c>
      <c r="C3371" s="0" t="inlineStr">
        <is>
          <t>Odessa Men's Cotton Long Sleeve</t>
        </is>
      </c>
      <c r="D3371" s="0" t="inlineStr">
        <is>
          <t>'109579</t>
        </is>
      </c>
      <c r="E3371" s="0" t="inlineStr">
        <is>
          <t>UNI ODESSA PURPLE:109579E-2XL</t>
        </is>
      </c>
      <c r="F3371" s="0" t="inlineStr">
        <is>
          <t>'802109579087</t>
        </is>
      </c>
      <c r="G3371" s="0" t="inlineStr">
        <is>
          <t>MENS</t>
        </is>
      </c>
      <c r="H3371" s="0" t="inlineStr">
        <is>
          <t>2XL</t>
        </is>
      </c>
      <c r="I3371" s="0">
        <v>30.99</v>
      </c>
      <c r="J3371" s="0">
        <v>0</v>
      </c>
    </row>
    <row r="3372" spans="1:10" customHeight="0">
      <c r="A3372" s="0">
        <f>HYPERLINK("https://dl.dropboxusercontent.com/scl/fi/uxbox25jvs5ybeo51t4qr/111465f30849.jpg?rlkey=i0rfvjxl7xrwy5zo5msoatoce&amp;dl=0","Click to download Image")</f>
      </c>
      <c r="B3372" s="0">
        <f>HYPERLINK("https://dl.dropboxusercontent.com/scl/fi/8n2ns85x6z91x7wqov1es/mens-t-shirt-size-chartsodessa.jpg?rlkey=50x3lbih4qn4i834ccfbpn5ob&amp;dl=0","Click to download SizeChart")</f>
      </c>
      <c r="C3372" s="0" t="inlineStr">
        <is>
          <t>Odessa Men's Cotton Long Sleeve</t>
        </is>
      </c>
      <c r="D3372" s="0" t="inlineStr">
        <is>
          <t>'109579</t>
        </is>
      </c>
      <c r="E3372" s="0" t="inlineStr">
        <is>
          <t>UNI ODESSA PURPLE:109579F-3XL</t>
        </is>
      </c>
      <c r="F3372" s="0" t="inlineStr">
        <is>
          <t>'802109579094</t>
        </is>
      </c>
      <c r="G3372" s="0" t="inlineStr">
        <is>
          <t>MENS</t>
        </is>
      </c>
      <c r="H3372" s="0" t="inlineStr">
        <is>
          <t>3XL</t>
        </is>
      </c>
      <c r="I3372" s="0">
        <v>30.99</v>
      </c>
      <c r="J3372" s="0">
        <v>3</v>
      </c>
    </row>
    <row r="3373" spans="1:10" customHeight="0">
      <c r="A3373" s="0">
        <f>HYPERLINK("https://dl.dropboxusercontent.com/scl/fi/uxbox25jvs5ybeo51t4qr/111465f30849.jpg?rlkey=i0rfvjxl7xrwy5zo5msoatoce&amp;dl=0","Click to download Image")</f>
      </c>
      <c r="B3373" s="0">
        <f>HYPERLINK("https://dl.dropboxusercontent.com/scl/fi/8n2ns85x6z91x7wqov1es/mens-t-shirt-size-chartsodessa.jpg?rlkey=50x3lbih4qn4i834ccfbpn5ob&amp;dl=0","Click to download SizeChart")</f>
      </c>
      <c r="C3373" s="0" t="inlineStr">
        <is>
          <t>Odessa Men's Cotton Long Sleeve</t>
        </is>
      </c>
      <c r="D3373" s="0" t="inlineStr">
        <is>
          <t>'109579</t>
        </is>
      </c>
      <c r="E3373" s="0" t="inlineStr">
        <is>
          <t>UNI ODESSA PURPLE 12 PACK:109579Z-12PK</t>
        </is>
      </c>
      <c r="F3373" s="0" t="inlineStr">
        <is>
          <t>'802109579995</t>
        </is>
      </c>
      <c r="G3373" s="0" t="inlineStr">
        <is>
          <t>MENS</t>
        </is>
      </c>
      <c r="H3373" s="0" t="inlineStr">
        <is>
          <t>12 PACK</t>
        </is>
      </c>
      <c r="I3373" s="0">
        <v>329.88</v>
      </c>
      <c r="J3373" s="0">
        <v>0</v>
      </c>
    </row>
    <row r="3374" spans="1:10" customHeight="0">
      <c r="A3374" s="0">
        <f>HYPERLINK("https://dl.dropboxusercontent.com/scl/fi/q2smau992drpqpy13ukr8/92167-af.jpg?rlkey=yvb43gn1lxz5mucuv1rsak2dh&amp;dl=0","Click to download Image")</f>
      </c>
      <c r="C3374" s="0" t="inlineStr">
        <is>
          <t>Ombre Extra-Large Backpack</t>
        </is>
      </c>
      <c r="D3374" s="0" t="inlineStr">
        <is>
          <t>'92167</t>
        </is>
      </c>
      <c r="E3374" s="0" t="inlineStr">
        <is>
          <t>OMBRE XLARGE:92167-XL</t>
        </is>
      </c>
      <c r="F3374" s="0" t="inlineStr">
        <is>
          <t>'000000000000</t>
        </is>
      </c>
      <c r="H3374" s="0" t="inlineStr">
        <is>
          <t>15" W X 21" H X 10" D</t>
        </is>
      </c>
      <c r="I3374" s="0">
        <v>59.99</v>
      </c>
      <c r="J3374" s="0">
        <v>388</v>
      </c>
    </row>
    <row r="3375" spans="1:10" customHeight="0">
      <c r="A3375" s="0">
        <f>HYPERLINK("https://dl.dropboxusercontent.com/scl/fi/23x72ady99unj306u23pm/92596-af.jpg?rlkey=8wzqydk9nar03kpjiqg213cea&amp;dl=0","Click to download Image")</f>
      </c>
      <c r="C3375" s="0" t="inlineStr">
        <is>
          <t>Ombre Standard Backpack</t>
        </is>
      </c>
      <c r="D3375" s="0" t="inlineStr">
        <is>
          <t>'92596</t>
        </is>
      </c>
      <c r="E3375" s="0" t="inlineStr">
        <is>
          <t>OMBRE STANDARD:92596-ST</t>
        </is>
      </c>
      <c r="F3375" s="0" t="inlineStr">
        <is>
          <t>'000000000000</t>
        </is>
      </c>
      <c r="H3375" s="0" t="inlineStr">
        <is>
          <t>11" W X 16" H X 8" D</t>
        </is>
      </c>
      <c r="I3375" s="0">
        <v>49.99</v>
      </c>
      <c r="J3375" s="0">
        <v>158</v>
      </c>
    </row>
    <row r="3376" spans="1:10" customHeight="0">
      <c r="A3376" s="0">
        <f>HYPERLINK("https://dl.dropboxusercontent.com/scl/fi/ou04ywtayvo1c524ms4fl/92597-af-1.jpg?rlkey=skory5ttfsdx7aozje4pwtg7q&amp;dl=0","Click to download Image")</f>
      </c>
      <c r="C3376" s="0" t="inlineStr">
        <is>
          <t>Ombre Mini Backpack</t>
        </is>
      </c>
      <c r="D3376" s="0" t="inlineStr">
        <is>
          <t>'92597</t>
        </is>
      </c>
      <c r="E3376" s="0" t="inlineStr">
        <is>
          <t>OMBRE SMALL:92597-MN</t>
        </is>
      </c>
      <c r="F3376" s="0" t="inlineStr">
        <is>
          <t>'000000000000</t>
        </is>
      </c>
      <c r="H3376" s="0" t="inlineStr">
        <is>
          <t>8.5" W X 11" H X 4.5" D</t>
        </is>
      </c>
      <c r="I3376" s="0">
        <v>39.99</v>
      </c>
      <c r="J3376" s="0">
        <v>127</v>
      </c>
    </row>
    <row r="3377" spans="1:10" customHeight="0">
      <c r="A3377" s="0">
        <f>HYPERLINK("https://dl.dropboxusercontent.com/scl/fi/6uchrgyk8pokos84x881w/113326af.jpg?rlkey=loswmsgkrv94g4qto0irjq6zv&amp;dl=0","Click to download Image")</f>
      </c>
      <c r="B3377" s="0">
        <f>HYPERLINK("https://dl.dropboxusercontent.com/scl/fi/6ee2xmve26z8mwme3a3l8/womens-t-shirt-size-chartspatty.jpg?rlkey=byg787eigva4lyohdhslw3xx3&amp;dl=0","Click to download SizeChart")</f>
      </c>
      <c r="C3377" s="0" t="inlineStr">
        <is>
          <t>Patty Women's Ripped Long Sleeve</t>
        </is>
      </c>
      <c r="D3377" s="0" t="inlineStr">
        <is>
          <t>'113326</t>
        </is>
      </c>
      <c r="E3377" s="0" t="inlineStr">
        <is>
          <t>IOWA PATTY W GREY:113326A-S</t>
        </is>
      </c>
      <c r="F3377" s="0" t="inlineStr">
        <is>
          <t>'800113326048</t>
        </is>
      </c>
      <c r="G3377" s="0" t="inlineStr">
        <is>
          <t>WOMENS</t>
        </is>
      </c>
      <c r="H3377" s="0" t="inlineStr">
        <is>
          <t>S</t>
        </is>
      </c>
      <c r="I3377" s="0">
        <v>41.99</v>
      </c>
      <c r="J3377" s="0">
        <v>14</v>
      </c>
    </row>
    <row r="3378" spans="1:10" customHeight="0">
      <c r="A3378" s="0">
        <f>HYPERLINK("https://dl.dropboxusercontent.com/scl/fi/6uchrgyk8pokos84x881w/113326af.jpg?rlkey=loswmsgkrv94g4qto0irjq6zv&amp;dl=0","Click to download Image")</f>
      </c>
      <c r="B3378" s="0">
        <f>HYPERLINK("https://dl.dropboxusercontent.com/scl/fi/6ee2xmve26z8mwme3a3l8/womens-t-shirt-size-chartspatty.jpg?rlkey=byg787eigva4lyohdhslw3xx3&amp;dl=0","Click to download SizeChart")</f>
      </c>
      <c r="C3378" s="0" t="inlineStr">
        <is>
          <t>Patty Women's Ripped Long Sleeve</t>
        </is>
      </c>
      <c r="D3378" s="0" t="inlineStr">
        <is>
          <t>'113326</t>
        </is>
      </c>
      <c r="E3378" s="0" t="inlineStr">
        <is>
          <t>IOWA PATTY W GREY:113326B-M</t>
        </is>
      </c>
      <c r="F3378" s="0" t="inlineStr">
        <is>
          <t>'800113326055</t>
        </is>
      </c>
      <c r="G3378" s="0" t="inlineStr">
        <is>
          <t>WOMENS</t>
        </is>
      </c>
      <c r="H3378" s="0" t="inlineStr">
        <is>
          <t>M</t>
        </is>
      </c>
      <c r="I3378" s="0">
        <v>41.99</v>
      </c>
      <c r="J3378" s="0">
        <v>30</v>
      </c>
    </row>
    <row r="3379" spans="1:10" customHeight="0">
      <c r="A3379" s="0">
        <f>HYPERLINK("https://dl.dropboxusercontent.com/scl/fi/6uchrgyk8pokos84x881w/113326af.jpg?rlkey=loswmsgkrv94g4qto0irjq6zv&amp;dl=0","Click to download Image")</f>
      </c>
      <c r="B3379" s="0">
        <f>HYPERLINK("https://dl.dropboxusercontent.com/scl/fi/6ee2xmve26z8mwme3a3l8/womens-t-shirt-size-chartspatty.jpg?rlkey=byg787eigva4lyohdhslw3xx3&amp;dl=0","Click to download SizeChart")</f>
      </c>
      <c r="C3379" s="0" t="inlineStr">
        <is>
          <t>Patty Women's Ripped Long Sleeve</t>
        </is>
      </c>
      <c r="D3379" s="0" t="inlineStr">
        <is>
          <t>'113326</t>
        </is>
      </c>
      <c r="E3379" s="0" t="inlineStr">
        <is>
          <t>IOWA PATTY W GREY:113326C-L</t>
        </is>
      </c>
      <c r="F3379" s="0" t="inlineStr">
        <is>
          <t>'800113326062</t>
        </is>
      </c>
      <c r="G3379" s="0" t="inlineStr">
        <is>
          <t>WOMENS</t>
        </is>
      </c>
      <c r="H3379" s="0" t="inlineStr">
        <is>
          <t>L</t>
        </is>
      </c>
      <c r="I3379" s="0">
        <v>41.99</v>
      </c>
      <c r="J3379" s="0">
        <v>23</v>
      </c>
    </row>
    <row r="3380" spans="1:10" customHeight="0">
      <c r="A3380" s="0">
        <f>HYPERLINK("https://dl.dropboxusercontent.com/scl/fi/6uchrgyk8pokos84x881w/113326af.jpg?rlkey=loswmsgkrv94g4qto0irjq6zv&amp;dl=0","Click to download Image")</f>
      </c>
      <c r="B3380" s="0">
        <f>HYPERLINK("https://dl.dropboxusercontent.com/scl/fi/6ee2xmve26z8mwme3a3l8/womens-t-shirt-size-chartspatty.jpg?rlkey=byg787eigva4lyohdhslw3xx3&amp;dl=0","Click to download SizeChart")</f>
      </c>
      <c r="C3380" s="0" t="inlineStr">
        <is>
          <t>Patty Women's Ripped Long Sleeve</t>
        </is>
      </c>
      <c r="D3380" s="0" t="inlineStr">
        <is>
          <t>'113326</t>
        </is>
      </c>
      <c r="E3380" s="0" t="inlineStr">
        <is>
          <t>IOWA PATTY W GREY:113326D-XL</t>
        </is>
      </c>
      <c r="F3380" s="0" t="inlineStr">
        <is>
          <t>'800113326079</t>
        </is>
      </c>
      <c r="G3380" s="0" t="inlineStr">
        <is>
          <t>WOMENS</t>
        </is>
      </c>
      <c r="H3380" s="0" t="inlineStr">
        <is>
          <t>XL</t>
        </is>
      </c>
      <c r="I3380" s="0">
        <v>41.99</v>
      </c>
      <c r="J3380" s="0">
        <v>14</v>
      </c>
    </row>
    <row r="3381" spans="1:10" customHeight="0">
      <c r="A3381" s="0">
        <f>HYPERLINK("https://dl.dropboxusercontent.com/scl/fi/6uchrgyk8pokos84x881w/113326af.jpg?rlkey=loswmsgkrv94g4qto0irjq6zv&amp;dl=0","Click to download Image")</f>
      </c>
      <c r="B3381" s="0">
        <f>HYPERLINK("https://dl.dropboxusercontent.com/scl/fi/6ee2xmve26z8mwme3a3l8/womens-t-shirt-size-chartspatty.jpg?rlkey=byg787eigva4lyohdhslw3xx3&amp;dl=0","Click to download SizeChart")</f>
      </c>
      <c r="C3381" s="0" t="inlineStr">
        <is>
          <t>Patty Women's Ripped Long Sleeve</t>
        </is>
      </c>
      <c r="D3381" s="0" t="inlineStr">
        <is>
          <t>'113326</t>
        </is>
      </c>
      <c r="E3381" s="0" t="inlineStr">
        <is>
          <t>IOWA PATTY W GREY:113326E-2XL</t>
        </is>
      </c>
      <c r="F3381" s="0" t="inlineStr">
        <is>
          <t>'800113326086</t>
        </is>
      </c>
      <c r="G3381" s="0" t="inlineStr">
        <is>
          <t>WOMENS</t>
        </is>
      </c>
      <c r="H3381" s="0" t="inlineStr">
        <is>
          <t>2XL</t>
        </is>
      </c>
      <c r="I3381" s="0">
        <v>43.99</v>
      </c>
      <c r="J3381" s="0">
        <v>15</v>
      </c>
    </row>
    <row r="3382" spans="1:10" customHeight="0">
      <c r="A3382" s="0">
        <f>HYPERLINK("https://dl.dropboxusercontent.com/scl/fi/6uchrgyk8pokos84x881w/113326af.jpg?rlkey=loswmsgkrv94g4qto0irjq6zv&amp;dl=0","Click to download Image")</f>
      </c>
      <c r="B3382" s="0">
        <f>HYPERLINK("https://dl.dropboxusercontent.com/scl/fi/6ee2xmve26z8mwme3a3l8/womens-t-shirt-size-chartspatty.jpg?rlkey=byg787eigva4lyohdhslw3xx3&amp;dl=0","Click to download SizeChart")</f>
      </c>
      <c r="C3382" s="0" t="inlineStr">
        <is>
          <t>Patty Women's Ripped Long Sleeve</t>
        </is>
      </c>
      <c r="D3382" s="0" t="inlineStr">
        <is>
          <t>'113326</t>
        </is>
      </c>
      <c r="E3382" s="0" t="inlineStr">
        <is>
          <t>IOWA PATTY W GREY:113326F-3XL</t>
        </is>
      </c>
      <c r="F3382" s="0" t="inlineStr">
        <is>
          <t>'800113326093</t>
        </is>
      </c>
      <c r="G3382" s="0" t="inlineStr">
        <is>
          <t>WOMENS</t>
        </is>
      </c>
      <c r="H3382" s="0" t="inlineStr">
        <is>
          <t>3XL</t>
        </is>
      </c>
      <c r="I3382" s="0">
        <v>43.99</v>
      </c>
      <c r="J3382" s="0">
        <v>8</v>
      </c>
    </row>
    <row r="3383" spans="1:10" customHeight="0">
      <c r="A3383" s="0">
        <f>HYPERLINK("https://dl.dropboxusercontent.com/scl/fi/6uchrgyk8pokos84x881w/113326af.jpg?rlkey=loswmsgkrv94g4qto0irjq6zv&amp;dl=0","Click to download Image")</f>
      </c>
      <c r="B3383" s="0">
        <f>HYPERLINK("https://dl.dropboxusercontent.com/scl/fi/6ee2xmve26z8mwme3a3l8/womens-t-shirt-size-chartspatty.jpg?rlkey=byg787eigva4lyohdhslw3xx3&amp;dl=0","Click to download SizeChart")</f>
      </c>
      <c r="C3383" s="0" t="inlineStr">
        <is>
          <t>Patty Women's Ripped Long Sleeve</t>
        </is>
      </c>
      <c r="D3383" s="0" t="inlineStr">
        <is>
          <t>'113326</t>
        </is>
      </c>
      <c r="E3383" s="0" t="inlineStr">
        <is>
          <t>IOWA PATTY W GREY 12 PACK:113326Z-12PK</t>
        </is>
      </c>
      <c r="F3383" s="0" t="inlineStr">
        <is>
          <t>'800113326994</t>
        </is>
      </c>
      <c r="G3383" s="0" t="inlineStr">
        <is>
          <t>WOMENS</t>
        </is>
      </c>
      <c r="H3383" s="0" t="inlineStr">
        <is>
          <t>12 PACK</t>
        </is>
      </c>
      <c r="I3383" s="0">
        <v>480</v>
      </c>
      <c r="J3383" s="0">
        <v>0</v>
      </c>
    </row>
    <row r="3384" spans="1:10" customHeight="0">
      <c r="A3384" s="0">
        <f>HYPERLINK("https://dl.dropboxusercontent.com/scl/fi/1xzf5axg6n2yxgxdmv4zg/patty-isu-113327.jpg?rlkey=50bktp2tiiotn4qnqvaljylbz&amp;dl=0","Click to download Image")</f>
      </c>
      <c r="B3384" s="0">
        <f>HYPERLINK("https://dl.dropboxusercontent.com/scl/fi/6ee2xmve26z8mwme3a3l8/womens-t-shirt-size-chartspatty.jpg?rlkey=byg787eigva4lyohdhslw3xx3&amp;dl=0","Click to download SizeChart")</f>
      </c>
      <c r="C3384" s="0" t="inlineStr">
        <is>
          <t>Patty Women's Ripped Long Sleeve</t>
        </is>
      </c>
      <c r="D3384" s="0" t="inlineStr">
        <is>
          <t>'113327</t>
        </is>
      </c>
      <c r="E3384" s="0" t="inlineStr">
        <is>
          <t>ISU PATTY W GREY:113327A-S</t>
        </is>
      </c>
      <c r="F3384" s="0" t="inlineStr">
        <is>
          <t>'801113327042</t>
        </is>
      </c>
      <c r="G3384" s="0" t="inlineStr">
        <is>
          <t>WOMENS</t>
        </is>
      </c>
      <c r="H3384" s="0" t="inlineStr">
        <is>
          <t>S</t>
        </is>
      </c>
      <c r="I3384" s="0">
        <v>41.99</v>
      </c>
      <c r="J3384" s="0">
        <v>12</v>
      </c>
    </row>
    <row r="3385" spans="1:10" customHeight="0">
      <c r="A3385" s="0">
        <f>HYPERLINK("https://dl.dropboxusercontent.com/scl/fi/1xzf5axg6n2yxgxdmv4zg/patty-isu-113327.jpg?rlkey=50bktp2tiiotn4qnqvaljylbz&amp;dl=0","Click to download Image")</f>
      </c>
      <c r="B3385" s="0">
        <f>HYPERLINK("https://dl.dropboxusercontent.com/scl/fi/6ee2xmve26z8mwme3a3l8/womens-t-shirt-size-chartspatty.jpg?rlkey=byg787eigva4lyohdhslw3xx3&amp;dl=0","Click to download SizeChart")</f>
      </c>
      <c r="C3385" s="0" t="inlineStr">
        <is>
          <t>Patty Women's Ripped Long Sleeve</t>
        </is>
      </c>
      <c r="D3385" s="0" t="inlineStr">
        <is>
          <t>'113327</t>
        </is>
      </c>
      <c r="E3385" s="0" t="inlineStr">
        <is>
          <t>ISU PATTY W GREY:113327B-M</t>
        </is>
      </c>
      <c r="F3385" s="0" t="inlineStr">
        <is>
          <t>'801113327059</t>
        </is>
      </c>
      <c r="G3385" s="0" t="inlineStr">
        <is>
          <t>WOMENS</t>
        </is>
      </c>
      <c r="H3385" s="0" t="inlineStr">
        <is>
          <t>M</t>
        </is>
      </c>
      <c r="I3385" s="0">
        <v>41.99</v>
      </c>
      <c r="J3385" s="0">
        <v>23</v>
      </c>
    </row>
    <row r="3386" spans="1:10" customHeight="0">
      <c r="A3386" s="0">
        <f>HYPERLINK("https://dl.dropboxusercontent.com/scl/fi/1xzf5axg6n2yxgxdmv4zg/patty-isu-113327.jpg?rlkey=50bktp2tiiotn4qnqvaljylbz&amp;dl=0","Click to download Image")</f>
      </c>
      <c r="B3386" s="0">
        <f>HYPERLINK("https://dl.dropboxusercontent.com/scl/fi/6ee2xmve26z8mwme3a3l8/womens-t-shirt-size-chartspatty.jpg?rlkey=byg787eigva4lyohdhslw3xx3&amp;dl=0","Click to download SizeChart")</f>
      </c>
      <c r="C3386" s="0" t="inlineStr">
        <is>
          <t>Patty Women's Ripped Long Sleeve</t>
        </is>
      </c>
      <c r="D3386" s="0" t="inlineStr">
        <is>
          <t>'113327</t>
        </is>
      </c>
      <c r="E3386" s="0" t="inlineStr">
        <is>
          <t>ISU PATTY W GREY:113327C-L</t>
        </is>
      </c>
      <c r="F3386" s="0" t="inlineStr">
        <is>
          <t>'801113327066</t>
        </is>
      </c>
      <c r="G3386" s="0" t="inlineStr">
        <is>
          <t>WOMENS</t>
        </is>
      </c>
      <c r="H3386" s="0" t="inlineStr">
        <is>
          <t>L</t>
        </is>
      </c>
      <c r="I3386" s="0">
        <v>41.99</v>
      </c>
      <c r="J3386" s="0">
        <v>24</v>
      </c>
    </row>
    <row r="3387" spans="1:10" customHeight="0">
      <c r="A3387" s="0">
        <f>HYPERLINK("https://dl.dropboxusercontent.com/scl/fi/1xzf5axg6n2yxgxdmv4zg/patty-isu-113327.jpg?rlkey=50bktp2tiiotn4qnqvaljylbz&amp;dl=0","Click to download Image")</f>
      </c>
      <c r="B3387" s="0">
        <f>HYPERLINK("https://dl.dropboxusercontent.com/scl/fi/6ee2xmve26z8mwme3a3l8/womens-t-shirt-size-chartspatty.jpg?rlkey=byg787eigva4lyohdhslw3xx3&amp;dl=0","Click to download SizeChart")</f>
      </c>
      <c r="C3387" s="0" t="inlineStr">
        <is>
          <t>Patty Women's Ripped Long Sleeve</t>
        </is>
      </c>
      <c r="D3387" s="0" t="inlineStr">
        <is>
          <t>'113327</t>
        </is>
      </c>
      <c r="E3387" s="0" t="inlineStr">
        <is>
          <t>ISU PATTY W GREY:113327D-XL</t>
        </is>
      </c>
      <c r="F3387" s="0" t="inlineStr">
        <is>
          <t>'801113327073</t>
        </is>
      </c>
      <c r="G3387" s="0" t="inlineStr">
        <is>
          <t>WOMENS</t>
        </is>
      </c>
      <c r="H3387" s="0" t="inlineStr">
        <is>
          <t>XL</t>
        </is>
      </c>
      <c r="I3387" s="0">
        <v>41.99</v>
      </c>
      <c r="J3387" s="0">
        <v>14</v>
      </c>
    </row>
    <row r="3388" spans="1:10" customHeight="0">
      <c r="A3388" s="0">
        <f>HYPERLINK("https://dl.dropboxusercontent.com/scl/fi/1xzf5axg6n2yxgxdmv4zg/patty-isu-113327.jpg?rlkey=50bktp2tiiotn4qnqvaljylbz&amp;dl=0","Click to download Image")</f>
      </c>
      <c r="B3388" s="0">
        <f>HYPERLINK("https://dl.dropboxusercontent.com/scl/fi/6ee2xmve26z8mwme3a3l8/womens-t-shirt-size-chartspatty.jpg?rlkey=byg787eigva4lyohdhslw3xx3&amp;dl=0","Click to download SizeChart")</f>
      </c>
      <c r="C3388" s="0" t="inlineStr">
        <is>
          <t>Patty Women's Ripped Long Sleeve</t>
        </is>
      </c>
      <c r="D3388" s="0" t="inlineStr">
        <is>
          <t>'113327</t>
        </is>
      </c>
      <c r="E3388" s="0" t="inlineStr">
        <is>
          <t>ISU PATTY W GREY:113327E-2XL</t>
        </is>
      </c>
      <c r="F3388" s="0" t="inlineStr">
        <is>
          <t>'801113327080</t>
        </is>
      </c>
      <c r="G3388" s="0" t="inlineStr">
        <is>
          <t>WOMENS</t>
        </is>
      </c>
      <c r="H3388" s="0" t="inlineStr">
        <is>
          <t>2XL</t>
        </is>
      </c>
      <c r="I3388" s="0">
        <v>43.99</v>
      </c>
      <c r="J3388" s="0">
        <v>11</v>
      </c>
    </row>
    <row r="3389" spans="1:10" customHeight="0">
      <c r="A3389" s="0">
        <f>HYPERLINK("https://dl.dropboxusercontent.com/scl/fi/1xzf5axg6n2yxgxdmv4zg/patty-isu-113327.jpg?rlkey=50bktp2tiiotn4qnqvaljylbz&amp;dl=0","Click to download Image")</f>
      </c>
      <c r="B3389" s="0">
        <f>HYPERLINK("https://dl.dropboxusercontent.com/scl/fi/6ee2xmve26z8mwme3a3l8/womens-t-shirt-size-chartspatty.jpg?rlkey=byg787eigva4lyohdhslw3xx3&amp;dl=0","Click to download SizeChart")</f>
      </c>
      <c r="C3389" s="0" t="inlineStr">
        <is>
          <t>Patty Women's Ripped Long Sleeve</t>
        </is>
      </c>
      <c r="D3389" s="0" t="inlineStr">
        <is>
          <t>'113327</t>
        </is>
      </c>
      <c r="E3389" s="0" t="inlineStr">
        <is>
          <t>ISU PATTY W GREY:113327F-3XL</t>
        </is>
      </c>
      <c r="F3389" s="0" t="inlineStr">
        <is>
          <t>'801113327097</t>
        </is>
      </c>
      <c r="G3389" s="0" t="inlineStr">
        <is>
          <t>WOMENS</t>
        </is>
      </c>
      <c r="H3389" s="0" t="inlineStr">
        <is>
          <t>3XL</t>
        </is>
      </c>
      <c r="I3389" s="0">
        <v>43.99</v>
      </c>
      <c r="J3389" s="0">
        <v>7</v>
      </c>
    </row>
    <row r="3390" spans="1:10" customHeight="0">
      <c r="A3390" s="0">
        <f>HYPERLINK("https://dl.dropboxusercontent.com/scl/fi/1xzf5axg6n2yxgxdmv4zg/patty-isu-113327.jpg?rlkey=50bktp2tiiotn4qnqvaljylbz&amp;dl=0","Click to download Image")</f>
      </c>
      <c r="B3390" s="0">
        <f>HYPERLINK("https://dl.dropboxusercontent.com/scl/fi/6ee2xmve26z8mwme3a3l8/womens-t-shirt-size-chartspatty.jpg?rlkey=byg787eigva4lyohdhslw3xx3&amp;dl=0","Click to download SizeChart")</f>
      </c>
      <c r="C3390" s="0" t="inlineStr">
        <is>
          <t>Patty Women's Ripped Long Sleeve</t>
        </is>
      </c>
      <c r="D3390" s="0" t="inlineStr">
        <is>
          <t>'113327</t>
        </is>
      </c>
      <c r="E3390" s="0" t="inlineStr">
        <is>
          <t>ISU PATTY W GREY 12 PACK:113327Z-12PK</t>
        </is>
      </c>
      <c r="F3390" s="0" t="inlineStr">
        <is>
          <t>'801113327998</t>
        </is>
      </c>
      <c r="G3390" s="0" t="inlineStr">
        <is>
          <t>WOMENS</t>
        </is>
      </c>
      <c r="H3390" s="0" t="inlineStr">
        <is>
          <t>12 PACK</t>
        </is>
      </c>
      <c r="I3390" s="0">
        <v>480</v>
      </c>
      <c r="J3390" s="0">
        <v>0</v>
      </c>
    </row>
    <row r="3391" spans="1:10" customHeight="0">
      <c r="A3391" s="0">
        <f>HYPERLINK("https://dl.dropboxusercontent.com/scl/fi/syx6w2bhmh4ne4q0hngmg/114509-af.jpg?rlkey=9pev4ajwgdygdcele5ds2hk9t&amp;dl=0","Click to download Image")</f>
      </c>
      <c r="B3391" s="0">
        <f>HYPERLINK("https://dl.dropboxusercontent.com/scl/fi/6ee2xmve26z8mwme3a3l8/womens-t-shirt-size-chartspatty.jpg?rlkey=byg787eigva4lyohdhslw3xx3&amp;dl=0","Click to download SizeChart")</f>
      </c>
      <c r="C3391" s="0" t="inlineStr">
        <is>
          <t>Patty Women's Ripped Long Sleeve</t>
        </is>
      </c>
      <c r="D3391" s="0" t="inlineStr">
        <is>
          <t>'114509</t>
        </is>
      </c>
      <c r="E3391" s="0" t="inlineStr">
        <is>
          <t>UNI PATTY W GREY:114509A-S</t>
        </is>
      </c>
      <c r="F3391" s="0" t="inlineStr">
        <is>
          <t>'802114509048</t>
        </is>
      </c>
      <c r="G3391" s="0" t="inlineStr">
        <is>
          <t>WOMENS</t>
        </is>
      </c>
      <c r="H3391" s="0" t="inlineStr">
        <is>
          <t>S</t>
        </is>
      </c>
      <c r="I3391" s="0">
        <v>41.99</v>
      </c>
      <c r="J3391" s="0">
        <v>6</v>
      </c>
    </row>
    <row r="3392" spans="1:10" customHeight="0">
      <c r="A3392" s="0">
        <f>HYPERLINK("https://dl.dropboxusercontent.com/scl/fi/syx6w2bhmh4ne4q0hngmg/114509-af.jpg?rlkey=9pev4ajwgdygdcele5ds2hk9t&amp;dl=0","Click to download Image")</f>
      </c>
      <c r="B3392" s="0">
        <f>HYPERLINK("https://dl.dropboxusercontent.com/scl/fi/6ee2xmve26z8mwme3a3l8/womens-t-shirt-size-chartspatty.jpg?rlkey=byg787eigva4lyohdhslw3xx3&amp;dl=0","Click to download SizeChart")</f>
      </c>
      <c r="C3392" s="0" t="inlineStr">
        <is>
          <t>Patty Women's Ripped Long Sleeve</t>
        </is>
      </c>
      <c r="D3392" s="0" t="inlineStr">
        <is>
          <t>'114509</t>
        </is>
      </c>
      <c r="E3392" s="0" t="inlineStr">
        <is>
          <t>UNI PATTY W GREY:114509B-M</t>
        </is>
      </c>
      <c r="F3392" s="0" t="inlineStr">
        <is>
          <t>'802114509055</t>
        </is>
      </c>
      <c r="G3392" s="0" t="inlineStr">
        <is>
          <t>WOMENS</t>
        </is>
      </c>
      <c r="H3392" s="0" t="inlineStr">
        <is>
          <t>M</t>
        </is>
      </c>
      <c r="I3392" s="0">
        <v>41.99</v>
      </c>
      <c r="J3392" s="0">
        <v>12</v>
      </c>
    </row>
    <row r="3393" spans="1:10" customHeight="0">
      <c r="A3393" s="0">
        <f>HYPERLINK("https://dl.dropboxusercontent.com/scl/fi/syx6w2bhmh4ne4q0hngmg/114509-af.jpg?rlkey=9pev4ajwgdygdcele5ds2hk9t&amp;dl=0","Click to download Image")</f>
      </c>
      <c r="B3393" s="0">
        <f>HYPERLINK("https://dl.dropboxusercontent.com/scl/fi/6ee2xmve26z8mwme3a3l8/womens-t-shirt-size-chartspatty.jpg?rlkey=byg787eigva4lyohdhslw3xx3&amp;dl=0","Click to download SizeChart")</f>
      </c>
      <c r="C3393" s="0" t="inlineStr">
        <is>
          <t>Patty Women's Ripped Long Sleeve</t>
        </is>
      </c>
      <c r="D3393" s="0" t="inlineStr">
        <is>
          <t>'114509</t>
        </is>
      </c>
      <c r="E3393" s="0" t="inlineStr">
        <is>
          <t>UNI PATTY W GREY:114509C-L</t>
        </is>
      </c>
      <c r="F3393" s="0" t="inlineStr">
        <is>
          <t>'802114509062</t>
        </is>
      </c>
      <c r="G3393" s="0" t="inlineStr">
        <is>
          <t>WOMENS</t>
        </is>
      </c>
      <c r="H3393" s="0" t="inlineStr">
        <is>
          <t>L</t>
        </is>
      </c>
      <c r="I3393" s="0">
        <v>41.99</v>
      </c>
      <c r="J3393" s="0">
        <v>12</v>
      </c>
    </row>
    <row r="3394" spans="1:10" customHeight="0">
      <c r="A3394" s="0">
        <f>HYPERLINK("https://dl.dropboxusercontent.com/scl/fi/syx6w2bhmh4ne4q0hngmg/114509-af.jpg?rlkey=9pev4ajwgdygdcele5ds2hk9t&amp;dl=0","Click to download Image")</f>
      </c>
      <c r="B3394" s="0">
        <f>HYPERLINK("https://dl.dropboxusercontent.com/scl/fi/6ee2xmve26z8mwme3a3l8/womens-t-shirt-size-chartspatty.jpg?rlkey=byg787eigva4lyohdhslw3xx3&amp;dl=0","Click to download SizeChart")</f>
      </c>
      <c r="C3394" s="0" t="inlineStr">
        <is>
          <t>Patty Women's Ripped Long Sleeve</t>
        </is>
      </c>
      <c r="D3394" s="0" t="inlineStr">
        <is>
          <t>'114509</t>
        </is>
      </c>
      <c r="E3394" s="0" t="inlineStr">
        <is>
          <t>UNI PATTY W GREY:114509D-XL</t>
        </is>
      </c>
      <c r="F3394" s="0" t="inlineStr">
        <is>
          <t>'802114509079</t>
        </is>
      </c>
      <c r="G3394" s="0" t="inlineStr">
        <is>
          <t>WOMENS</t>
        </is>
      </c>
      <c r="H3394" s="0" t="inlineStr">
        <is>
          <t>XL</t>
        </is>
      </c>
      <c r="I3394" s="0">
        <v>41.99</v>
      </c>
      <c r="J3394" s="0">
        <v>6</v>
      </c>
    </row>
    <row r="3395" spans="1:10" customHeight="0">
      <c r="A3395" s="0">
        <f>HYPERLINK("https://dl.dropboxusercontent.com/scl/fi/syx6w2bhmh4ne4q0hngmg/114509-af.jpg?rlkey=9pev4ajwgdygdcele5ds2hk9t&amp;dl=0","Click to download Image")</f>
      </c>
      <c r="B3395" s="0">
        <f>HYPERLINK("https://dl.dropboxusercontent.com/scl/fi/6ee2xmve26z8mwme3a3l8/womens-t-shirt-size-chartspatty.jpg?rlkey=byg787eigva4lyohdhslw3xx3&amp;dl=0","Click to download SizeChart")</f>
      </c>
      <c r="C3395" s="0" t="inlineStr">
        <is>
          <t>Patty Women's Ripped Long Sleeve</t>
        </is>
      </c>
      <c r="D3395" s="0" t="inlineStr">
        <is>
          <t>'114509</t>
        </is>
      </c>
      <c r="E3395" s="0" t="inlineStr">
        <is>
          <t>UNI PATTY W GREY:114509E-2XL</t>
        </is>
      </c>
      <c r="F3395" s="0" t="inlineStr">
        <is>
          <t>'802114509086</t>
        </is>
      </c>
      <c r="G3395" s="0" t="inlineStr">
        <is>
          <t>WOMENS</t>
        </is>
      </c>
      <c r="H3395" s="0" t="inlineStr">
        <is>
          <t>2XL</t>
        </is>
      </c>
      <c r="I3395" s="0">
        <v>43.99</v>
      </c>
      <c r="J3395" s="0">
        <v>3</v>
      </c>
    </row>
    <row r="3396" spans="1:10" customHeight="0">
      <c r="A3396" s="0">
        <f>HYPERLINK("https://dl.dropboxusercontent.com/scl/fi/syx6w2bhmh4ne4q0hngmg/114509-af.jpg?rlkey=9pev4ajwgdygdcele5ds2hk9t&amp;dl=0","Click to download Image")</f>
      </c>
      <c r="B3396" s="0">
        <f>HYPERLINK("https://dl.dropboxusercontent.com/scl/fi/6ee2xmve26z8mwme3a3l8/womens-t-shirt-size-chartspatty.jpg?rlkey=byg787eigva4lyohdhslw3xx3&amp;dl=0","Click to download SizeChart")</f>
      </c>
      <c r="C3396" s="0" t="inlineStr">
        <is>
          <t>Patty Women's Ripped Long Sleeve</t>
        </is>
      </c>
      <c r="D3396" s="0" t="inlineStr">
        <is>
          <t>'114509</t>
        </is>
      </c>
      <c r="E3396" s="0" t="inlineStr">
        <is>
          <t>UNI PATTY W GREY:114509F-3XL</t>
        </is>
      </c>
      <c r="F3396" s="0" t="inlineStr">
        <is>
          <t>'802114509093</t>
        </is>
      </c>
      <c r="G3396" s="0" t="inlineStr">
        <is>
          <t>WOMENS</t>
        </is>
      </c>
      <c r="H3396" s="0" t="inlineStr">
        <is>
          <t>3XL</t>
        </is>
      </c>
      <c r="I3396" s="0">
        <v>43.99</v>
      </c>
      <c r="J3396" s="0">
        <v>3</v>
      </c>
    </row>
    <row r="3397" spans="1:10" customHeight="0">
      <c r="A3397" s="0">
        <f>HYPERLINK("https://dl.dropboxusercontent.com/scl/fi/syx6w2bhmh4ne4q0hngmg/114509-af.jpg?rlkey=9pev4ajwgdygdcele5ds2hk9t&amp;dl=0","Click to download Image")</f>
      </c>
      <c r="B3397" s="0">
        <f>HYPERLINK("https://dl.dropboxusercontent.com/scl/fi/6ee2xmve26z8mwme3a3l8/womens-t-shirt-size-chartspatty.jpg?rlkey=byg787eigva4lyohdhslw3xx3&amp;dl=0","Click to download SizeChart")</f>
      </c>
      <c r="C3397" s="0" t="inlineStr">
        <is>
          <t>Patty Women's Ripped Long Sleeve</t>
        </is>
      </c>
      <c r="D3397" s="0" t="inlineStr">
        <is>
          <t>'114509</t>
        </is>
      </c>
      <c r="E3397" s="0" t="inlineStr">
        <is>
          <t>UNI PATTY W GREY 12 PACK:114509Z-12PK</t>
        </is>
      </c>
      <c r="F3397" s="0" t="inlineStr">
        <is>
          <t>'802114509994</t>
        </is>
      </c>
      <c r="G3397" s="0" t="inlineStr">
        <is>
          <t>WOMENS</t>
        </is>
      </c>
      <c r="H3397" s="0" t="inlineStr">
        <is>
          <t>12 PACK</t>
        </is>
      </c>
      <c r="I3397" s="0">
        <v>480</v>
      </c>
      <c r="J3397" s="0">
        <v>0</v>
      </c>
    </row>
    <row r="3398" spans="1:10" customHeight="0">
      <c r="A3398" s="0">
        <f>HYPERLINK("https://dl.dropboxusercontent.com/scl/fi/7i27xsyjkv86cdk1sfqqv/112866-af.png?rlkey=8fkh52m6rroq3xk3ox9i9fywd&amp;dl=0","Click to download Image")</f>
      </c>
      <c r="B3398" s="0">
        <f>HYPERLINK("https://dl.dropboxusercontent.com/scl/fi/wv583s1fwmwe4mdgs9ao3/graphic-update22022-toddler.jpg?rlkey=8fzoemd0n8s7dhrjvrd4cmzhj&amp;dl=0","Click to download SizeChart")</f>
      </c>
      <c r="C3398" s="0" t="inlineStr">
        <is>
          <t>Payton Toddler Quilted Jacket</t>
        </is>
      </c>
      <c r="D3398" s="0" t="inlineStr">
        <is>
          <t>'114890</t>
        </is>
      </c>
      <c r="E3398" s="0" t="inlineStr">
        <is>
          <t>IOWA PAYTON T GREY:114890A-2T</t>
        </is>
      </c>
      <c r="F3398" s="0" t="inlineStr">
        <is>
          <t>'800114890081</t>
        </is>
      </c>
      <c r="G3398" s="0" t="inlineStr">
        <is>
          <t>TODDLER</t>
        </is>
      </c>
      <c r="H3398" s="0" t="inlineStr">
        <is>
          <t>2T</t>
        </is>
      </c>
      <c r="I3398" s="0">
        <v>69.99</v>
      </c>
      <c r="J3398" s="0">
        <v>4</v>
      </c>
    </row>
    <row r="3399" spans="1:10" customHeight="0">
      <c r="A3399" s="0">
        <f>HYPERLINK("https://dl.dropboxusercontent.com/scl/fi/7i27xsyjkv86cdk1sfqqv/112866-af.png?rlkey=8fkh52m6rroq3xk3ox9i9fywd&amp;dl=0","Click to download Image")</f>
      </c>
      <c r="B3399" s="0">
        <f>HYPERLINK("https://dl.dropboxusercontent.com/scl/fi/wv583s1fwmwe4mdgs9ao3/graphic-update22022-toddler.jpg?rlkey=8fzoemd0n8s7dhrjvrd4cmzhj&amp;dl=0","Click to download SizeChart")</f>
      </c>
      <c r="C3399" s="0" t="inlineStr">
        <is>
          <t>Payton Toddler Quilted Jacket</t>
        </is>
      </c>
      <c r="D3399" s="0" t="inlineStr">
        <is>
          <t>'114890</t>
        </is>
      </c>
      <c r="E3399" s="0" t="inlineStr">
        <is>
          <t>IOWA PAYTON T GREY:114890B-3T</t>
        </is>
      </c>
      <c r="F3399" s="0" t="inlineStr">
        <is>
          <t>'800114890098</t>
        </is>
      </c>
      <c r="G3399" s="0" t="inlineStr">
        <is>
          <t>TODDLER</t>
        </is>
      </c>
      <c r="H3399" s="0" t="inlineStr">
        <is>
          <t>3T</t>
        </is>
      </c>
      <c r="I3399" s="0">
        <v>69.99</v>
      </c>
      <c r="J3399" s="0">
        <v>6</v>
      </c>
    </row>
    <row r="3400" spans="1:10" customHeight="0">
      <c r="A3400" s="0">
        <f>HYPERLINK("https://dl.dropboxusercontent.com/scl/fi/7i27xsyjkv86cdk1sfqqv/112866-af.png?rlkey=8fkh52m6rroq3xk3ox9i9fywd&amp;dl=0","Click to download Image")</f>
      </c>
      <c r="B3400" s="0">
        <f>HYPERLINK("https://dl.dropboxusercontent.com/scl/fi/wv583s1fwmwe4mdgs9ao3/graphic-update22022-toddler.jpg?rlkey=8fzoemd0n8s7dhrjvrd4cmzhj&amp;dl=0","Click to download SizeChart")</f>
      </c>
      <c r="C3400" s="0" t="inlineStr">
        <is>
          <t>Payton Toddler Quilted Jacket</t>
        </is>
      </c>
      <c r="D3400" s="0" t="inlineStr">
        <is>
          <t>'114890</t>
        </is>
      </c>
      <c r="E3400" s="0" t="inlineStr">
        <is>
          <t>IOWA PAYTON T GREY:114890C-4T</t>
        </is>
      </c>
      <c r="F3400" s="0" t="inlineStr">
        <is>
          <t>'800114890104</t>
        </is>
      </c>
      <c r="G3400" s="0" t="inlineStr">
        <is>
          <t>TODDLER</t>
        </is>
      </c>
      <c r="H3400" s="0" t="inlineStr">
        <is>
          <t>4T</t>
        </is>
      </c>
      <c r="I3400" s="0">
        <v>69.99</v>
      </c>
      <c r="J3400" s="0">
        <v>5</v>
      </c>
    </row>
    <row r="3401" spans="1:10" customHeight="0">
      <c r="A3401" s="0">
        <f>HYPERLINK("https://dl.dropboxusercontent.com/scl/fi/7i27xsyjkv86cdk1sfqqv/112866-af.png?rlkey=8fkh52m6rroq3xk3ox9i9fywd&amp;dl=0","Click to download Image")</f>
      </c>
      <c r="B3401" s="0">
        <f>HYPERLINK("https://dl.dropboxusercontent.com/scl/fi/wv583s1fwmwe4mdgs9ao3/graphic-update22022-toddler.jpg?rlkey=8fzoemd0n8s7dhrjvrd4cmzhj&amp;dl=0","Click to download SizeChart")</f>
      </c>
      <c r="C3401" s="0" t="inlineStr">
        <is>
          <t>Payton Toddler Quilted Jacket</t>
        </is>
      </c>
      <c r="D3401" s="0" t="inlineStr">
        <is>
          <t>'114890</t>
        </is>
      </c>
      <c r="E3401" s="0" t="inlineStr">
        <is>
          <t>IOWA PAYTON T GREY:114890D-5T</t>
        </is>
      </c>
      <c r="F3401" s="0" t="inlineStr">
        <is>
          <t>'800114890111</t>
        </is>
      </c>
      <c r="G3401" s="0" t="inlineStr">
        <is>
          <t>TODDLER</t>
        </is>
      </c>
      <c r="H3401" s="0" t="inlineStr">
        <is>
          <t>5T</t>
        </is>
      </c>
      <c r="I3401" s="0">
        <v>69.99</v>
      </c>
      <c r="J3401" s="0">
        <v>4</v>
      </c>
    </row>
    <row r="3402" spans="1:10" customHeight="0">
      <c r="A3402" s="0">
        <f>HYPERLINK("https://dl.dropboxusercontent.com/scl/fi/7i27xsyjkv86cdk1sfqqv/112866-af.png?rlkey=8fkh52m6rroq3xk3ox9i9fywd&amp;dl=0","Click to download Image")</f>
      </c>
      <c r="B3402" s="0">
        <f>HYPERLINK("https://dl.dropboxusercontent.com/scl/fi/wv583s1fwmwe4mdgs9ao3/graphic-update22022-toddler.jpg?rlkey=8fzoemd0n8s7dhrjvrd4cmzhj&amp;dl=0","Click to download SizeChart")</f>
      </c>
      <c r="C3402" s="0" t="inlineStr">
        <is>
          <t>Payton Toddler Quilted Jacket</t>
        </is>
      </c>
      <c r="D3402" s="0" t="inlineStr">
        <is>
          <t>'114890</t>
        </is>
      </c>
      <c r="E3402" s="0" t="inlineStr">
        <is>
          <t>IOWA PAYTON T GREY 12 PACK:114890Z-12PK</t>
        </is>
      </c>
      <c r="F3402" s="0" t="inlineStr">
        <is>
          <t>'800114890999</t>
        </is>
      </c>
      <c r="G3402" s="0" t="inlineStr">
        <is>
          <t>TODDLER</t>
        </is>
      </c>
      <c r="H3402" s="0" t="inlineStr">
        <is>
          <t>12 PACK</t>
        </is>
      </c>
      <c r="I3402" s="0">
        <v>672</v>
      </c>
      <c r="J3402" s="0">
        <v>1</v>
      </c>
    </row>
    <row r="3403" spans="1:10" customHeight="0">
      <c r="A3403" s="0">
        <f>HYPERLINK("https://dl.dropboxusercontent.com/scl/fi/a62685ru7moe40l1fhpmc/112867-af.jpg?rlkey=ebiqwiboct7tdtwwyv9ik8q39&amp;dl=0","Click to download Image")</f>
      </c>
      <c r="B3403" s="0">
        <f>HYPERLINK("https://dl.dropboxusercontent.com/scl/fi/ira7ojlkolpzy10pamfpy/graphic-update22022-youth.jpg?rlkey=lnzr7mg0z8stqd6pap0lvl78f&amp;dl=0","Click to download SizeChart")</f>
      </c>
      <c r="C3403" s="0" t="inlineStr">
        <is>
          <t>Payton Youth Quilted Jacket</t>
        </is>
      </c>
      <c r="D3403" s="0" t="inlineStr">
        <is>
          <t>'112867</t>
        </is>
      </c>
      <c r="E3403" s="0" t="inlineStr">
        <is>
          <t>ISU PAYTON Y GREY:112867B-YS</t>
        </is>
      </c>
      <c r="F3403" s="0" t="inlineStr">
        <is>
          <t>'801112867013</t>
        </is>
      </c>
      <c r="G3403" s="0" t="inlineStr">
        <is>
          <t>YOUTH</t>
        </is>
      </c>
      <c r="H3403" s="0" t="inlineStr">
        <is>
          <t>YS</t>
        </is>
      </c>
      <c r="I3403" s="0">
        <v>69.99</v>
      </c>
      <c r="J3403" s="0">
        <v>4</v>
      </c>
    </row>
    <row r="3404" spans="1:10" customHeight="0">
      <c r="A3404" s="0">
        <f>HYPERLINK("https://dl.dropboxusercontent.com/scl/fi/a62685ru7moe40l1fhpmc/112867-af.jpg?rlkey=ebiqwiboct7tdtwwyv9ik8q39&amp;dl=0","Click to download Image")</f>
      </c>
      <c r="B3404" s="0">
        <f>HYPERLINK("https://dl.dropboxusercontent.com/scl/fi/ira7ojlkolpzy10pamfpy/graphic-update22022-youth.jpg?rlkey=lnzr7mg0z8stqd6pap0lvl78f&amp;dl=0","Click to download SizeChart")</f>
      </c>
      <c r="C3404" s="0" t="inlineStr">
        <is>
          <t>Payton Youth Quilted Jacket</t>
        </is>
      </c>
      <c r="D3404" s="0" t="inlineStr">
        <is>
          <t>'112867</t>
        </is>
      </c>
      <c r="E3404" s="0" t="inlineStr">
        <is>
          <t>ISU PAYTON Y GREY:112867C-YM</t>
        </is>
      </c>
      <c r="F3404" s="0" t="inlineStr">
        <is>
          <t>'801112867020</t>
        </is>
      </c>
      <c r="G3404" s="0" t="inlineStr">
        <is>
          <t>YOUTH</t>
        </is>
      </c>
      <c r="H3404" s="0" t="inlineStr">
        <is>
          <t>YM</t>
        </is>
      </c>
      <c r="I3404" s="0">
        <v>69.99</v>
      </c>
      <c r="J3404" s="0">
        <v>5</v>
      </c>
    </row>
    <row r="3405" spans="1:10" customHeight="0">
      <c r="A3405" s="0">
        <f>HYPERLINK("https://dl.dropboxusercontent.com/scl/fi/a62685ru7moe40l1fhpmc/112867-af.jpg?rlkey=ebiqwiboct7tdtwwyv9ik8q39&amp;dl=0","Click to download Image")</f>
      </c>
      <c r="B3405" s="0">
        <f>HYPERLINK("https://dl.dropboxusercontent.com/scl/fi/ira7ojlkolpzy10pamfpy/graphic-update22022-youth.jpg?rlkey=lnzr7mg0z8stqd6pap0lvl78f&amp;dl=0","Click to download SizeChart")</f>
      </c>
      <c r="C3405" s="0" t="inlineStr">
        <is>
          <t>Payton Youth Quilted Jacket</t>
        </is>
      </c>
      <c r="D3405" s="0" t="inlineStr">
        <is>
          <t>'112867</t>
        </is>
      </c>
      <c r="E3405" s="0" t="inlineStr">
        <is>
          <t>ISU PAYTON Y GREY:112867D-YL</t>
        </is>
      </c>
      <c r="F3405" s="0" t="inlineStr">
        <is>
          <t>'801112867037</t>
        </is>
      </c>
      <c r="G3405" s="0" t="inlineStr">
        <is>
          <t>YOUTH</t>
        </is>
      </c>
      <c r="H3405" s="0" t="inlineStr">
        <is>
          <t>YL</t>
        </is>
      </c>
      <c r="I3405" s="0">
        <v>69.99</v>
      </c>
      <c r="J3405" s="0">
        <v>2</v>
      </c>
    </row>
    <row r="3406" spans="1:10" customHeight="0">
      <c r="A3406" s="0">
        <f>HYPERLINK("https://dl.dropboxusercontent.com/scl/fi/a62685ru7moe40l1fhpmc/112867-af.jpg?rlkey=ebiqwiboct7tdtwwyv9ik8q39&amp;dl=0","Click to download Image")</f>
      </c>
      <c r="B3406" s="0">
        <f>HYPERLINK("https://dl.dropboxusercontent.com/scl/fi/ira7ojlkolpzy10pamfpy/graphic-update22022-youth.jpg?rlkey=lnzr7mg0z8stqd6pap0lvl78f&amp;dl=0","Click to download SizeChart")</f>
      </c>
      <c r="C3406" s="0" t="inlineStr">
        <is>
          <t>Payton Youth Quilted Jacket</t>
        </is>
      </c>
      <c r="D3406" s="0" t="inlineStr">
        <is>
          <t>'112867</t>
        </is>
      </c>
      <c r="E3406" s="0" t="inlineStr">
        <is>
          <t>ISU PAYTON Y GREY:112867E-YXL</t>
        </is>
      </c>
      <c r="F3406" s="0" t="inlineStr">
        <is>
          <t>'801112867044</t>
        </is>
      </c>
      <c r="G3406" s="0" t="inlineStr">
        <is>
          <t>YOUTH</t>
        </is>
      </c>
      <c r="H3406" s="0" t="inlineStr">
        <is>
          <t>YXL</t>
        </is>
      </c>
      <c r="I3406" s="0">
        <v>69.99</v>
      </c>
      <c r="J3406" s="0">
        <v>0</v>
      </c>
    </row>
    <row r="3407" spans="1:10" customHeight="0">
      <c r="A3407" s="0">
        <f>HYPERLINK("https://dl.dropboxusercontent.com/scl/fi/a62685ru7moe40l1fhpmc/112867-af.jpg?rlkey=ebiqwiboct7tdtwwyv9ik8q39&amp;dl=0","Click to download Image")</f>
      </c>
      <c r="B3407" s="0">
        <f>HYPERLINK("https://dl.dropboxusercontent.com/scl/fi/ira7ojlkolpzy10pamfpy/graphic-update22022-youth.jpg?rlkey=lnzr7mg0z8stqd6pap0lvl78f&amp;dl=0","Click to download SizeChart")</f>
      </c>
      <c r="C3407" s="0" t="inlineStr">
        <is>
          <t>Payton Youth Quilted Jacket</t>
        </is>
      </c>
      <c r="D3407" s="0" t="inlineStr">
        <is>
          <t>'112867</t>
        </is>
      </c>
      <c r="E3407" s="0" t="inlineStr">
        <is>
          <t>ISU PAYTON Y GREY 12 PACK:112867Z-12PK</t>
        </is>
      </c>
      <c r="F3407" s="0" t="inlineStr">
        <is>
          <t>'801112867990</t>
        </is>
      </c>
      <c r="G3407" s="0" t="inlineStr">
        <is>
          <t>YOUTH</t>
        </is>
      </c>
      <c r="H3407" s="0" t="inlineStr">
        <is>
          <t>12 PACK</t>
        </is>
      </c>
      <c r="I3407" s="0">
        <v>672</v>
      </c>
      <c r="J3407" s="0">
        <v>0</v>
      </c>
    </row>
    <row r="3408" spans="1:10" customHeight="0">
      <c r="A3408" s="0">
        <f>HYPERLINK("https://dl.dropboxusercontent.com/scl/fi/rwvfmnmuj6o4t1pl0yvnr/114679af54367.jpg?rlkey=au61cjkctb9ho3wjej21pmhgt&amp;dl=0","Click to download Image")</f>
      </c>
      <c r="B3408" s="0">
        <f>HYPERLINK("https://dl.dropboxusercontent.com/scl/fi/ira7ojlkolpzy10pamfpy/graphic-update22022-youth.jpg?rlkey=lnzr7mg0z8stqd6pap0lvl78f&amp;dl=0","Click to download SizeChart")</f>
      </c>
      <c r="C3408" s="0" t="inlineStr">
        <is>
          <t>Payton Youth Quilted Jacket</t>
        </is>
      </c>
      <c r="D3408" s="0" t="inlineStr">
        <is>
          <t>'114679</t>
        </is>
      </c>
      <c r="E3408" s="0" t="inlineStr">
        <is>
          <t>UNI PAYTON Y GREY:114679B-YS</t>
        </is>
      </c>
      <c r="F3408" s="0" t="inlineStr">
        <is>
          <t>'802114679017</t>
        </is>
      </c>
      <c r="G3408" s="0" t="inlineStr">
        <is>
          <t>YOUTH</t>
        </is>
      </c>
      <c r="H3408" s="0" t="inlineStr">
        <is>
          <t>YS</t>
        </is>
      </c>
      <c r="I3408" s="0">
        <v>69.99</v>
      </c>
      <c r="J3408" s="0">
        <v>12</v>
      </c>
    </row>
    <row r="3409" spans="1:10" customHeight="0">
      <c r="A3409" s="0">
        <f>HYPERLINK("https://dl.dropboxusercontent.com/scl/fi/rwvfmnmuj6o4t1pl0yvnr/114679af54367.jpg?rlkey=au61cjkctb9ho3wjej21pmhgt&amp;dl=0","Click to download Image")</f>
      </c>
      <c r="B3409" s="0">
        <f>HYPERLINK("https://dl.dropboxusercontent.com/scl/fi/ira7ojlkolpzy10pamfpy/graphic-update22022-youth.jpg?rlkey=lnzr7mg0z8stqd6pap0lvl78f&amp;dl=0","Click to download SizeChart")</f>
      </c>
      <c r="C3409" s="0" t="inlineStr">
        <is>
          <t>Payton Youth Quilted Jacket</t>
        </is>
      </c>
      <c r="D3409" s="0" t="inlineStr">
        <is>
          <t>'114679</t>
        </is>
      </c>
      <c r="E3409" s="0" t="inlineStr">
        <is>
          <t>UNI PAYTON Y GREY:114679C-YM</t>
        </is>
      </c>
      <c r="F3409" s="0" t="inlineStr">
        <is>
          <t>'802114679024</t>
        </is>
      </c>
      <c r="G3409" s="0" t="inlineStr">
        <is>
          <t>YOUTH</t>
        </is>
      </c>
      <c r="H3409" s="0" t="inlineStr">
        <is>
          <t>YM</t>
        </is>
      </c>
      <c r="I3409" s="0">
        <v>69.99</v>
      </c>
      <c r="J3409" s="0">
        <v>12</v>
      </c>
    </row>
    <row r="3410" spans="1:10" customHeight="0">
      <c r="A3410" s="0">
        <f>HYPERLINK("https://dl.dropboxusercontent.com/scl/fi/rwvfmnmuj6o4t1pl0yvnr/114679af54367.jpg?rlkey=au61cjkctb9ho3wjej21pmhgt&amp;dl=0","Click to download Image")</f>
      </c>
      <c r="B3410" s="0">
        <f>HYPERLINK("https://dl.dropboxusercontent.com/scl/fi/ira7ojlkolpzy10pamfpy/graphic-update22022-youth.jpg?rlkey=lnzr7mg0z8stqd6pap0lvl78f&amp;dl=0","Click to download SizeChart")</f>
      </c>
      <c r="C3410" s="0" t="inlineStr">
        <is>
          <t>Payton Youth Quilted Jacket</t>
        </is>
      </c>
      <c r="D3410" s="0" t="inlineStr">
        <is>
          <t>'114679</t>
        </is>
      </c>
      <c r="E3410" s="0" t="inlineStr">
        <is>
          <t>UNI PAYTON Y GREY:114679D-YL</t>
        </is>
      </c>
      <c r="F3410" s="0" t="inlineStr">
        <is>
          <t>'802114679031</t>
        </is>
      </c>
      <c r="G3410" s="0" t="inlineStr">
        <is>
          <t>YOUTH</t>
        </is>
      </c>
      <c r="H3410" s="0" t="inlineStr">
        <is>
          <t>YL</t>
        </is>
      </c>
      <c r="I3410" s="0">
        <v>69.99</v>
      </c>
      <c r="J3410" s="0">
        <v>12</v>
      </c>
    </row>
    <row r="3411" spans="1:10" customHeight="0">
      <c r="A3411" s="0">
        <f>HYPERLINK("https://dl.dropboxusercontent.com/scl/fi/rwvfmnmuj6o4t1pl0yvnr/114679af54367.jpg?rlkey=au61cjkctb9ho3wjej21pmhgt&amp;dl=0","Click to download Image")</f>
      </c>
      <c r="B3411" s="0">
        <f>HYPERLINK("https://dl.dropboxusercontent.com/scl/fi/ira7ojlkolpzy10pamfpy/graphic-update22022-youth.jpg?rlkey=lnzr7mg0z8stqd6pap0lvl78f&amp;dl=0","Click to download SizeChart")</f>
      </c>
      <c r="C3411" s="0" t="inlineStr">
        <is>
          <t>Payton Youth Quilted Jacket</t>
        </is>
      </c>
      <c r="D3411" s="0" t="inlineStr">
        <is>
          <t>'114679</t>
        </is>
      </c>
      <c r="E3411" s="0" t="inlineStr">
        <is>
          <t>UNI PAYTON Y GREY:114679E-YXL</t>
        </is>
      </c>
      <c r="F3411" s="0" t="inlineStr">
        <is>
          <t>'802114679048</t>
        </is>
      </c>
      <c r="G3411" s="0" t="inlineStr">
        <is>
          <t>YOUTH</t>
        </is>
      </c>
      <c r="H3411" s="0" t="inlineStr">
        <is>
          <t>YXL</t>
        </is>
      </c>
      <c r="I3411" s="0">
        <v>69.99</v>
      </c>
      <c r="J3411" s="0">
        <v>12</v>
      </c>
    </row>
    <row r="3412" spans="1:10" customHeight="0">
      <c r="A3412" s="0">
        <f>HYPERLINK("https://dl.dropboxusercontent.com/scl/fi/rwvfmnmuj6o4t1pl0yvnr/114679af54367.jpg?rlkey=au61cjkctb9ho3wjej21pmhgt&amp;dl=0","Click to download Image")</f>
      </c>
      <c r="B3412" s="0">
        <f>HYPERLINK("https://dl.dropboxusercontent.com/scl/fi/ira7ojlkolpzy10pamfpy/graphic-update22022-youth.jpg?rlkey=lnzr7mg0z8stqd6pap0lvl78f&amp;dl=0","Click to download SizeChart")</f>
      </c>
      <c r="C3412" s="0" t="inlineStr">
        <is>
          <t>Payton Youth Quilted Jacket</t>
        </is>
      </c>
      <c r="D3412" s="0" t="inlineStr">
        <is>
          <t>'114679</t>
        </is>
      </c>
      <c r="E3412" s="0" t="inlineStr">
        <is>
          <t>UNI PAYTON Y GREY 12 PACK:114679Z-12PK</t>
        </is>
      </c>
      <c r="F3412" s="0" t="inlineStr">
        <is>
          <t>'802114679994</t>
        </is>
      </c>
      <c r="G3412" s="0" t="inlineStr">
        <is>
          <t>YOUTH</t>
        </is>
      </c>
      <c r="H3412" s="0" t="inlineStr">
        <is>
          <t>12 PACK</t>
        </is>
      </c>
      <c r="I3412" s="0">
        <v>672</v>
      </c>
      <c r="J3412" s="0">
        <v>4</v>
      </c>
    </row>
    <row r="3413" spans="1:10" customHeight="0">
      <c r="A3413" s="0">
        <f>HYPERLINK("https://dl.dropboxusercontent.com/scl/fi/vgodcr2hzggydo57ma3hv/123683-af.jpg?rlkey=wjq3haukoonp8odmzzkn5tvrs&amp;dl=0","Click to download Image")</f>
      </c>
      <c r="B3413" s="0">
        <f>HYPERLINK("https://dl.dropboxusercontent.com/scl/fi/ira7ojlkolpzy10pamfpy/graphic-update22022-youth.jpg?rlkey=lnzr7mg0z8stqd6pap0lvl78f&amp;dl=0","Click to download SizeChart")</f>
      </c>
      <c r="C3413" s="0" t="inlineStr">
        <is>
          <t>Payton Youth Quilted Jacket</t>
        </is>
      </c>
      <c r="D3413" s="0" t="inlineStr">
        <is>
          <t>'123683</t>
        </is>
      </c>
      <c r="E3413" s="0" t="inlineStr">
        <is>
          <t>NDSU PAYTON Y GY:123683B-YS</t>
        </is>
      </c>
      <c r="F3413" s="0" t="inlineStr">
        <is>
          <t>'813123683018</t>
        </is>
      </c>
      <c r="G3413" s="0" t="inlineStr">
        <is>
          <t>YOUTH</t>
        </is>
      </c>
      <c r="H3413" s="0" t="inlineStr">
        <is>
          <t>YS</t>
        </is>
      </c>
      <c r="I3413" s="0">
        <v>69.99</v>
      </c>
      <c r="J3413" s="0">
        <v>3</v>
      </c>
    </row>
    <row r="3414" spans="1:10" customHeight="0">
      <c r="A3414" s="0">
        <f>HYPERLINK("https://dl.dropboxusercontent.com/scl/fi/vgodcr2hzggydo57ma3hv/123683-af.jpg?rlkey=wjq3haukoonp8odmzzkn5tvrs&amp;dl=0","Click to download Image")</f>
      </c>
      <c r="B3414" s="0">
        <f>HYPERLINK("https://dl.dropboxusercontent.com/scl/fi/ira7ojlkolpzy10pamfpy/graphic-update22022-youth.jpg?rlkey=lnzr7mg0z8stqd6pap0lvl78f&amp;dl=0","Click to download SizeChart")</f>
      </c>
      <c r="C3414" s="0" t="inlineStr">
        <is>
          <t>Payton Youth Quilted Jacket</t>
        </is>
      </c>
      <c r="D3414" s="0" t="inlineStr">
        <is>
          <t>'123683</t>
        </is>
      </c>
      <c r="E3414" s="0" t="inlineStr">
        <is>
          <t>NDSU PAYTON Y GY:123683C-YM</t>
        </is>
      </c>
      <c r="F3414" s="0" t="inlineStr">
        <is>
          <t>'813123683025</t>
        </is>
      </c>
      <c r="G3414" s="0" t="inlineStr">
        <is>
          <t>YOUTH</t>
        </is>
      </c>
      <c r="H3414" s="0" t="inlineStr">
        <is>
          <t>YM</t>
        </is>
      </c>
      <c r="I3414" s="0">
        <v>69.99</v>
      </c>
      <c r="J3414" s="0">
        <v>2</v>
      </c>
    </row>
    <row r="3415" spans="1:10" customHeight="0">
      <c r="A3415" s="0">
        <f>HYPERLINK("https://dl.dropboxusercontent.com/scl/fi/vgodcr2hzggydo57ma3hv/123683-af.jpg?rlkey=wjq3haukoonp8odmzzkn5tvrs&amp;dl=0","Click to download Image")</f>
      </c>
      <c r="B3415" s="0">
        <f>HYPERLINK("https://dl.dropboxusercontent.com/scl/fi/ira7ojlkolpzy10pamfpy/graphic-update22022-youth.jpg?rlkey=lnzr7mg0z8stqd6pap0lvl78f&amp;dl=0","Click to download SizeChart")</f>
      </c>
      <c r="C3415" s="0" t="inlineStr">
        <is>
          <t>Payton Youth Quilted Jacket</t>
        </is>
      </c>
      <c r="D3415" s="0" t="inlineStr">
        <is>
          <t>'123683</t>
        </is>
      </c>
      <c r="E3415" s="0" t="inlineStr">
        <is>
          <t>NDSU PAYTON Y GY:123683D-YL</t>
        </is>
      </c>
      <c r="F3415" s="0" t="inlineStr">
        <is>
          <t>'813123683032</t>
        </is>
      </c>
      <c r="G3415" s="0" t="inlineStr">
        <is>
          <t>YOUTH</t>
        </is>
      </c>
      <c r="H3415" s="0" t="inlineStr">
        <is>
          <t>YL</t>
        </is>
      </c>
      <c r="I3415" s="0">
        <v>69.99</v>
      </c>
      <c r="J3415" s="0">
        <v>1</v>
      </c>
    </row>
    <row r="3416" spans="1:10" customHeight="0">
      <c r="A3416" s="0">
        <f>HYPERLINK("https://dl.dropboxusercontent.com/scl/fi/vgodcr2hzggydo57ma3hv/123683-af.jpg?rlkey=wjq3haukoonp8odmzzkn5tvrs&amp;dl=0","Click to download Image")</f>
      </c>
      <c r="B3416" s="0">
        <f>HYPERLINK("https://dl.dropboxusercontent.com/scl/fi/ira7ojlkolpzy10pamfpy/graphic-update22022-youth.jpg?rlkey=lnzr7mg0z8stqd6pap0lvl78f&amp;dl=0","Click to download SizeChart")</f>
      </c>
      <c r="C3416" s="0" t="inlineStr">
        <is>
          <t>Payton Youth Quilted Jacket</t>
        </is>
      </c>
      <c r="D3416" s="0" t="inlineStr">
        <is>
          <t>'123683</t>
        </is>
      </c>
      <c r="E3416" s="0" t="inlineStr">
        <is>
          <t>NDSU PAYTON Y GY:123683E-YXL</t>
        </is>
      </c>
      <c r="F3416" s="0" t="inlineStr">
        <is>
          <t>'813123683049</t>
        </is>
      </c>
      <c r="G3416" s="0" t="inlineStr">
        <is>
          <t>YOUTH</t>
        </is>
      </c>
      <c r="H3416" s="0" t="inlineStr">
        <is>
          <t>YXL</t>
        </is>
      </c>
      <c r="I3416" s="0">
        <v>69.99</v>
      </c>
      <c r="J3416" s="0">
        <v>2</v>
      </c>
    </row>
    <row r="3417" spans="1:10" customHeight="0">
      <c r="A3417" s="0">
        <f>HYPERLINK("https://dl.dropboxusercontent.com/scl/fi/vgodcr2hzggydo57ma3hv/123683-af.jpg?rlkey=wjq3haukoonp8odmzzkn5tvrs&amp;dl=0","Click to download Image")</f>
      </c>
      <c r="B3417" s="0">
        <f>HYPERLINK("https://dl.dropboxusercontent.com/scl/fi/ira7ojlkolpzy10pamfpy/graphic-update22022-youth.jpg?rlkey=lnzr7mg0z8stqd6pap0lvl78f&amp;dl=0","Click to download SizeChart")</f>
      </c>
      <c r="C3417" s="0" t="inlineStr">
        <is>
          <t>Payton Youth Quilted Jacket</t>
        </is>
      </c>
      <c r="D3417" s="0" t="inlineStr">
        <is>
          <t>'123683</t>
        </is>
      </c>
      <c r="E3417" s="0" t="inlineStr">
        <is>
          <t>NDSU PAYTON Y GY 12PK:123683Z-12PK</t>
        </is>
      </c>
      <c r="F3417" s="0" t="inlineStr">
        <is>
          <t>'813123683995</t>
        </is>
      </c>
      <c r="G3417" s="0" t="inlineStr">
        <is>
          <t>YOUTH</t>
        </is>
      </c>
      <c r="H3417" s="0" t="inlineStr">
        <is>
          <t>12 PACK</t>
        </is>
      </c>
      <c r="I3417" s="0">
        <v>672</v>
      </c>
      <c r="J3417" s="0">
        <v>0</v>
      </c>
    </row>
    <row r="3418" spans="1:10" customHeight="0">
      <c r="A3418" s="0">
        <f>HYPERLINK("https://dl.dropboxusercontent.com/scl/fi/wsu94psj1xeur28vpl3hy/98632-f.jpg?rlkey=z312g51pmm63i0lu3ayc23xne&amp;dl=0","Click to download Image")</f>
      </c>
      <c r="C3418" s="0" t="inlineStr">
        <is>
          <t>Penelope Bodysuit</t>
        </is>
      </c>
      <c r="D3418" s="0" t="inlineStr">
        <is>
          <t>'98632</t>
        </is>
      </c>
      <c r="E3418" s="0" t="inlineStr">
        <is>
          <t>PENELOPE:98632A-0/3M</t>
        </is>
      </c>
      <c r="F3418" s="0" t="inlineStr">
        <is>
          <t>'000000000000</t>
        </is>
      </c>
      <c r="G3418" s="0" t="inlineStr">
        <is>
          <t>INFANT</t>
        </is>
      </c>
      <c r="H3418" s="0" t="inlineStr">
        <is>
          <t>0-3M</t>
        </is>
      </c>
      <c r="I3418" s="0">
        <v>24.99</v>
      </c>
      <c r="J3418" s="0">
        <v>92</v>
      </c>
    </row>
    <row r="3419" spans="1:10" customHeight="0">
      <c r="A3419" s="0">
        <f>HYPERLINK("https://dl.dropboxusercontent.com/scl/fi/wsu94psj1xeur28vpl3hy/98632-f.jpg?rlkey=z312g51pmm63i0lu3ayc23xne&amp;dl=0","Click to download Image")</f>
      </c>
      <c r="C3419" s="0" t="inlineStr">
        <is>
          <t>Penelope Bodysuit</t>
        </is>
      </c>
      <c r="D3419" s="0" t="inlineStr">
        <is>
          <t>'98632</t>
        </is>
      </c>
      <c r="E3419" s="0" t="inlineStr">
        <is>
          <t>PENELOPE:98632B-3/6M</t>
        </is>
      </c>
      <c r="F3419" s="0" t="inlineStr">
        <is>
          <t>'000000000000</t>
        </is>
      </c>
      <c r="G3419" s="0" t="inlineStr">
        <is>
          <t>INFANT</t>
        </is>
      </c>
      <c r="H3419" s="0" t="inlineStr">
        <is>
          <t>3-6M</t>
        </is>
      </c>
      <c r="I3419" s="0">
        <v>24.99</v>
      </c>
      <c r="J3419" s="0">
        <v>91</v>
      </c>
    </row>
    <row r="3420" spans="1:10" customHeight="0">
      <c r="A3420" s="0">
        <f>HYPERLINK("https://dl.dropboxusercontent.com/scl/fi/wsu94psj1xeur28vpl3hy/98632-f.jpg?rlkey=z312g51pmm63i0lu3ayc23xne&amp;dl=0","Click to download Image")</f>
      </c>
      <c r="C3420" s="0" t="inlineStr">
        <is>
          <t>Penelope Bodysuit</t>
        </is>
      </c>
      <c r="D3420" s="0" t="inlineStr">
        <is>
          <t>'98632</t>
        </is>
      </c>
      <c r="E3420" s="0" t="inlineStr">
        <is>
          <t>PENELOPE:98632C-6/9M</t>
        </is>
      </c>
      <c r="F3420" s="0" t="inlineStr">
        <is>
          <t>'000000000000</t>
        </is>
      </c>
      <c r="G3420" s="0" t="inlineStr">
        <is>
          <t>INFANT</t>
        </is>
      </c>
      <c r="H3420" s="0" t="inlineStr">
        <is>
          <t>6-9M</t>
        </is>
      </c>
      <c r="I3420" s="0">
        <v>24.99</v>
      </c>
      <c r="J3420" s="0">
        <v>112</v>
      </c>
    </row>
    <row r="3421" spans="1:10" customHeight="0">
      <c r="A3421" s="0">
        <f>HYPERLINK("https://dl.dropboxusercontent.com/scl/fi/wsu94psj1xeur28vpl3hy/98632-f.jpg?rlkey=z312g51pmm63i0lu3ayc23xne&amp;dl=0","Click to download Image")</f>
      </c>
      <c r="C3421" s="0" t="inlineStr">
        <is>
          <t>Penelope Bodysuit</t>
        </is>
      </c>
      <c r="D3421" s="0" t="inlineStr">
        <is>
          <t>'98632</t>
        </is>
      </c>
      <c r="E3421" s="0" t="inlineStr">
        <is>
          <t>PENELOPE:98632D-12M</t>
        </is>
      </c>
      <c r="F3421" s="0" t="inlineStr">
        <is>
          <t>'000000000000</t>
        </is>
      </c>
      <c r="G3421" s="0" t="inlineStr">
        <is>
          <t>INFANT</t>
        </is>
      </c>
      <c r="H3421" s="0" t="inlineStr">
        <is>
          <t>12M</t>
        </is>
      </c>
      <c r="I3421" s="0">
        <v>24.99</v>
      </c>
      <c r="J3421" s="0">
        <v>93</v>
      </c>
    </row>
    <row r="3422" spans="1:10" customHeight="0">
      <c r="A3422" s="0">
        <f>HYPERLINK("https://dl.dropboxusercontent.com/scl/fi/3b6mf8u6b62qqq2zwjq3b/98878f.jpg?rlkey=xr55u24imzqhu1t9goemi9cu9&amp;dl=0","Click to download Image")</f>
      </c>
      <c r="C3422" s="0" t="inlineStr">
        <is>
          <t>Penelope Bodysuit</t>
        </is>
      </c>
      <c r="D3422" s="0" t="inlineStr">
        <is>
          <t>'98878</t>
        </is>
      </c>
      <c r="E3422" s="0" t="inlineStr">
        <is>
          <t>PENELOPE:98878A-0/3M</t>
        </is>
      </c>
      <c r="F3422" s="0" t="inlineStr">
        <is>
          <t>'000000000000</t>
        </is>
      </c>
      <c r="G3422" s="0" t="inlineStr">
        <is>
          <t>INFANT</t>
        </is>
      </c>
      <c r="H3422" s="0" t="inlineStr">
        <is>
          <t>0-3M</t>
        </is>
      </c>
      <c r="I3422" s="0">
        <v>24.99</v>
      </c>
      <c r="J3422" s="0">
        <v>52</v>
      </c>
    </row>
    <row r="3423" spans="1:10" customHeight="0">
      <c r="A3423" s="0">
        <f>HYPERLINK("https://dl.dropboxusercontent.com/scl/fi/3b6mf8u6b62qqq2zwjq3b/98878f.jpg?rlkey=xr55u24imzqhu1t9goemi9cu9&amp;dl=0","Click to download Image")</f>
      </c>
      <c r="C3423" s="0" t="inlineStr">
        <is>
          <t>Penelope Bodysuit</t>
        </is>
      </c>
      <c r="D3423" s="0" t="inlineStr">
        <is>
          <t>'98878</t>
        </is>
      </c>
      <c r="E3423" s="0" t="inlineStr">
        <is>
          <t>PENELOPE:98878B-3/6M</t>
        </is>
      </c>
      <c r="F3423" s="0" t="inlineStr">
        <is>
          <t>'000000000000</t>
        </is>
      </c>
      <c r="G3423" s="0" t="inlineStr">
        <is>
          <t>INFANT</t>
        </is>
      </c>
      <c r="H3423" s="0" t="inlineStr">
        <is>
          <t>3-6M</t>
        </is>
      </c>
      <c r="I3423" s="0">
        <v>24.99</v>
      </c>
      <c r="J3423" s="0">
        <v>48</v>
      </c>
    </row>
    <row r="3424" spans="1:10" customHeight="0">
      <c r="A3424" s="0">
        <f>HYPERLINK("https://dl.dropboxusercontent.com/scl/fi/3b6mf8u6b62qqq2zwjq3b/98878f.jpg?rlkey=xr55u24imzqhu1t9goemi9cu9&amp;dl=0","Click to download Image")</f>
      </c>
      <c r="C3424" s="0" t="inlineStr">
        <is>
          <t>Penelope Bodysuit</t>
        </is>
      </c>
      <c r="D3424" s="0" t="inlineStr">
        <is>
          <t>'98878</t>
        </is>
      </c>
      <c r="E3424" s="0" t="inlineStr">
        <is>
          <t>PENELOPE:98878C-6/9M</t>
        </is>
      </c>
      <c r="F3424" s="0" t="inlineStr">
        <is>
          <t>'000000000000</t>
        </is>
      </c>
      <c r="G3424" s="0" t="inlineStr">
        <is>
          <t>INFANT</t>
        </is>
      </c>
      <c r="H3424" s="0" t="inlineStr">
        <is>
          <t>3-6M</t>
        </is>
      </c>
      <c r="I3424" s="0">
        <v>24.99</v>
      </c>
      <c r="J3424" s="0">
        <v>50</v>
      </c>
    </row>
    <row r="3425" spans="1:10" customHeight="0">
      <c r="A3425" s="0">
        <f>HYPERLINK("https://dl.dropboxusercontent.com/scl/fi/3b6mf8u6b62qqq2zwjq3b/98878f.jpg?rlkey=xr55u24imzqhu1t9goemi9cu9&amp;dl=0","Click to download Image")</f>
      </c>
      <c r="C3425" s="0" t="inlineStr">
        <is>
          <t>Penelope Bodysuit</t>
        </is>
      </c>
      <c r="D3425" s="0" t="inlineStr">
        <is>
          <t>'98878</t>
        </is>
      </c>
      <c r="E3425" s="0" t="inlineStr">
        <is>
          <t>PENELOPE:98878D-12M</t>
        </is>
      </c>
      <c r="F3425" s="0" t="inlineStr">
        <is>
          <t>'000000000000</t>
        </is>
      </c>
      <c r="G3425" s="0" t="inlineStr">
        <is>
          <t>INFANT</t>
        </is>
      </c>
      <c r="H3425" s="0" t="inlineStr">
        <is>
          <t>12M</t>
        </is>
      </c>
      <c r="I3425" s="0">
        <v>24.99</v>
      </c>
      <c r="J3425" s="0">
        <v>50</v>
      </c>
    </row>
    <row r="3426" spans="1:10" customHeight="0">
      <c r="A3426" s="0">
        <f>HYPERLINK("https://dl.dropboxusercontent.com/scl/fi/92vylsngtbdpj4tmqiebo/113902-af.jpg?rlkey=00hgahkrwrxpxcmpflomlexzs&amp;dl=0","Click to download Image")</f>
      </c>
      <c r="B3426" s="0">
        <f>HYPERLINK("https://dl.dropboxusercontent.com/scl/fi/scrsbg68nex4oavqa9lud/mens-polo-size-chartsbrent.jpg?rlkey=rrmaqcvz1qokdp3n7krx6rxwh&amp;dl=0","Click to download SizeChart")</f>
      </c>
      <c r="C3426" s="0" t="inlineStr">
        <is>
          <t>Quinton Men's Golf Polo</t>
        </is>
      </c>
      <c r="D3426" s="0" t="inlineStr">
        <is>
          <t>'113902</t>
        </is>
      </c>
      <c r="E3426" s="0" t="inlineStr">
        <is>
          <t>IOWA QUINTON M GOLD:113902A-S</t>
        </is>
      </c>
      <c r="F3426" s="0" t="inlineStr">
        <is>
          <t>'800113902044</t>
        </is>
      </c>
      <c r="G3426" s="0" t="inlineStr">
        <is>
          <t>MENS</t>
        </is>
      </c>
      <c r="H3426" s="0" t="inlineStr">
        <is>
          <t>S</t>
        </is>
      </c>
      <c r="I3426" s="0">
        <v>40.99</v>
      </c>
      <c r="J3426" s="0">
        <v>14</v>
      </c>
    </row>
    <row r="3427" spans="1:10" customHeight="0">
      <c r="A3427" s="0">
        <f>HYPERLINK("https://dl.dropboxusercontent.com/scl/fi/92vylsngtbdpj4tmqiebo/113902-af.jpg?rlkey=00hgahkrwrxpxcmpflomlexzs&amp;dl=0","Click to download Image")</f>
      </c>
      <c r="B3427" s="0">
        <f>HYPERLINK("https://dl.dropboxusercontent.com/scl/fi/scrsbg68nex4oavqa9lud/mens-polo-size-chartsbrent.jpg?rlkey=rrmaqcvz1qokdp3n7krx6rxwh&amp;dl=0","Click to download SizeChart")</f>
      </c>
      <c r="C3427" s="0" t="inlineStr">
        <is>
          <t>Quinton Men's Golf Polo</t>
        </is>
      </c>
      <c r="D3427" s="0" t="inlineStr">
        <is>
          <t>'113902</t>
        </is>
      </c>
      <c r="E3427" s="0" t="inlineStr">
        <is>
          <t>IOWA QUINTON M GOLD:113902B-M</t>
        </is>
      </c>
      <c r="F3427" s="0" t="inlineStr">
        <is>
          <t>'800113902051</t>
        </is>
      </c>
      <c r="G3427" s="0" t="inlineStr">
        <is>
          <t>MENS</t>
        </is>
      </c>
      <c r="H3427" s="0" t="inlineStr">
        <is>
          <t>M</t>
        </is>
      </c>
      <c r="I3427" s="0">
        <v>40.99</v>
      </c>
      <c r="J3427" s="0">
        <v>22</v>
      </c>
    </row>
    <row r="3428" spans="1:10" customHeight="0">
      <c r="A3428" s="0">
        <f>HYPERLINK("https://dl.dropboxusercontent.com/scl/fi/92vylsngtbdpj4tmqiebo/113902-af.jpg?rlkey=00hgahkrwrxpxcmpflomlexzs&amp;dl=0","Click to download Image")</f>
      </c>
      <c r="B3428" s="0">
        <f>HYPERLINK("https://dl.dropboxusercontent.com/scl/fi/scrsbg68nex4oavqa9lud/mens-polo-size-chartsbrent.jpg?rlkey=rrmaqcvz1qokdp3n7krx6rxwh&amp;dl=0","Click to download SizeChart")</f>
      </c>
      <c r="C3428" s="0" t="inlineStr">
        <is>
          <t>Quinton Men's Golf Polo</t>
        </is>
      </c>
      <c r="D3428" s="0" t="inlineStr">
        <is>
          <t>'113902</t>
        </is>
      </c>
      <c r="E3428" s="0" t="inlineStr">
        <is>
          <t>IOWA QUINTON M GOLD:113902C-L</t>
        </is>
      </c>
      <c r="F3428" s="0" t="inlineStr">
        <is>
          <t>'800113902068</t>
        </is>
      </c>
      <c r="G3428" s="0" t="inlineStr">
        <is>
          <t>MENS</t>
        </is>
      </c>
      <c r="H3428" s="0" t="inlineStr">
        <is>
          <t>L</t>
        </is>
      </c>
      <c r="I3428" s="0">
        <v>40.99</v>
      </c>
      <c r="J3428" s="0">
        <v>22</v>
      </c>
    </row>
    <row r="3429" spans="1:10" customHeight="0">
      <c r="A3429" s="0">
        <f>HYPERLINK("https://dl.dropboxusercontent.com/scl/fi/92vylsngtbdpj4tmqiebo/113902-af.jpg?rlkey=00hgahkrwrxpxcmpflomlexzs&amp;dl=0","Click to download Image")</f>
      </c>
      <c r="B3429" s="0">
        <f>HYPERLINK("https://dl.dropboxusercontent.com/scl/fi/scrsbg68nex4oavqa9lud/mens-polo-size-chartsbrent.jpg?rlkey=rrmaqcvz1qokdp3n7krx6rxwh&amp;dl=0","Click to download SizeChart")</f>
      </c>
      <c r="C3429" s="0" t="inlineStr">
        <is>
          <t>Quinton Men's Golf Polo</t>
        </is>
      </c>
      <c r="D3429" s="0" t="inlineStr">
        <is>
          <t>'113902</t>
        </is>
      </c>
      <c r="E3429" s="0" t="inlineStr">
        <is>
          <t>IOWA QUINTON M GOLD:113902D-XL</t>
        </is>
      </c>
      <c r="F3429" s="0" t="inlineStr">
        <is>
          <t>'800113902075</t>
        </is>
      </c>
      <c r="G3429" s="0" t="inlineStr">
        <is>
          <t>MENS</t>
        </is>
      </c>
      <c r="H3429" s="0" t="inlineStr">
        <is>
          <t>XL</t>
        </is>
      </c>
      <c r="I3429" s="0">
        <v>40.99</v>
      </c>
      <c r="J3429" s="0">
        <v>15</v>
      </c>
    </row>
    <row r="3430" spans="1:10" customHeight="0">
      <c r="A3430" s="0">
        <f>HYPERLINK("https://dl.dropboxusercontent.com/scl/fi/92vylsngtbdpj4tmqiebo/113902-af.jpg?rlkey=00hgahkrwrxpxcmpflomlexzs&amp;dl=0","Click to download Image")</f>
      </c>
      <c r="B3430" s="0">
        <f>HYPERLINK("https://dl.dropboxusercontent.com/scl/fi/scrsbg68nex4oavqa9lud/mens-polo-size-chartsbrent.jpg?rlkey=rrmaqcvz1qokdp3n7krx6rxwh&amp;dl=0","Click to download SizeChart")</f>
      </c>
      <c r="C3430" s="0" t="inlineStr">
        <is>
          <t>Quinton Men's Golf Polo</t>
        </is>
      </c>
      <c r="D3430" s="0" t="inlineStr">
        <is>
          <t>'113902</t>
        </is>
      </c>
      <c r="E3430" s="0" t="inlineStr">
        <is>
          <t>IOWA QUINTON M GOLD:113902E-2XL</t>
        </is>
      </c>
      <c r="F3430" s="0" t="inlineStr">
        <is>
          <t>'800113902082</t>
        </is>
      </c>
      <c r="G3430" s="0" t="inlineStr">
        <is>
          <t>MENS</t>
        </is>
      </c>
      <c r="H3430" s="0" t="inlineStr">
        <is>
          <t>2XL</t>
        </is>
      </c>
      <c r="I3430" s="0">
        <v>40.99</v>
      </c>
      <c r="J3430" s="0">
        <v>16</v>
      </c>
    </row>
    <row r="3431" spans="1:10" customHeight="0">
      <c r="A3431" s="0">
        <f>HYPERLINK("https://dl.dropboxusercontent.com/scl/fi/92vylsngtbdpj4tmqiebo/113902-af.jpg?rlkey=00hgahkrwrxpxcmpflomlexzs&amp;dl=0","Click to download Image")</f>
      </c>
      <c r="B3431" s="0">
        <f>HYPERLINK("https://dl.dropboxusercontent.com/scl/fi/scrsbg68nex4oavqa9lud/mens-polo-size-chartsbrent.jpg?rlkey=rrmaqcvz1qokdp3n7krx6rxwh&amp;dl=0","Click to download SizeChart")</f>
      </c>
      <c r="C3431" s="0" t="inlineStr">
        <is>
          <t>Quinton Men's Golf Polo</t>
        </is>
      </c>
      <c r="D3431" s="0" t="inlineStr">
        <is>
          <t>'113902</t>
        </is>
      </c>
      <c r="E3431" s="0" t="inlineStr">
        <is>
          <t>IOWA QUINTON M GOLD:113902F-3XL</t>
        </is>
      </c>
      <c r="F3431" s="0" t="inlineStr">
        <is>
          <t>'800113902099</t>
        </is>
      </c>
      <c r="G3431" s="0" t="inlineStr">
        <is>
          <t>MENS</t>
        </is>
      </c>
      <c r="H3431" s="0" t="inlineStr">
        <is>
          <t>3XL</t>
        </is>
      </c>
      <c r="I3431" s="0">
        <v>40.99</v>
      </c>
      <c r="J3431" s="0">
        <v>3</v>
      </c>
    </row>
    <row r="3432" spans="1:10" customHeight="0">
      <c r="A3432" s="0">
        <f>HYPERLINK("https://dl.dropboxusercontent.com/scl/fi/92vylsngtbdpj4tmqiebo/113902-af.jpg?rlkey=00hgahkrwrxpxcmpflomlexzs&amp;dl=0","Click to download Image")</f>
      </c>
      <c r="B3432" s="0">
        <f>HYPERLINK("https://dl.dropboxusercontent.com/scl/fi/scrsbg68nex4oavqa9lud/mens-polo-size-chartsbrent.jpg?rlkey=rrmaqcvz1qokdp3n7krx6rxwh&amp;dl=0","Click to download SizeChart")</f>
      </c>
      <c r="C3432" s="0" t="inlineStr">
        <is>
          <t>Quinton Men's Golf Polo</t>
        </is>
      </c>
      <c r="D3432" s="0" t="inlineStr">
        <is>
          <t>'113902</t>
        </is>
      </c>
      <c r="E3432" s="0" t="inlineStr">
        <is>
          <t>IOWA QUINTON M GOLD 12 PACK:113902Z-12PK</t>
        </is>
      </c>
      <c r="F3432" s="0" t="inlineStr">
        <is>
          <t>'800113902990</t>
        </is>
      </c>
      <c r="G3432" s="0" t="inlineStr">
        <is>
          <t>MENS</t>
        </is>
      </c>
      <c r="H3432" s="0" t="inlineStr">
        <is>
          <t>12 PACK</t>
        </is>
      </c>
      <c r="I3432" s="0">
        <v>473.76</v>
      </c>
      <c r="J3432" s="0">
        <v>0</v>
      </c>
    </row>
    <row r="3433" spans="1:10" customHeight="0">
      <c r="A3433" s="0">
        <f>HYPERLINK("https://dl.dropboxusercontent.com/scl/fi/mcdaqsh7asw37w6w7rowa/113971-af.jpg?rlkey=zigvy6cq7deoot9vpafhl589n&amp;dl=0","Click to download Image")</f>
      </c>
      <c r="B3433" s="0">
        <f>HYPERLINK("https://dl.dropboxusercontent.com/scl/fi/scrsbg68nex4oavqa9lud/mens-polo-size-chartsbrent.jpg?rlkey=rrmaqcvz1qokdp3n7krx6rxwh&amp;dl=0","Click to download SizeChart")</f>
      </c>
      <c r="C3433" s="0" t="inlineStr">
        <is>
          <t>Quinton Men's Golf Polo</t>
        </is>
      </c>
      <c r="D3433" s="0" t="inlineStr">
        <is>
          <t>'113971</t>
        </is>
      </c>
      <c r="E3433" s="0" t="inlineStr">
        <is>
          <t>INDIANA QUINTON M WHITE:113971A-S</t>
        </is>
      </c>
      <c r="F3433" s="0" t="inlineStr">
        <is>
          <t>'806113971042</t>
        </is>
      </c>
      <c r="G3433" s="0" t="inlineStr">
        <is>
          <t>MENS</t>
        </is>
      </c>
      <c r="H3433" s="0" t="inlineStr">
        <is>
          <t>S</t>
        </is>
      </c>
      <c r="I3433" s="0">
        <v>40.99</v>
      </c>
      <c r="J3433" s="0">
        <v>4</v>
      </c>
    </row>
    <row r="3434" spans="1:10" customHeight="0">
      <c r="A3434" s="0">
        <f>HYPERLINK("https://dl.dropboxusercontent.com/scl/fi/mcdaqsh7asw37w6w7rowa/113971-af.jpg?rlkey=zigvy6cq7deoot9vpafhl589n&amp;dl=0","Click to download Image")</f>
      </c>
      <c r="B3434" s="0">
        <f>HYPERLINK("https://dl.dropboxusercontent.com/scl/fi/scrsbg68nex4oavqa9lud/mens-polo-size-chartsbrent.jpg?rlkey=rrmaqcvz1qokdp3n7krx6rxwh&amp;dl=0","Click to download SizeChart")</f>
      </c>
      <c r="C3434" s="0" t="inlineStr">
        <is>
          <t>Quinton Men's Golf Polo</t>
        </is>
      </c>
      <c r="D3434" s="0" t="inlineStr">
        <is>
          <t>'113971</t>
        </is>
      </c>
      <c r="E3434" s="0" t="inlineStr">
        <is>
          <t>INDIANA QUINTON M WHITE:113971B-M</t>
        </is>
      </c>
      <c r="F3434" s="0" t="inlineStr">
        <is>
          <t>'806113971059</t>
        </is>
      </c>
      <c r="G3434" s="0" t="inlineStr">
        <is>
          <t>MENS</t>
        </is>
      </c>
      <c r="H3434" s="0" t="inlineStr">
        <is>
          <t>M</t>
        </is>
      </c>
      <c r="I3434" s="0">
        <v>40.99</v>
      </c>
      <c r="J3434" s="0">
        <v>0</v>
      </c>
    </row>
    <row r="3435" spans="1:10" customHeight="0">
      <c r="A3435" s="0">
        <f>HYPERLINK("https://dl.dropboxusercontent.com/scl/fi/mcdaqsh7asw37w6w7rowa/113971-af.jpg?rlkey=zigvy6cq7deoot9vpafhl589n&amp;dl=0","Click to download Image")</f>
      </c>
      <c r="B3435" s="0">
        <f>HYPERLINK("https://dl.dropboxusercontent.com/scl/fi/scrsbg68nex4oavqa9lud/mens-polo-size-chartsbrent.jpg?rlkey=rrmaqcvz1qokdp3n7krx6rxwh&amp;dl=0","Click to download SizeChart")</f>
      </c>
      <c r="C3435" s="0" t="inlineStr">
        <is>
          <t>Quinton Men's Golf Polo</t>
        </is>
      </c>
      <c r="D3435" s="0" t="inlineStr">
        <is>
          <t>'113971</t>
        </is>
      </c>
      <c r="E3435" s="0" t="inlineStr">
        <is>
          <t>INDIANA QUINTON M WHITE:113971C-L</t>
        </is>
      </c>
      <c r="F3435" s="0" t="inlineStr">
        <is>
          <t>'806113971066</t>
        </is>
      </c>
      <c r="G3435" s="0" t="inlineStr">
        <is>
          <t>MENS</t>
        </is>
      </c>
      <c r="H3435" s="0" t="inlineStr">
        <is>
          <t>L</t>
        </is>
      </c>
      <c r="I3435" s="0">
        <v>40.99</v>
      </c>
      <c r="J3435" s="0">
        <v>1</v>
      </c>
    </row>
    <row r="3436" spans="1:10" customHeight="0">
      <c r="A3436" s="0">
        <f>HYPERLINK("https://dl.dropboxusercontent.com/scl/fi/mcdaqsh7asw37w6w7rowa/113971-af.jpg?rlkey=zigvy6cq7deoot9vpafhl589n&amp;dl=0","Click to download Image")</f>
      </c>
      <c r="B3436" s="0">
        <f>HYPERLINK("https://dl.dropboxusercontent.com/scl/fi/scrsbg68nex4oavqa9lud/mens-polo-size-chartsbrent.jpg?rlkey=rrmaqcvz1qokdp3n7krx6rxwh&amp;dl=0","Click to download SizeChart")</f>
      </c>
      <c r="C3436" s="0" t="inlineStr">
        <is>
          <t>Quinton Men's Golf Polo</t>
        </is>
      </c>
      <c r="D3436" s="0" t="inlineStr">
        <is>
          <t>'113971</t>
        </is>
      </c>
      <c r="E3436" s="0" t="inlineStr">
        <is>
          <t>INDIANA QUINTON M WHITE:113971D-XL</t>
        </is>
      </c>
      <c r="F3436" s="0" t="inlineStr">
        <is>
          <t>'806113971073</t>
        </is>
      </c>
      <c r="G3436" s="0" t="inlineStr">
        <is>
          <t>MENS</t>
        </is>
      </c>
      <c r="H3436" s="0" t="inlineStr">
        <is>
          <t>XL</t>
        </is>
      </c>
      <c r="I3436" s="0">
        <v>40.99</v>
      </c>
      <c r="J3436" s="0">
        <v>0</v>
      </c>
    </row>
    <row r="3437" spans="1:10" customHeight="0">
      <c r="A3437" s="0">
        <f>HYPERLINK("https://dl.dropboxusercontent.com/scl/fi/mcdaqsh7asw37w6w7rowa/113971-af.jpg?rlkey=zigvy6cq7deoot9vpafhl589n&amp;dl=0","Click to download Image")</f>
      </c>
      <c r="B3437" s="0">
        <f>HYPERLINK("https://dl.dropboxusercontent.com/scl/fi/scrsbg68nex4oavqa9lud/mens-polo-size-chartsbrent.jpg?rlkey=rrmaqcvz1qokdp3n7krx6rxwh&amp;dl=0","Click to download SizeChart")</f>
      </c>
      <c r="C3437" s="0" t="inlineStr">
        <is>
          <t>Quinton Men's Golf Polo</t>
        </is>
      </c>
      <c r="D3437" s="0" t="inlineStr">
        <is>
          <t>'113971</t>
        </is>
      </c>
      <c r="E3437" s="0" t="inlineStr">
        <is>
          <t>INDIANA QUINTON M WHITE:113971E-2XL</t>
        </is>
      </c>
      <c r="F3437" s="0" t="inlineStr">
        <is>
          <t>'806113971080</t>
        </is>
      </c>
      <c r="G3437" s="0" t="inlineStr">
        <is>
          <t>MENS</t>
        </is>
      </c>
      <c r="H3437" s="0" t="inlineStr">
        <is>
          <t>2XL</t>
        </is>
      </c>
      <c r="I3437" s="0">
        <v>40.99</v>
      </c>
      <c r="J3437" s="0">
        <v>0</v>
      </c>
    </row>
    <row r="3438" spans="1:10" customHeight="0">
      <c r="A3438" s="0">
        <f>HYPERLINK("https://dl.dropboxusercontent.com/scl/fi/mcdaqsh7asw37w6w7rowa/113971-af.jpg?rlkey=zigvy6cq7deoot9vpafhl589n&amp;dl=0","Click to download Image")</f>
      </c>
      <c r="B3438" s="0">
        <f>HYPERLINK("https://dl.dropboxusercontent.com/scl/fi/scrsbg68nex4oavqa9lud/mens-polo-size-chartsbrent.jpg?rlkey=rrmaqcvz1qokdp3n7krx6rxwh&amp;dl=0","Click to download SizeChart")</f>
      </c>
      <c r="C3438" s="0" t="inlineStr">
        <is>
          <t>Quinton Men's Golf Polo</t>
        </is>
      </c>
      <c r="D3438" s="0" t="inlineStr">
        <is>
          <t>'113971</t>
        </is>
      </c>
      <c r="E3438" s="0" t="inlineStr">
        <is>
          <t>INDIANA QUINTON M WHITE:113971F-3XL</t>
        </is>
      </c>
      <c r="F3438" s="0" t="inlineStr">
        <is>
          <t>'806113971097</t>
        </is>
      </c>
      <c r="G3438" s="0" t="inlineStr">
        <is>
          <t>MENS</t>
        </is>
      </c>
      <c r="H3438" s="0" t="inlineStr">
        <is>
          <t>3XL</t>
        </is>
      </c>
      <c r="I3438" s="0">
        <v>40.99</v>
      </c>
      <c r="J3438" s="0">
        <v>2</v>
      </c>
    </row>
    <row r="3439" spans="1:10" customHeight="0">
      <c r="A3439" s="0">
        <f>HYPERLINK("https://dl.dropboxusercontent.com/scl/fi/mcdaqsh7asw37w6w7rowa/113971-af.jpg?rlkey=zigvy6cq7deoot9vpafhl589n&amp;dl=0","Click to download Image")</f>
      </c>
      <c r="B3439" s="0">
        <f>HYPERLINK("https://dl.dropboxusercontent.com/scl/fi/scrsbg68nex4oavqa9lud/mens-polo-size-chartsbrent.jpg?rlkey=rrmaqcvz1qokdp3n7krx6rxwh&amp;dl=0","Click to download SizeChart")</f>
      </c>
      <c r="C3439" s="0" t="inlineStr">
        <is>
          <t>Quinton Men's Golf Polo</t>
        </is>
      </c>
      <c r="D3439" s="0" t="inlineStr">
        <is>
          <t>'113971</t>
        </is>
      </c>
      <c r="E3439" s="0" t="inlineStr">
        <is>
          <t>INDIANA QUINTON M WHITE 12 PACK:113971Z-12PK</t>
        </is>
      </c>
      <c r="F3439" s="0" t="inlineStr">
        <is>
          <t>'806113971998</t>
        </is>
      </c>
      <c r="G3439" s="0" t="inlineStr">
        <is>
          <t>MENS</t>
        </is>
      </c>
      <c r="H3439" s="0" t="inlineStr">
        <is>
          <t>12 PACK</t>
        </is>
      </c>
      <c r="I3439" s="0">
        <v>473.76</v>
      </c>
      <c r="J3439" s="0">
        <v>0</v>
      </c>
    </row>
    <row r="3440" spans="1:10" customHeight="0">
      <c r="A3440" s="0">
        <f>HYPERLINK("https://dl.dropboxusercontent.com/scl/fi/suq03yqx1bjoih39l208w/113970-af.jpg?rlkey=i1bm6rquopcq0tgbecqrh71x2&amp;dl=0","Click to download Image")</f>
      </c>
      <c r="B3440" s="0">
        <f>HYPERLINK("https://dl.dropboxusercontent.com/scl/fi/scrsbg68nex4oavqa9lud/mens-polo-size-chartsbrent.jpg?rlkey=rrmaqcvz1qokdp3n7krx6rxwh&amp;dl=0","Click to download SizeChart")</f>
      </c>
      <c r="C3440" s="0" t="inlineStr">
        <is>
          <t>Quinton Men's Golf Polo</t>
        </is>
      </c>
      <c r="D3440" s="0" t="inlineStr">
        <is>
          <t>'113970</t>
        </is>
      </c>
      <c r="E3440" s="0" t="inlineStr">
        <is>
          <t>PURDUE QUINTON M GOLD:113970A-S</t>
        </is>
      </c>
      <c r="F3440" s="0" t="inlineStr">
        <is>
          <t>'804113970041</t>
        </is>
      </c>
      <c r="G3440" s="0" t="inlineStr">
        <is>
          <t>MENS</t>
        </is>
      </c>
      <c r="H3440" s="0" t="inlineStr">
        <is>
          <t>S</t>
        </is>
      </c>
      <c r="I3440" s="0">
        <v>40.99</v>
      </c>
      <c r="J3440" s="0">
        <v>4</v>
      </c>
    </row>
    <row r="3441" spans="1:10" customHeight="0">
      <c r="A3441" s="0">
        <f>HYPERLINK("https://dl.dropboxusercontent.com/scl/fi/suq03yqx1bjoih39l208w/113970-af.jpg?rlkey=i1bm6rquopcq0tgbecqrh71x2&amp;dl=0","Click to download Image")</f>
      </c>
      <c r="B3441" s="0">
        <f>HYPERLINK("https://dl.dropboxusercontent.com/scl/fi/scrsbg68nex4oavqa9lud/mens-polo-size-chartsbrent.jpg?rlkey=rrmaqcvz1qokdp3n7krx6rxwh&amp;dl=0","Click to download SizeChart")</f>
      </c>
      <c r="C3441" s="0" t="inlineStr">
        <is>
          <t>Quinton Men's Golf Polo</t>
        </is>
      </c>
      <c r="D3441" s="0" t="inlineStr">
        <is>
          <t>'113970</t>
        </is>
      </c>
      <c r="E3441" s="0" t="inlineStr">
        <is>
          <t>PURDUE QUINTON M GOLD:113970B-M</t>
        </is>
      </c>
      <c r="F3441" s="0" t="inlineStr">
        <is>
          <t>'804113970058</t>
        </is>
      </c>
      <c r="G3441" s="0" t="inlineStr">
        <is>
          <t>MENS</t>
        </is>
      </c>
      <c r="H3441" s="0" t="inlineStr">
        <is>
          <t>M</t>
        </is>
      </c>
      <c r="I3441" s="0">
        <v>40.99</v>
      </c>
      <c r="J3441" s="0">
        <v>0</v>
      </c>
    </row>
    <row r="3442" spans="1:10" customHeight="0">
      <c r="A3442" s="0">
        <f>HYPERLINK("https://dl.dropboxusercontent.com/scl/fi/suq03yqx1bjoih39l208w/113970-af.jpg?rlkey=i1bm6rquopcq0tgbecqrh71x2&amp;dl=0","Click to download Image")</f>
      </c>
      <c r="B3442" s="0">
        <f>HYPERLINK("https://dl.dropboxusercontent.com/scl/fi/scrsbg68nex4oavqa9lud/mens-polo-size-chartsbrent.jpg?rlkey=rrmaqcvz1qokdp3n7krx6rxwh&amp;dl=0","Click to download SizeChart")</f>
      </c>
      <c r="C3442" s="0" t="inlineStr">
        <is>
          <t>Quinton Men's Golf Polo</t>
        </is>
      </c>
      <c r="D3442" s="0" t="inlineStr">
        <is>
          <t>'113970</t>
        </is>
      </c>
      <c r="E3442" s="0" t="inlineStr">
        <is>
          <t>PURDUE QUINTON M GOLD:113970C-L</t>
        </is>
      </c>
      <c r="F3442" s="0" t="inlineStr">
        <is>
          <t>'804113970065</t>
        </is>
      </c>
      <c r="G3442" s="0" t="inlineStr">
        <is>
          <t>MENS</t>
        </is>
      </c>
      <c r="H3442" s="0" t="inlineStr">
        <is>
          <t>L</t>
        </is>
      </c>
      <c r="I3442" s="0">
        <v>40.99</v>
      </c>
      <c r="J3442" s="0">
        <v>0</v>
      </c>
    </row>
    <row r="3443" spans="1:10" customHeight="0">
      <c r="A3443" s="0">
        <f>HYPERLINK("https://dl.dropboxusercontent.com/scl/fi/suq03yqx1bjoih39l208w/113970-af.jpg?rlkey=i1bm6rquopcq0tgbecqrh71x2&amp;dl=0","Click to download Image")</f>
      </c>
      <c r="B3443" s="0">
        <f>HYPERLINK("https://dl.dropboxusercontent.com/scl/fi/scrsbg68nex4oavqa9lud/mens-polo-size-chartsbrent.jpg?rlkey=rrmaqcvz1qokdp3n7krx6rxwh&amp;dl=0","Click to download SizeChart")</f>
      </c>
      <c r="C3443" s="0" t="inlineStr">
        <is>
          <t>Quinton Men's Golf Polo</t>
        </is>
      </c>
      <c r="D3443" s="0" t="inlineStr">
        <is>
          <t>'113970</t>
        </is>
      </c>
      <c r="E3443" s="0" t="inlineStr">
        <is>
          <t>PURDUE QUINTON M GOLD:113970D-XL</t>
        </is>
      </c>
      <c r="F3443" s="0" t="inlineStr">
        <is>
          <t>'804113970072</t>
        </is>
      </c>
      <c r="G3443" s="0" t="inlineStr">
        <is>
          <t>MENS</t>
        </is>
      </c>
      <c r="H3443" s="0" t="inlineStr">
        <is>
          <t>XL</t>
        </is>
      </c>
      <c r="I3443" s="0">
        <v>40.99</v>
      </c>
      <c r="J3443" s="0">
        <v>0</v>
      </c>
    </row>
    <row r="3444" spans="1:10" customHeight="0">
      <c r="A3444" s="0">
        <f>HYPERLINK("https://dl.dropboxusercontent.com/scl/fi/suq03yqx1bjoih39l208w/113970-af.jpg?rlkey=i1bm6rquopcq0tgbecqrh71x2&amp;dl=0","Click to download Image")</f>
      </c>
      <c r="B3444" s="0">
        <f>HYPERLINK("https://dl.dropboxusercontent.com/scl/fi/scrsbg68nex4oavqa9lud/mens-polo-size-chartsbrent.jpg?rlkey=rrmaqcvz1qokdp3n7krx6rxwh&amp;dl=0","Click to download SizeChart")</f>
      </c>
      <c r="C3444" s="0" t="inlineStr">
        <is>
          <t>Quinton Men's Golf Polo</t>
        </is>
      </c>
      <c r="D3444" s="0" t="inlineStr">
        <is>
          <t>'113970</t>
        </is>
      </c>
      <c r="E3444" s="0" t="inlineStr">
        <is>
          <t>PURDUE QUINTON M GOLD:113970E-2XL</t>
        </is>
      </c>
      <c r="F3444" s="0" t="inlineStr">
        <is>
          <t>'804113970089</t>
        </is>
      </c>
      <c r="G3444" s="0" t="inlineStr">
        <is>
          <t>MENS</t>
        </is>
      </c>
      <c r="H3444" s="0" t="inlineStr">
        <is>
          <t>2XL</t>
        </is>
      </c>
      <c r="I3444" s="0">
        <v>40.99</v>
      </c>
      <c r="J3444" s="0">
        <v>4</v>
      </c>
    </row>
    <row r="3445" spans="1:10" customHeight="0">
      <c r="A3445" s="0">
        <f>HYPERLINK("https://dl.dropboxusercontent.com/scl/fi/suq03yqx1bjoih39l208w/113970-af.jpg?rlkey=i1bm6rquopcq0tgbecqrh71x2&amp;dl=0","Click to download Image")</f>
      </c>
      <c r="B3445" s="0">
        <f>HYPERLINK("https://dl.dropboxusercontent.com/scl/fi/scrsbg68nex4oavqa9lud/mens-polo-size-chartsbrent.jpg?rlkey=rrmaqcvz1qokdp3n7krx6rxwh&amp;dl=0","Click to download SizeChart")</f>
      </c>
      <c r="C3445" s="0" t="inlineStr">
        <is>
          <t>Quinton Men's Golf Polo</t>
        </is>
      </c>
      <c r="D3445" s="0" t="inlineStr">
        <is>
          <t>'113970</t>
        </is>
      </c>
      <c r="E3445" s="0" t="inlineStr">
        <is>
          <t>PURDUE QUINTON M GOLD:113970F-3XL</t>
        </is>
      </c>
      <c r="F3445" s="0" t="inlineStr">
        <is>
          <t>'804113970096</t>
        </is>
      </c>
      <c r="G3445" s="0" t="inlineStr">
        <is>
          <t>MENS</t>
        </is>
      </c>
      <c r="H3445" s="0" t="inlineStr">
        <is>
          <t>3XL</t>
        </is>
      </c>
      <c r="I3445" s="0">
        <v>40.99</v>
      </c>
      <c r="J3445" s="0">
        <v>0</v>
      </c>
    </row>
    <row r="3446" spans="1:10" customHeight="0">
      <c r="A3446" s="0">
        <f>HYPERLINK("https://dl.dropboxusercontent.com/scl/fi/suq03yqx1bjoih39l208w/113970-af.jpg?rlkey=i1bm6rquopcq0tgbecqrh71x2&amp;dl=0","Click to download Image")</f>
      </c>
      <c r="B3446" s="0">
        <f>HYPERLINK("https://dl.dropboxusercontent.com/scl/fi/scrsbg68nex4oavqa9lud/mens-polo-size-chartsbrent.jpg?rlkey=rrmaqcvz1qokdp3n7krx6rxwh&amp;dl=0","Click to download SizeChart")</f>
      </c>
      <c r="C3446" s="0" t="inlineStr">
        <is>
          <t>Quinton Men's Golf Polo</t>
        </is>
      </c>
      <c r="D3446" s="0" t="inlineStr">
        <is>
          <t>'113970</t>
        </is>
      </c>
      <c r="E3446" s="0" t="inlineStr">
        <is>
          <t>PURDUE QUINTON M GOLD 12 PACK:113970Z-12PK</t>
        </is>
      </c>
      <c r="F3446" s="0" t="inlineStr">
        <is>
          <t>'804113970997</t>
        </is>
      </c>
      <c r="G3446" s="0" t="inlineStr">
        <is>
          <t>MENS</t>
        </is>
      </c>
      <c r="H3446" s="0" t="inlineStr">
        <is>
          <t>12 PACK</t>
        </is>
      </c>
      <c r="I3446" s="0">
        <v>473.76</v>
      </c>
      <c r="J3446" s="0">
        <v>0</v>
      </c>
    </row>
    <row r="3447" spans="1:10" customHeight="0">
      <c r="A3447" s="0">
        <f>HYPERLINK("https://dl.dropboxusercontent.com/scl/fi/kt1mqsmi7duggqh93b8wn/113969-af.jpg?rlkey=aua60l3v4zmobl9z9xh9bu3u8&amp;dl=0","Click to download Image")</f>
      </c>
      <c r="B3447" s="0">
        <f>HYPERLINK("https://dl.dropboxusercontent.com/scl/fi/scrsbg68nex4oavqa9lud/mens-polo-size-chartsbrent.jpg?rlkey=rrmaqcvz1qokdp3n7krx6rxwh&amp;dl=0","Click to download SizeChart")</f>
      </c>
      <c r="C3447" s="0" t="inlineStr">
        <is>
          <t>Quinton Men's Golf Polo</t>
        </is>
      </c>
      <c r="D3447" s="0" t="inlineStr">
        <is>
          <t>'113969</t>
        </is>
      </c>
      <c r="E3447" s="0" t="inlineStr">
        <is>
          <t>KSU QUINTON M WHITE:113969A-S</t>
        </is>
      </c>
      <c r="F3447" s="0" t="inlineStr">
        <is>
          <t>'805113969042</t>
        </is>
      </c>
      <c r="G3447" s="0" t="inlineStr">
        <is>
          <t>MENS</t>
        </is>
      </c>
      <c r="H3447" s="0" t="inlineStr">
        <is>
          <t>S</t>
        </is>
      </c>
      <c r="I3447" s="0">
        <v>40.99</v>
      </c>
      <c r="J3447" s="0">
        <v>6</v>
      </c>
    </row>
    <row r="3448" spans="1:10" customHeight="0">
      <c r="A3448" s="0">
        <f>HYPERLINK("https://dl.dropboxusercontent.com/scl/fi/kt1mqsmi7duggqh93b8wn/113969-af.jpg?rlkey=aua60l3v4zmobl9z9xh9bu3u8&amp;dl=0","Click to download Image")</f>
      </c>
      <c r="B3448" s="0">
        <f>HYPERLINK("https://dl.dropboxusercontent.com/scl/fi/scrsbg68nex4oavqa9lud/mens-polo-size-chartsbrent.jpg?rlkey=rrmaqcvz1qokdp3n7krx6rxwh&amp;dl=0","Click to download SizeChart")</f>
      </c>
      <c r="C3448" s="0" t="inlineStr">
        <is>
          <t>Quinton Men's Golf Polo</t>
        </is>
      </c>
      <c r="D3448" s="0" t="inlineStr">
        <is>
          <t>'113969</t>
        </is>
      </c>
      <c r="E3448" s="0" t="inlineStr">
        <is>
          <t>KSU QUINTON M WHITE:113969B-M</t>
        </is>
      </c>
      <c r="F3448" s="0" t="inlineStr">
        <is>
          <t>'805113969059</t>
        </is>
      </c>
      <c r="G3448" s="0" t="inlineStr">
        <is>
          <t>MENS</t>
        </is>
      </c>
      <c r="H3448" s="0" t="inlineStr">
        <is>
          <t>M</t>
        </is>
      </c>
      <c r="I3448" s="0">
        <v>40.99</v>
      </c>
      <c r="J3448" s="0">
        <v>11</v>
      </c>
    </row>
    <row r="3449" spans="1:10" customHeight="0">
      <c r="A3449" s="0">
        <f>HYPERLINK("https://dl.dropboxusercontent.com/scl/fi/kt1mqsmi7duggqh93b8wn/113969-af.jpg?rlkey=aua60l3v4zmobl9z9xh9bu3u8&amp;dl=0","Click to download Image")</f>
      </c>
      <c r="B3449" s="0">
        <f>HYPERLINK("https://dl.dropboxusercontent.com/scl/fi/scrsbg68nex4oavqa9lud/mens-polo-size-chartsbrent.jpg?rlkey=rrmaqcvz1qokdp3n7krx6rxwh&amp;dl=0","Click to download SizeChart")</f>
      </c>
      <c r="C3449" s="0" t="inlineStr">
        <is>
          <t>Quinton Men's Golf Polo</t>
        </is>
      </c>
      <c r="D3449" s="0" t="inlineStr">
        <is>
          <t>'113969</t>
        </is>
      </c>
      <c r="E3449" s="0" t="inlineStr">
        <is>
          <t>KSU QUINTON M WHITE:113969C-L</t>
        </is>
      </c>
      <c r="F3449" s="0" t="inlineStr">
        <is>
          <t>'805113969066</t>
        </is>
      </c>
      <c r="G3449" s="0" t="inlineStr">
        <is>
          <t>MENS</t>
        </is>
      </c>
      <c r="H3449" s="0" t="inlineStr">
        <is>
          <t>L</t>
        </is>
      </c>
      <c r="I3449" s="0">
        <v>40.99</v>
      </c>
      <c r="J3449" s="0">
        <v>5</v>
      </c>
    </row>
    <row r="3450" spans="1:10" customHeight="0">
      <c r="A3450" s="0">
        <f>HYPERLINK("https://dl.dropboxusercontent.com/scl/fi/kt1mqsmi7duggqh93b8wn/113969-af.jpg?rlkey=aua60l3v4zmobl9z9xh9bu3u8&amp;dl=0","Click to download Image")</f>
      </c>
      <c r="B3450" s="0">
        <f>HYPERLINK("https://dl.dropboxusercontent.com/scl/fi/scrsbg68nex4oavqa9lud/mens-polo-size-chartsbrent.jpg?rlkey=rrmaqcvz1qokdp3n7krx6rxwh&amp;dl=0","Click to download SizeChart")</f>
      </c>
      <c r="C3450" s="0" t="inlineStr">
        <is>
          <t>Quinton Men's Golf Polo</t>
        </is>
      </c>
      <c r="D3450" s="0" t="inlineStr">
        <is>
          <t>'113969</t>
        </is>
      </c>
      <c r="E3450" s="0" t="inlineStr">
        <is>
          <t>KSU QUINTON M WHITE:113969D-XL</t>
        </is>
      </c>
      <c r="F3450" s="0" t="inlineStr">
        <is>
          <t>'805113969073</t>
        </is>
      </c>
      <c r="G3450" s="0" t="inlineStr">
        <is>
          <t>MENS</t>
        </is>
      </c>
      <c r="H3450" s="0" t="inlineStr">
        <is>
          <t>XL</t>
        </is>
      </c>
      <c r="I3450" s="0">
        <v>40.99</v>
      </c>
      <c r="J3450" s="0">
        <v>11</v>
      </c>
    </row>
    <row r="3451" spans="1:10" customHeight="0">
      <c r="A3451" s="0">
        <f>HYPERLINK("https://dl.dropboxusercontent.com/scl/fi/kt1mqsmi7duggqh93b8wn/113969-af.jpg?rlkey=aua60l3v4zmobl9z9xh9bu3u8&amp;dl=0","Click to download Image")</f>
      </c>
      <c r="B3451" s="0">
        <f>HYPERLINK("https://dl.dropboxusercontent.com/scl/fi/scrsbg68nex4oavqa9lud/mens-polo-size-chartsbrent.jpg?rlkey=rrmaqcvz1qokdp3n7krx6rxwh&amp;dl=0","Click to download SizeChart")</f>
      </c>
      <c r="C3451" s="0" t="inlineStr">
        <is>
          <t>Quinton Men's Golf Polo</t>
        </is>
      </c>
      <c r="D3451" s="0" t="inlineStr">
        <is>
          <t>'113969</t>
        </is>
      </c>
      <c r="E3451" s="0" t="inlineStr">
        <is>
          <t>KSU QUINTON M WHITE:113969E-2XL</t>
        </is>
      </c>
      <c r="F3451" s="0" t="inlineStr">
        <is>
          <t>'805113969080</t>
        </is>
      </c>
      <c r="G3451" s="0" t="inlineStr">
        <is>
          <t>MENS</t>
        </is>
      </c>
      <c r="H3451" s="0" t="inlineStr">
        <is>
          <t>2XL</t>
        </is>
      </c>
      <c r="I3451" s="0">
        <v>40.99</v>
      </c>
      <c r="J3451" s="0">
        <v>9</v>
      </c>
    </row>
    <row r="3452" spans="1:10" customHeight="0">
      <c r="A3452" s="0">
        <f>HYPERLINK("https://dl.dropboxusercontent.com/scl/fi/kt1mqsmi7duggqh93b8wn/113969-af.jpg?rlkey=aua60l3v4zmobl9z9xh9bu3u8&amp;dl=0","Click to download Image")</f>
      </c>
      <c r="B3452" s="0">
        <f>HYPERLINK("https://dl.dropboxusercontent.com/scl/fi/scrsbg68nex4oavqa9lud/mens-polo-size-chartsbrent.jpg?rlkey=rrmaqcvz1qokdp3n7krx6rxwh&amp;dl=0","Click to download SizeChart")</f>
      </c>
      <c r="C3452" s="0" t="inlineStr">
        <is>
          <t>Quinton Men's Golf Polo</t>
        </is>
      </c>
      <c r="D3452" s="0" t="inlineStr">
        <is>
          <t>'113969</t>
        </is>
      </c>
      <c r="E3452" s="0" t="inlineStr">
        <is>
          <t>KSU QUINTON M WHITE:113969F-3XL</t>
        </is>
      </c>
      <c r="F3452" s="0" t="inlineStr">
        <is>
          <t>'805113969097</t>
        </is>
      </c>
      <c r="G3452" s="0" t="inlineStr">
        <is>
          <t>MENS</t>
        </is>
      </c>
      <c r="H3452" s="0" t="inlineStr">
        <is>
          <t>3XL</t>
        </is>
      </c>
      <c r="I3452" s="0">
        <v>40.99</v>
      </c>
      <c r="J3452" s="0">
        <v>6</v>
      </c>
    </row>
    <row r="3453" spans="1:10" customHeight="0">
      <c r="A3453" s="0">
        <f>HYPERLINK("https://dl.dropboxusercontent.com/scl/fi/kt1mqsmi7duggqh93b8wn/113969-af.jpg?rlkey=aua60l3v4zmobl9z9xh9bu3u8&amp;dl=0","Click to download Image")</f>
      </c>
      <c r="B3453" s="0">
        <f>HYPERLINK("https://dl.dropboxusercontent.com/scl/fi/scrsbg68nex4oavqa9lud/mens-polo-size-chartsbrent.jpg?rlkey=rrmaqcvz1qokdp3n7krx6rxwh&amp;dl=0","Click to download SizeChart")</f>
      </c>
      <c r="C3453" s="0" t="inlineStr">
        <is>
          <t>Quinton Men's Golf Polo</t>
        </is>
      </c>
      <c r="D3453" s="0" t="inlineStr">
        <is>
          <t>'113969</t>
        </is>
      </c>
      <c r="E3453" s="0" t="inlineStr">
        <is>
          <t>KSU QUINTON M WHITE 12 PACK:113969Z-12PK</t>
        </is>
      </c>
      <c r="F3453" s="0" t="inlineStr">
        <is>
          <t>'805113969998</t>
        </is>
      </c>
      <c r="G3453" s="0" t="inlineStr">
        <is>
          <t>MENS</t>
        </is>
      </c>
      <c r="H3453" s="0" t="inlineStr">
        <is>
          <t>12 PACK</t>
        </is>
      </c>
      <c r="I3453" s="0">
        <v>473.76</v>
      </c>
      <c r="J3453" s="0">
        <v>0</v>
      </c>
    </row>
    <row r="3454" spans="1:10" customHeight="0">
      <c r="A3454" s="0">
        <f>HYPERLINK("https://dl.dropboxusercontent.com/scl/fi/41pon53o9zgmdm9ovtr1e/113967-af.jpg?rlkey=k141qsojcazvtl2diuyg252yv&amp;dl=0","Click to download Image")</f>
      </c>
      <c r="B3454" s="0">
        <f>HYPERLINK("https://dl.dropboxusercontent.com/scl/fi/scrsbg68nex4oavqa9lud/mens-polo-size-chartsbrent.jpg?rlkey=rrmaqcvz1qokdp3n7krx6rxwh&amp;dl=0","Click to download SizeChart")</f>
      </c>
      <c r="C3454" s="0" t="inlineStr">
        <is>
          <t>Quinton Men's Golf Polo</t>
        </is>
      </c>
      <c r="D3454" s="0" t="inlineStr">
        <is>
          <t>'113967</t>
        </is>
      </c>
      <c r="E3454" s="0" t="inlineStr">
        <is>
          <t>ISU QUINTON M GOLD:113967A-S</t>
        </is>
      </c>
      <c r="F3454" s="0" t="inlineStr">
        <is>
          <t>'801113967040</t>
        </is>
      </c>
      <c r="G3454" s="0" t="inlineStr">
        <is>
          <t>MENS</t>
        </is>
      </c>
      <c r="H3454" s="0" t="inlineStr">
        <is>
          <t>S</t>
        </is>
      </c>
      <c r="I3454" s="0">
        <v>40.99</v>
      </c>
      <c r="J3454" s="0">
        <v>4</v>
      </c>
    </row>
    <row r="3455" spans="1:10" customHeight="0">
      <c r="A3455" s="0">
        <f>HYPERLINK("https://dl.dropboxusercontent.com/scl/fi/41pon53o9zgmdm9ovtr1e/113967-af.jpg?rlkey=k141qsojcazvtl2diuyg252yv&amp;dl=0","Click to download Image")</f>
      </c>
      <c r="B3455" s="0">
        <f>HYPERLINK("https://dl.dropboxusercontent.com/scl/fi/scrsbg68nex4oavqa9lud/mens-polo-size-chartsbrent.jpg?rlkey=rrmaqcvz1qokdp3n7krx6rxwh&amp;dl=0","Click to download SizeChart")</f>
      </c>
      <c r="C3455" s="0" t="inlineStr">
        <is>
          <t>Quinton Men's Golf Polo</t>
        </is>
      </c>
      <c r="D3455" s="0" t="inlineStr">
        <is>
          <t>'113967</t>
        </is>
      </c>
      <c r="E3455" s="0" t="inlineStr">
        <is>
          <t>ISU QUINTON M GOLD:113967B-M</t>
        </is>
      </c>
      <c r="F3455" s="0" t="inlineStr">
        <is>
          <t>'801113967057</t>
        </is>
      </c>
      <c r="G3455" s="0" t="inlineStr">
        <is>
          <t>MENS</t>
        </is>
      </c>
      <c r="H3455" s="0" t="inlineStr">
        <is>
          <t>M</t>
        </is>
      </c>
      <c r="I3455" s="0">
        <v>40.99</v>
      </c>
      <c r="J3455" s="0">
        <v>6</v>
      </c>
    </row>
    <row r="3456" spans="1:10" customHeight="0">
      <c r="A3456" s="0">
        <f>HYPERLINK("https://dl.dropboxusercontent.com/scl/fi/41pon53o9zgmdm9ovtr1e/113967-af.jpg?rlkey=k141qsojcazvtl2diuyg252yv&amp;dl=0","Click to download Image")</f>
      </c>
      <c r="B3456" s="0">
        <f>HYPERLINK("https://dl.dropboxusercontent.com/scl/fi/scrsbg68nex4oavqa9lud/mens-polo-size-chartsbrent.jpg?rlkey=rrmaqcvz1qokdp3n7krx6rxwh&amp;dl=0","Click to download SizeChart")</f>
      </c>
      <c r="C3456" s="0" t="inlineStr">
        <is>
          <t>Quinton Men's Golf Polo</t>
        </is>
      </c>
      <c r="D3456" s="0" t="inlineStr">
        <is>
          <t>'113967</t>
        </is>
      </c>
      <c r="E3456" s="0" t="inlineStr">
        <is>
          <t>ISU QUINTON M GOLD:113967C-L</t>
        </is>
      </c>
      <c r="F3456" s="0" t="inlineStr">
        <is>
          <t>'801113967064</t>
        </is>
      </c>
      <c r="G3456" s="0" t="inlineStr">
        <is>
          <t>MENS</t>
        </is>
      </c>
      <c r="H3456" s="0" t="inlineStr">
        <is>
          <t>L</t>
        </is>
      </c>
      <c r="I3456" s="0">
        <v>40.99</v>
      </c>
      <c r="J3456" s="0">
        <v>1</v>
      </c>
    </row>
    <row r="3457" spans="1:10" customHeight="0">
      <c r="A3457" s="0">
        <f>HYPERLINK("https://dl.dropboxusercontent.com/scl/fi/41pon53o9zgmdm9ovtr1e/113967-af.jpg?rlkey=k141qsojcazvtl2diuyg252yv&amp;dl=0","Click to download Image")</f>
      </c>
      <c r="B3457" s="0">
        <f>HYPERLINK("https://dl.dropboxusercontent.com/scl/fi/scrsbg68nex4oavqa9lud/mens-polo-size-chartsbrent.jpg?rlkey=rrmaqcvz1qokdp3n7krx6rxwh&amp;dl=0","Click to download SizeChart")</f>
      </c>
      <c r="C3457" s="0" t="inlineStr">
        <is>
          <t>Quinton Men's Golf Polo</t>
        </is>
      </c>
      <c r="D3457" s="0" t="inlineStr">
        <is>
          <t>'113967</t>
        </is>
      </c>
      <c r="E3457" s="0" t="inlineStr">
        <is>
          <t>ISU QUINTON M GOLD:113967D-XL</t>
        </is>
      </c>
      <c r="F3457" s="0" t="inlineStr">
        <is>
          <t>'801113967071</t>
        </is>
      </c>
      <c r="G3457" s="0" t="inlineStr">
        <is>
          <t>MENS</t>
        </is>
      </c>
      <c r="H3457" s="0" t="inlineStr">
        <is>
          <t>XL</t>
        </is>
      </c>
      <c r="I3457" s="0">
        <v>40.99</v>
      </c>
      <c r="J3457" s="0">
        <v>0</v>
      </c>
    </row>
    <row r="3458" spans="1:10" customHeight="0">
      <c r="A3458" s="0">
        <f>HYPERLINK("https://dl.dropboxusercontent.com/scl/fi/41pon53o9zgmdm9ovtr1e/113967-af.jpg?rlkey=k141qsojcazvtl2diuyg252yv&amp;dl=0","Click to download Image")</f>
      </c>
      <c r="B3458" s="0">
        <f>HYPERLINK("https://dl.dropboxusercontent.com/scl/fi/scrsbg68nex4oavqa9lud/mens-polo-size-chartsbrent.jpg?rlkey=rrmaqcvz1qokdp3n7krx6rxwh&amp;dl=0","Click to download SizeChart")</f>
      </c>
      <c r="C3458" s="0" t="inlineStr">
        <is>
          <t>Quinton Men's Golf Polo</t>
        </is>
      </c>
      <c r="D3458" s="0" t="inlineStr">
        <is>
          <t>'113967</t>
        </is>
      </c>
      <c r="E3458" s="0" t="inlineStr">
        <is>
          <t>ISU QUINTON M GOLD:113967E-2XL</t>
        </is>
      </c>
      <c r="F3458" s="0" t="inlineStr">
        <is>
          <t>'801113967088</t>
        </is>
      </c>
      <c r="G3458" s="0" t="inlineStr">
        <is>
          <t>MENS</t>
        </is>
      </c>
      <c r="H3458" s="0" t="inlineStr">
        <is>
          <t>2XL</t>
        </is>
      </c>
      <c r="I3458" s="0">
        <v>40.99</v>
      </c>
      <c r="J3458" s="0">
        <v>3</v>
      </c>
    </row>
    <row r="3459" spans="1:10" customHeight="0">
      <c r="A3459" s="0">
        <f>HYPERLINK("https://dl.dropboxusercontent.com/scl/fi/41pon53o9zgmdm9ovtr1e/113967-af.jpg?rlkey=k141qsojcazvtl2diuyg252yv&amp;dl=0","Click to download Image")</f>
      </c>
      <c r="B3459" s="0">
        <f>HYPERLINK("https://dl.dropboxusercontent.com/scl/fi/scrsbg68nex4oavqa9lud/mens-polo-size-chartsbrent.jpg?rlkey=rrmaqcvz1qokdp3n7krx6rxwh&amp;dl=0","Click to download SizeChart")</f>
      </c>
      <c r="C3459" s="0" t="inlineStr">
        <is>
          <t>Quinton Men's Golf Polo</t>
        </is>
      </c>
      <c r="D3459" s="0" t="inlineStr">
        <is>
          <t>'113967</t>
        </is>
      </c>
      <c r="E3459" s="0" t="inlineStr">
        <is>
          <t>ISU QUINTON M GOLD:113967F-3XL</t>
        </is>
      </c>
      <c r="F3459" s="0" t="inlineStr">
        <is>
          <t>'801113967095</t>
        </is>
      </c>
      <c r="G3459" s="0" t="inlineStr">
        <is>
          <t>MENS</t>
        </is>
      </c>
      <c r="H3459" s="0" t="inlineStr">
        <is>
          <t>3XL</t>
        </is>
      </c>
      <c r="I3459" s="0">
        <v>40.99</v>
      </c>
      <c r="J3459" s="0">
        <v>1</v>
      </c>
    </row>
    <row r="3460" spans="1:10" customHeight="0">
      <c r="A3460" s="0">
        <f>HYPERLINK("https://dl.dropboxusercontent.com/scl/fi/41pon53o9zgmdm9ovtr1e/113967-af.jpg?rlkey=k141qsojcazvtl2diuyg252yv&amp;dl=0","Click to download Image")</f>
      </c>
      <c r="B3460" s="0">
        <f>HYPERLINK("https://dl.dropboxusercontent.com/scl/fi/scrsbg68nex4oavqa9lud/mens-polo-size-chartsbrent.jpg?rlkey=rrmaqcvz1qokdp3n7krx6rxwh&amp;dl=0","Click to download SizeChart")</f>
      </c>
      <c r="C3460" s="0" t="inlineStr">
        <is>
          <t>Quinton Men's Golf Polo</t>
        </is>
      </c>
      <c r="D3460" s="0" t="inlineStr">
        <is>
          <t>'113967</t>
        </is>
      </c>
      <c r="E3460" s="0" t="inlineStr">
        <is>
          <t>ISU QUINTON M GOLD 12 PACK:113967Z-12PK</t>
        </is>
      </c>
      <c r="F3460" s="0" t="inlineStr">
        <is>
          <t>'801113967996</t>
        </is>
      </c>
      <c r="G3460" s="0" t="inlineStr">
        <is>
          <t>MENS</t>
        </is>
      </c>
      <c r="H3460" s="0" t="inlineStr">
        <is>
          <t>12 PACK</t>
        </is>
      </c>
      <c r="I3460" s="0">
        <v>473.76</v>
      </c>
      <c r="J3460" s="0">
        <v>0</v>
      </c>
    </row>
    <row r="3461" spans="1:10" customHeight="0">
      <c r="A3461" s="0">
        <f>HYPERLINK("https://dl.dropboxusercontent.com/scl/fi/0mpdppzmwhcqs9svakrhk/116484af.jpg?rlkey=c5hon6pd5hfyyyc87ez31wey1&amp;dl=0","Click to download Image")</f>
      </c>
      <c r="B3461" s="0">
        <f>HYPERLINK("https://dl.dropboxusercontent.com/scl/fi/scrsbg68nex4oavqa9lud/mens-polo-size-chartsbrent.jpg?rlkey=rrmaqcvz1qokdp3n7krx6rxwh&amp;dl=0","Click to download SizeChart")</f>
      </c>
      <c r="C3461" s="0" t="inlineStr">
        <is>
          <t>Quinton Men's Golf Polo</t>
        </is>
      </c>
      <c r="D3461" s="0" t="inlineStr">
        <is>
          <t>'116484</t>
        </is>
      </c>
      <c r="E3461" s="0" t="inlineStr">
        <is>
          <t>ISU QUINTON M CARDINAL:116484A-S</t>
        </is>
      </c>
      <c r="F3461" s="0" t="inlineStr">
        <is>
          <t>'801116484049</t>
        </is>
      </c>
      <c r="G3461" s="0" t="inlineStr">
        <is>
          <t>MENS</t>
        </is>
      </c>
      <c r="H3461" s="0" t="inlineStr">
        <is>
          <t>S</t>
        </is>
      </c>
      <c r="I3461" s="0">
        <v>40.99</v>
      </c>
      <c r="J3461" s="0">
        <v>10</v>
      </c>
    </row>
    <row r="3462" spans="1:10" customHeight="0">
      <c r="A3462" s="0">
        <f>HYPERLINK("https://dl.dropboxusercontent.com/scl/fi/0mpdppzmwhcqs9svakrhk/116484af.jpg?rlkey=c5hon6pd5hfyyyc87ez31wey1&amp;dl=0","Click to download Image")</f>
      </c>
      <c r="B3462" s="0">
        <f>HYPERLINK("https://dl.dropboxusercontent.com/scl/fi/scrsbg68nex4oavqa9lud/mens-polo-size-chartsbrent.jpg?rlkey=rrmaqcvz1qokdp3n7krx6rxwh&amp;dl=0","Click to download SizeChart")</f>
      </c>
      <c r="C3462" s="0" t="inlineStr">
        <is>
          <t>Quinton Men's Golf Polo</t>
        </is>
      </c>
      <c r="D3462" s="0" t="inlineStr">
        <is>
          <t>'116484</t>
        </is>
      </c>
      <c r="E3462" s="0" t="inlineStr">
        <is>
          <t>ISU QUINTON M CARDINAL:116484B-M</t>
        </is>
      </c>
      <c r="F3462" s="0" t="inlineStr">
        <is>
          <t>'801116484056</t>
        </is>
      </c>
      <c r="G3462" s="0" t="inlineStr">
        <is>
          <t>MENS</t>
        </is>
      </c>
      <c r="H3462" s="0" t="inlineStr">
        <is>
          <t>M</t>
        </is>
      </c>
      <c r="I3462" s="0">
        <v>40.99</v>
      </c>
      <c r="J3462" s="0">
        <v>11</v>
      </c>
    </row>
    <row r="3463" spans="1:10" customHeight="0">
      <c r="A3463" s="0">
        <f>HYPERLINK("https://dl.dropboxusercontent.com/scl/fi/0mpdppzmwhcqs9svakrhk/116484af.jpg?rlkey=c5hon6pd5hfyyyc87ez31wey1&amp;dl=0","Click to download Image")</f>
      </c>
      <c r="B3463" s="0">
        <f>HYPERLINK("https://dl.dropboxusercontent.com/scl/fi/scrsbg68nex4oavqa9lud/mens-polo-size-chartsbrent.jpg?rlkey=rrmaqcvz1qokdp3n7krx6rxwh&amp;dl=0","Click to download SizeChart")</f>
      </c>
      <c r="C3463" s="0" t="inlineStr">
        <is>
          <t>Quinton Men's Golf Polo</t>
        </is>
      </c>
      <c r="D3463" s="0" t="inlineStr">
        <is>
          <t>'116484</t>
        </is>
      </c>
      <c r="E3463" s="0" t="inlineStr">
        <is>
          <t>ISU QUINTON M CARDINAL:116484C-L</t>
        </is>
      </c>
      <c r="F3463" s="0" t="inlineStr">
        <is>
          <t>'801116484063</t>
        </is>
      </c>
      <c r="G3463" s="0" t="inlineStr">
        <is>
          <t>MENS</t>
        </is>
      </c>
      <c r="H3463" s="0" t="inlineStr">
        <is>
          <t>L</t>
        </is>
      </c>
      <c r="I3463" s="0">
        <v>40.99</v>
      </c>
      <c r="J3463" s="0">
        <v>2</v>
      </c>
    </row>
    <row r="3464" spans="1:10" customHeight="0">
      <c r="A3464" s="0">
        <f>HYPERLINK("https://dl.dropboxusercontent.com/scl/fi/0mpdppzmwhcqs9svakrhk/116484af.jpg?rlkey=c5hon6pd5hfyyyc87ez31wey1&amp;dl=0","Click to download Image")</f>
      </c>
      <c r="B3464" s="0">
        <f>HYPERLINK("https://dl.dropboxusercontent.com/scl/fi/scrsbg68nex4oavqa9lud/mens-polo-size-chartsbrent.jpg?rlkey=rrmaqcvz1qokdp3n7krx6rxwh&amp;dl=0","Click to download SizeChart")</f>
      </c>
      <c r="C3464" s="0" t="inlineStr">
        <is>
          <t>Quinton Men's Golf Polo</t>
        </is>
      </c>
      <c r="D3464" s="0" t="inlineStr">
        <is>
          <t>'116484</t>
        </is>
      </c>
      <c r="E3464" s="0" t="inlineStr">
        <is>
          <t>ISU QUINTON M CARDINAL:116484D-XL</t>
        </is>
      </c>
      <c r="F3464" s="0" t="inlineStr">
        <is>
          <t>'801116484070</t>
        </is>
      </c>
      <c r="G3464" s="0" t="inlineStr">
        <is>
          <t>MENS</t>
        </is>
      </c>
      <c r="H3464" s="0" t="inlineStr">
        <is>
          <t>XL</t>
        </is>
      </c>
      <c r="I3464" s="0">
        <v>40.99</v>
      </c>
      <c r="J3464" s="0">
        <v>0</v>
      </c>
    </row>
    <row r="3465" spans="1:10" customHeight="0">
      <c r="A3465" s="0">
        <f>HYPERLINK("https://dl.dropboxusercontent.com/scl/fi/0mpdppzmwhcqs9svakrhk/116484af.jpg?rlkey=c5hon6pd5hfyyyc87ez31wey1&amp;dl=0","Click to download Image")</f>
      </c>
      <c r="B3465" s="0">
        <f>HYPERLINK("https://dl.dropboxusercontent.com/scl/fi/scrsbg68nex4oavqa9lud/mens-polo-size-chartsbrent.jpg?rlkey=rrmaqcvz1qokdp3n7krx6rxwh&amp;dl=0","Click to download SizeChart")</f>
      </c>
      <c r="C3465" s="0" t="inlineStr">
        <is>
          <t>Quinton Men's Golf Polo</t>
        </is>
      </c>
      <c r="D3465" s="0" t="inlineStr">
        <is>
          <t>'116484</t>
        </is>
      </c>
      <c r="E3465" s="0" t="inlineStr">
        <is>
          <t>ISU QUINTON M CARDINAL:116484E-2XL</t>
        </is>
      </c>
      <c r="F3465" s="0" t="inlineStr">
        <is>
          <t>'801116484087</t>
        </is>
      </c>
      <c r="G3465" s="0" t="inlineStr">
        <is>
          <t>MENS</t>
        </is>
      </c>
      <c r="H3465" s="0" t="inlineStr">
        <is>
          <t>2XL</t>
        </is>
      </c>
      <c r="I3465" s="0">
        <v>40.99</v>
      </c>
      <c r="J3465" s="0">
        <v>0</v>
      </c>
    </row>
    <row r="3466" spans="1:10" customHeight="0">
      <c r="A3466" s="0">
        <f>HYPERLINK("https://dl.dropboxusercontent.com/scl/fi/0mpdppzmwhcqs9svakrhk/116484af.jpg?rlkey=c5hon6pd5hfyyyc87ez31wey1&amp;dl=0","Click to download Image")</f>
      </c>
      <c r="B3466" s="0">
        <f>HYPERLINK("https://dl.dropboxusercontent.com/scl/fi/scrsbg68nex4oavqa9lud/mens-polo-size-chartsbrent.jpg?rlkey=rrmaqcvz1qokdp3n7krx6rxwh&amp;dl=0","Click to download SizeChart")</f>
      </c>
      <c r="C3466" s="0" t="inlineStr">
        <is>
          <t>Quinton Men's Golf Polo</t>
        </is>
      </c>
      <c r="D3466" s="0" t="inlineStr">
        <is>
          <t>'116484</t>
        </is>
      </c>
      <c r="E3466" s="0" t="inlineStr">
        <is>
          <t>ISU QUINTON M CARDINAL:116484F-3XL</t>
        </is>
      </c>
      <c r="F3466" s="0" t="inlineStr">
        <is>
          <t>'801116484094</t>
        </is>
      </c>
      <c r="G3466" s="0" t="inlineStr">
        <is>
          <t>MENS</t>
        </is>
      </c>
      <c r="H3466" s="0" t="inlineStr">
        <is>
          <t>3XL</t>
        </is>
      </c>
      <c r="I3466" s="0">
        <v>40.99</v>
      </c>
      <c r="J3466" s="0">
        <v>0</v>
      </c>
    </row>
    <row r="3467" spans="1:10" customHeight="0">
      <c r="A3467" s="0">
        <f>HYPERLINK("https://dl.dropboxusercontent.com/scl/fi/0mpdppzmwhcqs9svakrhk/116484af.jpg?rlkey=c5hon6pd5hfyyyc87ez31wey1&amp;dl=0","Click to download Image")</f>
      </c>
      <c r="B3467" s="0">
        <f>HYPERLINK("https://dl.dropboxusercontent.com/scl/fi/scrsbg68nex4oavqa9lud/mens-polo-size-chartsbrent.jpg?rlkey=rrmaqcvz1qokdp3n7krx6rxwh&amp;dl=0","Click to download SizeChart")</f>
      </c>
      <c r="C3467" s="0" t="inlineStr">
        <is>
          <t>Quinton Men's Golf Polo</t>
        </is>
      </c>
      <c r="D3467" s="0" t="inlineStr">
        <is>
          <t>'116484</t>
        </is>
      </c>
      <c r="E3467" s="0" t="inlineStr">
        <is>
          <t>ISU QUINTON M CARDINAL 12 PACK:116484Z-12PK</t>
        </is>
      </c>
      <c r="F3467" s="0" t="inlineStr">
        <is>
          <t>'801116484995</t>
        </is>
      </c>
      <c r="G3467" s="0" t="inlineStr">
        <is>
          <t>MENS</t>
        </is>
      </c>
      <c r="H3467" s="0" t="inlineStr">
        <is>
          <t>12 PACK</t>
        </is>
      </c>
      <c r="I3467" s="0">
        <v>473.76</v>
      </c>
      <c r="J3467" s="0">
        <v>0</v>
      </c>
    </row>
    <row r="3468" spans="1:10" customHeight="0">
      <c r="A3468" s="0">
        <f>HYPERLINK("https://dl.dropboxusercontent.com/scl/fi/zt7dkl68jvap3xpvbl263/dsc1220.jpg?rlkey=g4eco7n61m5pokz55qemmeavd&amp;dl=0","Click to download Image")</f>
      </c>
      <c r="B3468" s="0">
        <f>HYPERLINK("https://dl.dropboxusercontent.com/scl/fi/u6nonjo40mj2yklcxsrs7/womens-hoodie-and-sweatshirt-size-chartsraven.jpg?rlkey=3kj1bg0tvsdwet03cqzpt9l3k&amp;dl=0","Click to download SizeChart")</f>
      </c>
      <c r="C3468" s="0" t="inlineStr">
        <is>
          <t>Raven Women's Sherpa Hoodie</t>
        </is>
      </c>
      <c r="D3468" s="0" t="inlineStr">
        <is>
          <t>'108958</t>
        </is>
      </c>
      <c r="E3468" s="0" t="inlineStr">
        <is>
          <t>ISU RAVEN:108958A-S</t>
        </is>
      </c>
      <c r="F3468" s="0" t="inlineStr">
        <is>
          <t>'800108958018</t>
        </is>
      </c>
      <c r="G3468" s="0" t="inlineStr">
        <is>
          <t>WOMENS</t>
        </is>
      </c>
      <c r="H3468" s="0" t="inlineStr">
        <is>
          <t>S</t>
        </is>
      </c>
      <c r="I3468" s="0">
        <v>59.99</v>
      </c>
      <c r="J3468" s="0">
        <v>4</v>
      </c>
    </row>
    <row r="3469" spans="1:10" customHeight="0">
      <c r="A3469" s="0">
        <f>HYPERLINK("https://dl.dropboxusercontent.com/scl/fi/zt7dkl68jvap3xpvbl263/dsc1220.jpg?rlkey=g4eco7n61m5pokz55qemmeavd&amp;dl=0","Click to download Image")</f>
      </c>
      <c r="B3469" s="0">
        <f>HYPERLINK("https://dl.dropboxusercontent.com/scl/fi/u6nonjo40mj2yklcxsrs7/womens-hoodie-and-sweatshirt-size-chartsraven.jpg?rlkey=3kj1bg0tvsdwet03cqzpt9l3k&amp;dl=0","Click to download SizeChart")</f>
      </c>
      <c r="C3469" s="0" t="inlineStr">
        <is>
          <t>Raven Women's Sherpa Hoodie</t>
        </is>
      </c>
      <c r="D3469" s="0" t="inlineStr">
        <is>
          <t>'108958</t>
        </is>
      </c>
      <c r="E3469" s="0" t="inlineStr">
        <is>
          <t>ISU RAVEN:108958B-M</t>
        </is>
      </c>
      <c r="F3469" s="0" t="inlineStr">
        <is>
          <t>'800108958025</t>
        </is>
      </c>
      <c r="G3469" s="0" t="inlineStr">
        <is>
          <t>WOMENS</t>
        </is>
      </c>
      <c r="H3469" s="0" t="inlineStr">
        <is>
          <t>M</t>
        </is>
      </c>
      <c r="I3469" s="0">
        <v>59.99</v>
      </c>
      <c r="J3469" s="0">
        <v>28</v>
      </c>
    </row>
    <row r="3470" spans="1:10" customHeight="0">
      <c r="A3470" s="0">
        <f>HYPERLINK("https://dl.dropboxusercontent.com/scl/fi/zt7dkl68jvap3xpvbl263/dsc1220.jpg?rlkey=g4eco7n61m5pokz55qemmeavd&amp;dl=0","Click to download Image")</f>
      </c>
      <c r="B3470" s="0">
        <f>HYPERLINK("https://dl.dropboxusercontent.com/scl/fi/u6nonjo40mj2yklcxsrs7/womens-hoodie-and-sweatshirt-size-chartsraven.jpg?rlkey=3kj1bg0tvsdwet03cqzpt9l3k&amp;dl=0","Click to download SizeChart")</f>
      </c>
      <c r="C3470" s="0" t="inlineStr">
        <is>
          <t>Raven Women's Sherpa Hoodie</t>
        </is>
      </c>
      <c r="D3470" s="0" t="inlineStr">
        <is>
          <t>'108958</t>
        </is>
      </c>
      <c r="E3470" s="0" t="inlineStr">
        <is>
          <t>ISU RAVEN:108958C-L</t>
        </is>
      </c>
      <c r="F3470" s="0" t="inlineStr">
        <is>
          <t>'800108958032</t>
        </is>
      </c>
      <c r="G3470" s="0" t="inlineStr">
        <is>
          <t>WOMENS</t>
        </is>
      </c>
      <c r="H3470" s="0" t="inlineStr">
        <is>
          <t>L</t>
        </is>
      </c>
      <c r="I3470" s="0">
        <v>59.99</v>
      </c>
      <c r="J3470" s="0">
        <v>25</v>
      </c>
    </row>
    <row r="3471" spans="1:10" customHeight="0">
      <c r="A3471" s="0">
        <f>HYPERLINK("https://dl.dropboxusercontent.com/scl/fi/zt7dkl68jvap3xpvbl263/dsc1220.jpg?rlkey=g4eco7n61m5pokz55qemmeavd&amp;dl=0","Click to download Image")</f>
      </c>
      <c r="B3471" s="0">
        <f>HYPERLINK("https://dl.dropboxusercontent.com/scl/fi/u6nonjo40mj2yklcxsrs7/womens-hoodie-and-sweatshirt-size-chartsraven.jpg?rlkey=3kj1bg0tvsdwet03cqzpt9l3k&amp;dl=0","Click to download SizeChart")</f>
      </c>
      <c r="C3471" s="0" t="inlineStr">
        <is>
          <t>Raven Women's Sherpa Hoodie</t>
        </is>
      </c>
      <c r="D3471" s="0" t="inlineStr">
        <is>
          <t>'108958</t>
        </is>
      </c>
      <c r="E3471" s="0" t="inlineStr">
        <is>
          <t>ISU RAVEN:108958D-XL</t>
        </is>
      </c>
      <c r="F3471" s="0" t="inlineStr">
        <is>
          <t>'800108958049</t>
        </is>
      </c>
      <c r="G3471" s="0" t="inlineStr">
        <is>
          <t>WOMENS</t>
        </is>
      </c>
      <c r="H3471" s="0" t="inlineStr">
        <is>
          <t>XL</t>
        </is>
      </c>
      <c r="I3471" s="0">
        <v>59.99</v>
      </c>
      <c r="J3471" s="0">
        <v>3</v>
      </c>
    </row>
    <row r="3472" spans="1:10" customHeight="0">
      <c r="A3472" s="0">
        <f>HYPERLINK("https://dl.dropboxusercontent.com/scl/fi/zt7dkl68jvap3xpvbl263/dsc1220.jpg?rlkey=g4eco7n61m5pokz55qemmeavd&amp;dl=0","Click to download Image")</f>
      </c>
      <c r="B3472" s="0">
        <f>HYPERLINK("https://dl.dropboxusercontent.com/scl/fi/u6nonjo40mj2yklcxsrs7/womens-hoodie-and-sweatshirt-size-chartsraven.jpg?rlkey=3kj1bg0tvsdwet03cqzpt9l3k&amp;dl=0","Click to download SizeChart")</f>
      </c>
      <c r="C3472" s="0" t="inlineStr">
        <is>
          <t>Raven Women's Sherpa Hoodie</t>
        </is>
      </c>
      <c r="D3472" s="0" t="inlineStr">
        <is>
          <t>'108958</t>
        </is>
      </c>
      <c r="E3472" s="0" t="inlineStr">
        <is>
          <t>ISU RAVEN:108958E-2XL</t>
        </is>
      </c>
      <c r="F3472" s="0" t="inlineStr">
        <is>
          <t>'800108958056</t>
        </is>
      </c>
      <c r="G3472" s="0" t="inlineStr">
        <is>
          <t>WOMENS</t>
        </is>
      </c>
      <c r="H3472" s="0" t="inlineStr">
        <is>
          <t>2XL</t>
        </is>
      </c>
      <c r="I3472" s="0">
        <v>61.99</v>
      </c>
      <c r="J3472" s="0">
        <v>1</v>
      </c>
    </row>
    <row r="3473" spans="1:10" customHeight="0">
      <c r="A3473" s="0">
        <f>HYPERLINK("https://dl.dropboxusercontent.com/scl/fi/zt7dkl68jvap3xpvbl263/dsc1220.jpg?rlkey=g4eco7n61m5pokz55qemmeavd&amp;dl=0","Click to download Image")</f>
      </c>
      <c r="B3473" s="0">
        <f>HYPERLINK("https://dl.dropboxusercontent.com/scl/fi/u6nonjo40mj2yklcxsrs7/womens-hoodie-and-sweatshirt-size-chartsraven.jpg?rlkey=3kj1bg0tvsdwet03cqzpt9l3k&amp;dl=0","Click to download SizeChart")</f>
      </c>
      <c r="C3473" s="0" t="inlineStr">
        <is>
          <t>Raven Women's Sherpa Hoodie</t>
        </is>
      </c>
      <c r="D3473" s="0" t="inlineStr">
        <is>
          <t>'108958</t>
        </is>
      </c>
      <c r="E3473" s="0" t="inlineStr">
        <is>
          <t>ISU RAVEN:108958F-3XL</t>
        </is>
      </c>
      <c r="F3473" s="0" t="inlineStr">
        <is>
          <t>'800108958063</t>
        </is>
      </c>
      <c r="G3473" s="0" t="inlineStr">
        <is>
          <t>WOMENS</t>
        </is>
      </c>
      <c r="H3473" s="0" t="inlineStr">
        <is>
          <t>3XL</t>
        </is>
      </c>
      <c r="I3473" s="0">
        <v>61.99</v>
      </c>
      <c r="J3473" s="0">
        <v>0</v>
      </c>
    </row>
    <row r="3474" spans="1:10" customHeight="0">
      <c r="A3474" s="0">
        <f>HYPERLINK("https://dl.dropboxusercontent.com/scl/fi/nycj6hgsjknseeaux5g2t/108959-af.jpg?rlkey=fnhelag1wlj9x1bd397h0v8nl&amp;dl=0","Click to download Image")</f>
      </c>
      <c r="B3474" s="0">
        <f>HYPERLINK("https://dl.dropboxusercontent.com/scl/fi/u6nonjo40mj2yklcxsrs7/womens-hoodie-and-sweatshirt-size-chartsraven.jpg?rlkey=3kj1bg0tvsdwet03cqzpt9l3k&amp;dl=0","Click to download SizeChart")</f>
      </c>
      <c r="C3474" s="0" t="inlineStr">
        <is>
          <t>Raven Women's Sherpa Hoodie</t>
        </is>
      </c>
      <c r="D3474" s="0" t="inlineStr">
        <is>
          <t>'108959</t>
        </is>
      </c>
      <c r="E3474" s="0" t="inlineStr">
        <is>
          <t>UNI UNI UNI RAVEN:108959A-S</t>
        </is>
      </c>
      <c r="F3474" s="0" t="inlineStr">
        <is>
          <t>'800108959015</t>
        </is>
      </c>
      <c r="G3474" s="0" t="inlineStr">
        <is>
          <t>WOMENS</t>
        </is>
      </c>
      <c r="H3474" s="0" t="inlineStr">
        <is>
          <t>S</t>
        </is>
      </c>
      <c r="I3474" s="0">
        <v>59.99</v>
      </c>
      <c r="J3474" s="0">
        <v>0</v>
      </c>
    </row>
    <row r="3475" spans="1:10" customHeight="0">
      <c r="A3475" s="0">
        <f>HYPERLINK("https://dl.dropboxusercontent.com/scl/fi/nycj6hgsjknseeaux5g2t/108959-af.jpg?rlkey=fnhelag1wlj9x1bd397h0v8nl&amp;dl=0","Click to download Image")</f>
      </c>
      <c r="B3475" s="0">
        <f>HYPERLINK("https://dl.dropboxusercontent.com/scl/fi/u6nonjo40mj2yklcxsrs7/womens-hoodie-and-sweatshirt-size-chartsraven.jpg?rlkey=3kj1bg0tvsdwet03cqzpt9l3k&amp;dl=0","Click to download SizeChart")</f>
      </c>
      <c r="C3475" s="0" t="inlineStr">
        <is>
          <t>Raven Women's Sherpa Hoodie</t>
        </is>
      </c>
      <c r="D3475" s="0" t="inlineStr">
        <is>
          <t>'108959</t>
        </is>
      </c>
      <c r="E3475" s="0" t="inlineStr">
        <is>
          <t>UNI RAVEN:108959B-M</t>
        </is>
      </c>
      <c r="F3475" s="0" t="inlineStr">
        <is>
          <t>'800108959022</t>
        </is>
      </c>
      <c r="G3475" s="0" t="inlineStr">
        <is>
          <t>WOMENS</t>
        </is>
      </c>
      <c r="H3475" s="0" t="inlineStr">
        <is>
          <t>M</t>
        </is>
      </c>
      <c r="I3475" s="0">
        <v>59.99</v>
      </c>
      <c r="J3475" s="0">
        <v>8</v>
      </c>
    </row>
    <row r="3476" spans="1:10" customHeight="0">
      <c r="A3476" s="0">
        <f>HYPERLINK("https://dl.dropboxusercontent.com/scl/fi/nycj6hgsjknseeaux5g2t/108959-af.jpg?rlkey=fnhelag1wlj9x1bd397h0v8nl&amp;dl=0","Click to download Image")</f>
      </c>
      <c r="B3476" s="0">
        <f>HYPERLINK("https://dl.dropboxusercontent.com/scl/fi/u6nonjo40mj2yklcxsrs7/womens-hoodie-and-sweatshirt-size-chartsraven.jpg?rlkey=3kj1bg0tvsdwet03cqzpt9l3k&amp;dl=0","Click to download SizeChart")</f>
      </c>
      <c r="C3476" s="0" t="inlineStr">
        <is>
          <t>Raven Women's Sherpa Hoodie</t>
        </is>
      </c>
      <c r="D3476" s="0" t="inlineStr">
        <is>
          <t>'108959</t>
        </is>
      </c>
      <c r="E3476" s="0" t="inlineStr">
        <is>
          <t>UNI RAVEN:108959C-L</t>
        </is>
      </c>
      <c r="F3476" s="0" t="inlineStr">
        <is>
          <t>'800108959039</t>
        </is>
      </c>
      <c r="G3476" s="0" t="inlineStr">
        <is>
          <t>WOMENS</t>
        </is>
      </c>
      <c r="H3476" s="0" t="inlineStr">
        <is>
          <t>L</t>
        </is>
      </c>
      <c r="I3476" s="0">
        <v>59.99</v>
      </c>
      <c r="J3476" s="0">
        <v>4</v>
      </c>
    </row>
    <row r="3477" spans="1:10" customHeight="0">
      <c r="A3477" s="0">
        <f>HYPERLINK("https://dl.dropboxusercontent.com/scl/fi/nycj6hgsjknseeaux5g2t/108959-af.jpg?rlkey=fnhelag1wlj9x1bd397h0v8nl&amp;dl=0","Click to download Image")</f>
      </c>
      <c r="B3477" s="0">
        <f>HYPERLINK("https://dl.dropboxusercontent.com/scl/fi/u6nonjo40mj2yklcxsrs7/womens-hoodie-and-sweatshirt-size-chartsraven.jpg?rlkey=3kj1bg0tvsdwet03cqzpt9l3k&amp;dl=0","Click to download SizeChart")</f>
      </c>
      <c r="C3477" s="0" t="inlineStr">
        <is>
          <t>Raven Women's Sherpa Hoodie</t>
        </is>
      </c>
      <c r="D3477" s="0" t="inlineStr">
        <is>
          <t>'108959</t>
        </is>
      </c>
      <c r="E3477" s="0" t="inlineStr">
        <is>
          <t>UNI RAVEN:108959D-XL</t>
        </is>
      </c>
      <c r="F3477" s="0" t="inlineStr">
        <is>
          <t>'800108959046</t>
        </is>
      </c>
      <c r="G3477" s="0" t="inlineStr">
        <is>
          <t>WOMENS</t>
        </is>
      </c>
      <c r="H3477" s="0" t="inlineStr">
        <is>
          <t>XL</t>
        </is>
      </c>
      <c r="I3477" s="0">
        <v>59.99</v>
      </c>
      <c r="J3477" s="0">
        <v>0</v>
      </c>
    </row>
    <row r="3478" spans="1:10" customHeight="0">
      <c r="A3478" s="0">
        <f>HYPERLINK("https://dl.dropboxusercontent.com/scl/fi/nycj6hgsjknseeaux5g2t/108959-af.jpg?rlkey=fnhelag1wlj9x1bd397h0v8nl&amp;dl=0","Click to download Image")</f>
      </c>
      <c r="B3478" s="0">
        <f>HYPERLINK("https://dl.dropboxusercontent.com/scl/fi/u6nonjo40mj2yklcxsrs7/womens-hoodie-and-sweatshirt-size-chartsraven.jpg?rlkey=3kj1bg0tvsdwet03cqzpt9l3k&amp;dl=0","Click to download SizeChart")</f>
      </c>
      <c r="C3478" s="0" t="inlineStr">
        <is>
          <t>Raven Women's Sherpa Hoodie</t>
        </is>
      </c>
      <c r="D3478" s="0" t="inlineStr">
        <is>
          <t>'108959</t>
        </is>
      </c>
      <c r="E3478" s="0" t="inlineStr">
        <is>
          <t>UNI RAVEN:108959E-2XL</t>
        </is>
      </c>
      <c r="F3478" s="0" t="inlineStr">
        <is>
          <t>'800108959053</t>
        </is>
      </c>
      <c r="G3478" s="0" t="inlineStr">
        <is>
          <t>WOMENS</t>
        </is>
      </c>
      <c r="H3478" s="0" t="inlineStr">
        <is>
          <t>2XL</t>
        </is>
      </c>
      <c r="I3478" s="0">
        <v>61.99</v>
      </c>
      <c r="J3478" s="0">
        <v>0</v>
      </c>
    </row>
    <row r="3479" spans="1:10" customHeight="0">
      <c r="A3479" s="0">
        <f>HYPERLINK("https://dl.dropboxusercontent.com/scl/fi/nycj6hgsjknseeaux5g2t/108959-af.jpg?rlkey=fnhelag1wlj9x1bd397h0v8nl&amp;dl=0","Click to download Image")</f>
      </c>
      <c r="B3479" s="0">
        <f>HYPERLINK("https://dl.dropboxusercontent.com/scl/fi/u6nonjo40mj2yklcxsrs7/womens-hoodie-and-sweatshirt-size-chartsraven.jpg?rlkey=3kj1bg0tvsdwet03cqzpt9l3k&amp;dl=0","Click to download SizeChart")</f>
      </c>
      <c r="C3479" s="0" t="inlineStr">
        <is>
          <t>Raven Women's Sherpa Hoodie</t>
        </is>
      </c>
      <c r="D3479" s="0" t="inlineStr">
        <is>
          <t>'108959</t>
        </is>
      </c>
      <c r="E3479" s="0" t="inlineStr">
        <is>
          <t>UNI RAVEN:108959F-3XL</t>
        </is>
      </c>
      <c r="F3479" s="0" t="inlineStr">
        <is>
          <t>'800108959060</t>
        </is>
      </c>
      <c r="G3479" s="0" t="inlineStr">
        <is>
          <t>WOMENS</t>
        </is>
      </c>
      <c r="H3479" s="0" t="inlineStr">
        <is>
          <t>3XL</t>
        </is>
      </c>
      <c r="I3479" s="0">
        <v>61.99</v>
      </c>
      <c r="J3479" s="0">
        <v>0</v>
      </c>
    </row>
    <row r="3480" spans="1:10" customHeight="0">
      <c r="A3480" s="0">
        <f>HYPERLINK("https://dl.dropboxusercontent.com/scl/fi/yp0jvljiq6djgkvkbftxz/109002-af.jpg?rlkey=dt0enc4nsosonltavfjhdg8oq&amp;dl=0","Click to download Image")</f>
      </c>
      <c r="B3480" s="0">
        <f>HYPERLINK("https://dl.dropboxusercontent.com/scl/fi/u6nonjo40mj2yklcxsrs7/womens-hoodie-and-sweatshirt-size-chartsraven.jpg?rlkey=3kj1bg0tvsdwet03cqzpt9l3k&amp;dl=0","Click to download SizeChart")</f>
      </c>
      <c r="C3480" s="0" t="inlineStr">
        <is>
          <t>Raven Women's Sherpa Hoodie</t>
        </is>
      </c>
      <c r="D3480" s="0" t="inlineStr">
        <is>
          <t>'109002</t>
        </is>
      </c>
      <c r="E3480" s="0" t="inlineStr">
        <is>
          <t>PURDUE RAVEN:109002A-S</t>
        </is>
      </c>
      <c r="F3480" s="0" t="inlineStr">
        <is>
          <t>'800109002017</t>
        </is>
      </c>
      <c r="G3480" s="0" t="inlineStr">
        <is>
          <t>WOMENS</t>
        </is>
      </c>
      <c r="H3480" s="0" t="inlineStr">
        <is>
          <t>S</t>
        </is>
      </c>
      <c r="I3480" s="0">
        <v>59.99</v>
      </c>
      <c r="J3480" s="0">
        <v>10</v>
      </c>
    </row>
    <row r="3481" spans="1:10" customHeight="0">
      <c r="A3481" s="0">
        <f>HYPERLINK("https://dl.dropboxusercontent.com/scl/fi/yp0jvljiq6djgkvkbftxz/109002-af.jpg?rlkey=dt0enc4nsosonltavfjhdg8oq&amp;dl=0","Click to download Image")</f>
      </c>
      <c r="B3481" s="0">
        <f>HYPERLINK("https://dl.dropboxusercontent.com/scl/fi/u6nonjo40mj2yklcxsrs7/womens-hoodie-and-sweatshirt-size-chartsraven.jpg?rlkey=3kj1bg0tvsdwet03cqzpt9l3k&amp;dl=0","Click to download SizeChart")</f>
      </c>
      <c r="C3481" s="0" t="inlineStr">
        <is>
          <t>Raven Women's Sherpa Hoodie</t>
        </is>
      </c>
      <c r="D3481" s="0" t="inlineStr">
        <is>
          <t>'109002</t>
        </is>
      </c>
      <c r="E3481" s="0" t="inlineStr">
        <is>
          <t>PURDUE RAVEN:109002B-M</t>
        </is>
      </c>
      <c r="F3481" s="0" t="inlineStr">
        <is>
          <t>'800109002024</t>
        </is>
      </c>
      <c r="G3481" s="0" t="inlineStr">
        <is>
          <t>WOMENS</t>
        </is>
      </c>
      <c r="H3481" s="0" t="inlineStr">
        <is>
          <t>M</t>
        </is>
      </c>
      <c r="I3481" s="0">
        <v>59.99</v>
      </c>
      <c r="J3481" s="0">
        <v>24</v>
      </c>
    </row>
    <row r="3482" spans="1:10" customHeight="0">
      <c r="A3482" s="0">
        <f>HYPERLINK("https://dl.dropboxusercontent.com/scl/fi/yp0jvljiq6djgkvkbftxz/109002-af.jpg?rlkey=dt0enc4nsosonltavfjhdg8oq&amp;dl=0","Click to download Image")</f>
      </c>
      <c r="B3482" s="0">
        <f>HYPERLINK("https://dl.dropboxusercontent.com/scl/fi/u6nonjo40mj2yklcxsrs7/womens-hoodie-and-sweatshirt-size-chartsraven.jpg?rlkey=3kj1bg0tvsdwet03cqzpt9l3k&amp;dl=0","Click to download SizeChart")</f>
      </c>
      <c r="C3482" s="0" t="inlineStr">
        <is>
          <t>Raven Women's Sherpa Hoodie</t>
        </is>
      </c>
      <c r="D3482" s="0" t="inlineStr">
        <is>
          <t>'109002</t>
        </is>
      </c>
      <c r="E3482" s="0" t="inlineStr">
        <is>
          <t>PURDUE RAVEN:109002C-L</t>
        </is>
      </c>
      <c r="F3482" s="0" t="inlineStr">
        <is>
          <t>'800109002031</t>
        </is>
      </c>
      <c r="G3482" s="0" t="inlineStr">
        <is>
          <t>WOMENS</t>
        </is>
      </c>
      <c r="H3482" s="0" t="inlineStr">
        <is>
          <t>L</t>
        </is>
      </c>
      <c r="I3482" s="0">
        <v>59.99</v>
      </c>
      <c r="J3482" s="0">
        <v>26</v>
      </c>
    </row>
    <row r="3483" spans="1:10" customHeight="0">
      <c r="A3483" s="0">
        <f>HYPERLINK("https://dl.dropboxusercontent.com/scl/fi/yp0jvljiq6djgkvkbftxz/109002-af.jpg?rlkey=dt0enc4nsosonltavfjhdg8oq&amp;dl=0","Click to download Image")</f>
      </c>
      <c r="B3483" s="0">
        <f>HYPERLINK("https://dl.dropboxusercontent.com/scl/fi/u6nonjo40mj2yklcxsrs7/womens-hoodie-and-sweatshirt-size-chartsraven.jpg?rlkey=3kj1bg0tvsdwet03cqzpt9l3k&amp;dl=0","Click to download SizeChart")</f>
      </c>
      <c r="C3483" s="0" t="inlineStr">
        <is>
          <t>Raven Women's Sherpa Hoodie</t>
        </is>
      </c>
      <c r="D3483" s="0" t="inlineStr">
        <is>
          <t>'109002</t>
        </is>
      </c>
      <c r="E3483" s="0" t="inlineStr">
        <is>
          <t>PURDUE RAVEN:109002D-XL</t>
        </is>
      </c>
      <c r="F3483" s="0" t="inlineStr">
        <is>
          <t>'800109002048</t>
        </is>
      </c>
      <c r="G3483" s="0" t="inlineStr">
        <is>
          <t>WOMENS</t>
        </is>
      </c>
      <c r="H3483" s="0" t="inlineStr">
        <is>
          <t>XL</t>
        </is>
      </c>
      <c r="I3483" s="0">
        <v>59.99</v>
      </c>
      <c r="J3483" s="0">
        <v>13</v>
      </c>
    </row>
    <row r="3484" spans="1:10" customHeight="0">
      <c r="A3484" s="0">
        <f>HYPERLINK("https://dl.dropboxusercontent.com/scl/fi/yp0jvljiq6djgkvkbftxz/109002-af.jpg?rlkey=dt0enc4nsosonltavfjhdg8oq&amp;dl=0","Click to download Image")</f>
      </c>
      <c r="B3484" s="0">
        <f>HYPERLINK("https://dl.dropboxusercontent.com/scl/fi/u6nonjo40mj2yklcxsrs7/womens-hoodie-and-sweatshirt-size-chartsraven.jpg?rlkey=3kj1bg0tvsdwet03cqzpt9l3k&amp;dl=0","Click to download SizeChart")</f>
      </c>
      <c r="C3484" s="0" t="inlineStr">
        <is>
          <t>Raven Women's Sherpa Hoodie</t>
        </is>
      </c>
      <c r="D3484" s="0" t="inlineStr">
        <is>
          <t>'109002</t>
        </is>
      </c>
      <c r="E3484" s="0" t="inlineStr">
        <is>
          <t>PURDUE RAVEN:109002E-2XL</t>
        </is>
      </c>
      <c r="F3484" s="0" t="inlineStr">
        <is>
          <t>'800109002055</t>
        </is>
      </c>
      <c r="G3484" s="0" t="inlineStr">
        <is>
          <t>WOMENS</t>
        </is>
      </c>
      <c r="H3484" s="0" t="inlineStr">
        <is>
          <t>2XL</t>
        </is>
      </c>
      <c r="I3484" s="0">
        <v>61.99</v>
      </c>
      <c r="J3484" s="0">
        <v>0</v>
      </c>
    </row>
    <row r="3485" spans="1:10" customHeight="0">
      <c r="A3485" s="0">
        <f>HYPERLINK("https://dl.dropboxusercontent.com/scl/fi/yp0jvljiq6djgkvkbftxz/109002-af.jpg?rlkey=dt0enc4nsosonltavfjhdg8oq&amp;dl=0","Click to download Image")</f>
      </c>
      <c r="B3485" s="0">
        <f>HYPERLINK("https://dl.dropboxusercontent.com/scl/fi/u6nonjo40mj2yklcxsrs7/womens-hoodie-and-sweatshirt-size-chartsraven.jpg?rlkey=3kj1bg0tvsdwet03cqzpt9l3k&amp;dl=0","Click to download SizeChart")</f>
      </c>
      <c r="C3485" s="0" t="inlineStr">
        <is>
          <t>Raven Women's Sherpa Hoodie</t>
        </is>
      </c>
      <c r="D3485" s="0" t="inlineStr">
        <is>
          <t>'109002</t>
        </is>
      </c>
      <c r="E3485" s="0" t="inlineStr">
        <is>
          <t>PURDUE RAVEN:109002F-3XL</t>
        </is>
      </c>
      <c r="F3485" s="0" t="inlineStr">
        <is>
          <t>'800109002062</t>
        </is>
      </c>
      <c r="G3485" s="0" t="inlineStr">
        <is>
          <t>WOMENS</t>
        </is>
      </c>
      <c r="H3485" s="0" t="inlineStr">
        <is>
          <t>3XL</t>
        </is>
      </c>
      <c r="I3485" s="0">
        <v>61.99</v>
      </c>
      <c r="J3485" s="0">
        <v>0</v>
      </c>
    </row>
    <row r="3486" spans="1:10" customHeight="0">
      <c r="A3486" s="0">
        <f>HYPERLINK("https://dl.dropboxusercontent.com/scl/fi/qpcl5x4r5mpg9e14ghpx1/109004-af.jpg?rlkey=cmvoplj98pdi4jpchbqjd9icm&amp;dl=0","Click to download Image")</f>
      </c>
      <c r="B3486" s="0">
        <f>HYPERLINK("https://dl.dropboxusercontent.com/scl/fi/u6nonjo40mj2yklcxsrs7/womens-hoodie-and-sweatshirt-size-chartsraven.jpg?rlkey=3kj1bg0tvsdwet03cqzpt9l3k&amp;dl=0","Click to download SizeChart")</f>
      </c>
      <c r="C3486" s="0" t="inlineStr">
        <is>
          <t>Raven Women's Sherpa Hoodie</t>
        </is>
      </c>
      <c r="D3486" s="0" t="inlineStr">
        <is>
          <t>'109004</t>
        </is>
      </c>
      <c r="E3486" s="0" t="inlineStr">
        <is>
          <t>INDIANA RAVEN:109004A-S</t>
        </is>
      </c>
      <c r="F3486" s="0" t="inlineStr">
        <is>
          <t>'800109004011</t>
        </is>
      </c>
      <c r="G3486" s="0" t="inlineStr">
        <is>
          <t>WOMENS</t>
        </is>
      </c>
      <c r="H3486" s="0" t="inlineStr">
        <is>
          <t>S</t>
        </is>
      </c>
      <c r="I3486" s="0">
        <v>59.99</v>
      </c>
      <c r="J3486" s="0">
        <v>8</v>
      </c>
    </row>
    <row r="3487" spans="1:10" customHeight="0">
      <c r="A3487" s="0">
        <f>HYPERLINK("https://dl.dropboxusercontent.com/scl/fi/qpcl5x4r5mpg9e14ghpx1/109004-af.jpg?rlkey=cmvoplj98pdi4jpchbqjd9icm&amp;dl=0","Click to download Image")</f>
      </c>
      <c r="B3487" s="0">
        <f>HYPERLINK("https://dl.dropboxusercontent.com/scl/fi/u6nonjo40mj2yklcxsrs7/womens-hoodie-and-sweatshirt-size-chartsraven.jpg?rlkey=3kj1bg0tvsdwet03cqzpt9l3k&amp;dl=0","Click to download SizeChart")</f>
      </c>
      <c r="C3487" s="0" t="inlineStr">
        <is>
          <t>Raven Women's Sherpa Hoodie</t>
        </is>
      </c>
      <c r="D3487" s="0" t="inlineStr">
        <is>
          <t>'109004</t>
        </is>
      </c>
      <c r="E3487" s="0" t="inlineStr">
        <is>
          <t>INDIANA RAVEN:109004B-M</t>
        </is>
      </c>
      <c r="F3487" s="0" t="inlineStr">
        <is>
          <t>'800109004028</t>
        </is>
      </c>
      <c r="G3487" s="0" t="inlineStr">
        <is>
          <t>WOMENS</t>
        </is>
      </c>
      <c r="H3487" s="0" t="inlineStr">
        <is>
          <t>M</t>
        </is>
      </c>
      <c r="I3487" s="0">
        <v>59.99</v>
      </c>
      <c r="J3487" s="0">
        <v>20</v>
      </c>
    </row>
    <row r="3488" spans="1:10" customHeight="0">
      <c r="A3488" s="0">
        <f>HYPERLINK("https://dl.dropboxusercontent.com/scl/fi/qpcl5x4r5mpg9e14ghpx1/109004-af.jpg?rlkey=cmvoplj98pdi4jpchbqjd9icm&amp;dl=0","Click to download Image")</f>
      </c>
      <c r="B3488" s="0">
        <f>HYPERLINK("https://dl.dropboxusercontent.com/scl/fi/u6nonjo40mj2yklcxsrs7/womens-hoodie-and-sweatshirt-size-chartsraven.jpg?rlkey=3kj1bg0tvsdwet03cqzpt9l3k&amp;dl=0","Click to download SizeChart")</f>
      </c>
      <c r="C3488" s="0" t="inlineStr">
        <is>
          <t>Raven Women's Sherpa Hoodie</t>
        </is>
      </c>
      <c r="D3488" s="0" t="inlineStr">
        <is>
          <t>'109004</t>
        </is>
      </c>
      <c r="E3488" s="0" t="inlineStr">
        <is>
          <t>INDIANA RAVEN:109004C-L</t>
        </is>
      </c>
      <c r="F3488" s="0" t="inlineStr">
        <is>
          <t>'800109004035</t>
        </is>
      </c>
      <c r="G3488" s="0" t="inlineStr">
        <is>
          <t>WOMENS</t>
        </is>
      </c>
      <c r="H3488" s="0" t="inlineStr">
        <is>
          <t>L</t>
        </is>
      </c>
      <c r="I3488" s="0">
        <v>59.99</v>
      </c>
      <c r="J3488" s="0">
        <v>20</v>
      </c>
    </row>
    <row r="3489" spans="1:10" customHeight="0">
      <c r="A3489" s="0">
        <f>HYPERLINK("https://dl.dropboxusercontent.com/scl/fi/qpcl5x4r5mpg9e14ghpx1/109004-af.jpg?rlkey=cmvoplj98pdi4jpchbqjd9icm&amp;dl=0","Click to download Image")</f>
      </c>
      <c r="B3489" s="0">
        <f>HYPERLINK("https://dl.dropboxusercontent.com/scl/fi/u6nonjo40mj2yklcxsrs7/womens-hoodie-and-sweatshirt-size-chartsraven.jpg?rlkey=3kj1bg0tvsdwet03cqzpt9l3k&amp;dl=0","Click to download SizeChart")</f>
      </c>
      <c r="C3489" s="0" t="inlineStr">
        <is>
          <t>Raven Women's Sherpa Hoodie</t>
        </is>
      </c>
      <c r="D3489" s="0" t="inlineStr">
        <is>
          <t>'109004</t>
        </is>
      </c>
      <c r="E3489" s="0" t="inlineStr">
        <is>
          <t>INDIANA RAVEN:109004D-XL</t>
        </is>
      </c>
      <c r="F3489" s="0" t="inlineStr">
        <is>
          <t>'800109004042</t>
        </is>
      </c>
      <c r="G3489" s="0" t="inlineStr">
        <is>
          <t>WOMENS</t>
        </is>
      </c>
      <c r="H3489" s="0" t="inlineStr">
        <is>
          <t>XL</t>
        </is>
      </c>
      <c r="I3489" s="0">
        <v>59.99</v>
      </c>
      <c r="J3489" s="0">
        <v>10</v>
      </c>
    </row>
    <row r="3490" spans="1:10" customHeight="0">
      <c r="A3490" s="0">
        <f>HYPERLINK("https://dl.dropboxusercontent.com/scl/fi/qpcl5x4r5mpg9e14ghpx1/109004-af.jpg?rlkey=cmvoplj98pdi4jpchbqjd9icm&amp;dl=0","Click to download Image")</f>
      </c>
      <c r="B3490" s="0">
        <f>HYPERLINK("https://dl.dropboxusercontent.com/scl/fi/u6nonjo40mj2yklcxsrs7/womens-hoodie-and-sweatshirt-size-chartsraven.jpg?rlkey=3kj1bg0tvsdwet03cqzpt9l3k&amp;dl=0","Click to download SizeChart")</f>
      </c>
      <c r="C3490" s="0" t="inlineStr">
        <is>
          <t>Raven Women's Sherpa Hoodie</t>
        </is>
      </c>
      <c r="D3490" s="0" t="inlineStr">
        <is>
          <t>'109004</t>
        </is>
      </c>
      <c r="E3490" s="0" t="inlineStr">
        <is>
          <t>INDIANA RAVEN:109004E-2XL</t>
        </is>
      </c>
      <c r="F3490" s="0" t="inlineStr">
        <is>
          <t>'800109004059</t>
        </is>
      </c>
      <c r="G3490" s="0" t="inlineStr">
        <is>
          <t>WOMENS</t>
        </is>
      </c>
      <c r="H3490" s="0" t="inlineStr">
        <is>
          <t>2XL</t>
        </is>
      </c>
      <c r="I3490" s="0">
        <v>61.99</v>
      </c>
      <c r="J3490" s="0">
        <v>4</v>
      </c>
    </row>
    <row r="3491" spans="1:10" customHeight="0">
      <c r="A3491" s="0">
        <f>HYPERLINK("https://dl.dropboxusercontent.com/scl/fi/qpcl5x4r5mpg9e14ghpx1/109004-af.jpg?rlkey=cmvoplj98pdi4jpchbqjd9icm&amp;dl=0","Click to download Image")</f>
      </c>
      <c r="B3491" s="0">
        <f>HYPERLINK("https://dl.dropboxusercontent.com/scl/fi/u6nonjo40mj2yklcxsrs7/womens-hoodie-and-sweatshirt-size-chartsraven.jpg?rlkey=3kj1bg0tvsdwet03cqzpt9l3k&amp;dl=0","Click to download SizeChart")</f>
      </c>
      <c r="C3491" s="0" t="inlineStr">
        <is>
          <t>Raven Women's Sherpa Hoodie</t>
        </is>
      </c>
      <c r="D3491" s="0" t="inlineStr">
        <is>
          <t>'109004</t>
        </is>
      </c>
      <c r="E3491" s="0" t="inlineStr">
        <is>
          <t>INDIANA RAVEN:109004F-3XL</t>
        </is>
      </c>
      <c r="F3491" s="0" t="inlineStr">
        <is>
          <t>'800109004066</t>
        </is>
      </c>
      <c r="G3491" s="0" t="inlineStr">
        <is>
          <t>WOMENS</t>
        </is>
      </c>
      <c r="H3491" s="0" t="inlineStr">
        <is>
          <t>3XL</t>
        </is>
      </c>
      <c r="I3491" s="0">
        <v>61.99</v>
      </c>
      <c r="J3491" s="0">
        <v>4</v>
      </c>
    </row>
    <row r="3492" spans="1:10" customHeight="0">
      <c r="A3492" s="0">
        <f>HYPERLINK("https://dl.dropboxusercontent.com/scl/fi/9x0zxbeibo1l86ztxblgi/109006af.jpg?rlkey=5bvfiy5abvscpare92b483ole&amp;dl=0","Click to download Image")</f>
      </c>
      <c r="B3492" s="0">
        <f>HYPERLINK("https://dl.dropboxusercontent.com/scl/fi/u6nonjo40mj2yklcxsrs7/womens-hoodie-and-sweatshirt-size-chartsraven.jpg?rlkey=3kj1bg0tvsdwet03cqzpt9l3k&amp;dl=0","Click to download SizeChart")</f>
      </c>
      <c r="C3492" s="0" t="inlineStr">
        <is>
          <t>Raven Women's Sherpa Hoodie</t>
        </is>
      </c>
      <c r="D3492" s="0" t="inlineStr">
        <is>
          <t>'109006</t>
        </is>
      </c>
      <c r="E3492" s="0" t="inlineStr">
        <is>
          <t>KSU RAVEN:109006A-S</t>
        </is>
      </c>
      <c r="F3492" s="0" t="inlineStr">
        <is>
          <t>'800109006015</t>
        </is>
      </c>
      <c r="G3492" s="0" t="inlineStr">
        <is>
          <t>WOMENS</t>
        </is>
      </c>
      <c r="H3492" s="0" t="inlineStr">
        <is>
          <t>S</t>
        </is>
      </c>
      <c r="I3492" s="0">
        <v>59.99</v>
      </c>
      <c r="J3492" s="0">
        <v>12</v>
      </c>
    </row>
    <row r="3493" spans="1:10" customHeight="0">
      <c r="A3493" s="0">
        <f>HYPERLINK("https://dl.dropboxusercontent.com/scl/fi/9x0zxbeibo1l86ztxblgi/109006af.jpg?rlkey=5bvfiy5abvscpare92b483ole&amp;dl=0","Click to download Image")</f>
      </c>
      <c r="B3493" s="0">
        <f>HYPERLINK("https://dl.dropboxusercontent.com/scl/fi/u6nonjo40mj2yklcxsrs7/womens-hoodie-and-sweatshirt-size-chartsraven.jpg?rlkey=3kj1bg0tvsdwet03cqzpt9l3k&amp;dl=0","Click to download SizeChart")</f>
      </c>
      <c r="C3493" s="0" t="inlineStr">
        <is>
          <t>Raven Women's Sherpa Hoodie</t>
        </is>
      </c>
      <c r="D3493" s="0" t="inlineStr">
        <is>
          <t>'109006</t>
        </is>
      </c>
      <c r="E3493" s="0" t="inlineStr">
        <is>
          <t>KSU RAVEN:109006B-M</t>
        </is>
      </c>
      <c r="F3493" s="0" t="inlineStr">
        <is>
          <t>'800109006022</t>
        </is>
      </c>
      <c r="G3493" s="0" t="inlineStr">
        <is>
          <t>WOMENS</t>
        </is>
      </c>
      <c r="H3493" s="0" t="inlineStr">
        <is>
          <t>M</t>
        </is>
      </c>
      <c r="I3493" s="0">
        <v>59.99</v>
      </c>
      <c r="J3493" s="0">
        <v>25</v>
      </c>
    </row>
    <row r="3494" spans="1:10" customHeight="0">
      <c r="A3494" s="0">
        <f>HYPERLINK("https://dl.dropboxusercontent.com/scl/fi/9x0zxbeibo1l86ztxblgi/109006af.jpg?rlkey=5bvfiy5abvscpare92b483ole&amp;dl=0","Click to download Image")</f>
      </c>
      <c r="B3494" s="0">
        <f>HYPERLINK("https://dl.dropboxusercontent.com/scl/fi/u6nonjo40mj2yklcxsrs7/womens-hoodie-and-sweatshirt-size-chartsraven.jpg?rlkey=3kj1bg0tvsdwet03cqzpt9l3k&amp;dl=0","Click to download SizeChart")</f>
      </c>
      <c r="C3494" s="0" t="inlineStr">
        <is>
          <t>Raven Women's Sherpa Hoodie</t>
        </is>
      </c>
      <c r="D3494" s="0" t="inlineStr">
        <is>
          <t>'109006</t>
        </is>
      </c>
      <c r="E3494" s="0" t="inlineStr">
        <is>
          <t>KSU RAVEN:109006C-L</t>
        </is>
      </c>
      <c r="F3494" s="0" t="inlineStr">
        <is>
          <t>'800109006039</t>
        </is>
      </c>
      <c r="G3494" s="0" t="inlineStr">
        <is>
          <t>WOMENS</t>
        </is>
      </c>
      <c r="H3494" s="0" t="inlineStr">
        <is>
          <t>L</t>
        </is>
      </c>
      <c r="I3494" s="0">
        <v>59.99</v>
      </c>
      <c r="J3494" s="0">
        <v>24</v>
      </c>
    </row>
    <row r="3495" spans="1:10" customHeight="0">
      <c r="A3495" s="0">
        <f>HYPERLINK("https://dl.dropboxusercontent.com/scl/fi/9x0zxbeibo1l86ztxblgi/109006af.jpg?rlkey=5bvfiy5abvscpare92b483ole&amp;dl=0","Click to download Image")</f>
      </c>
      <c r="B3495" s="0">
        <f>HYPERLINK("https://dl.dropboxusercontent.com/scl/fi/u6nonjo40mj2yklcxsrs7/womens-hoodie-and-sweatshirt-size-chartsraven.jpg?rlkey=3kj1bg0tvsdwet03cqzpt9l3k&amp;dl=0","Click to download SizeChart")</f>
      </c>
      <c r="C3495" s="0" t="inlineStr">
        <is>
          <t>Raven Women's Sherpa Hoodie</t>
        </is>
      </c>
      <c r="D3495" s="0" t="inlineStr">
        <is>
          <t>'109006</t>
        </is>
      </c>
      <c r="E3495" s="0" t="inlineStr">
        <is>
          <t>KSU RAVEN:109006D-XL</t>
        </is>
      </c>
      <c r="F3495" s="0" t="inlineStr">
        <is>
          <t>'800109006046</t>
        </is>
      </c>
      <c r="G3495" s="0" t="inlineStr">
        <is>
          <t>WOMENS</t>
        </is>
      </c>
      <c r="H3495" s="0" t="inlineStr">
        <is>
          <t>XL</t>
        </is>
      </c>
      <c r="I3495" s="0">
        <v>59.99</v>
      </c>
      <c r="J3495" s="0">
        <v>12</v>
      </c>
    </row>
    <row r="3496" spans="1:10" customHeight="0">
      <c r="A3496" s="0">
        <f>HYPERLINK("https://dl.dropboxusercontent.com/scl/fi/9x0zxbeibo1l86ztxblgi/109006af.jpg?rlkey=5bvfiy5abvscpare92b483ole&amp;dl=0","Click to download Image")</f>
      </c>
      <c r="B3496" s="0">
        <f>HYPERLINK("https://dl.dropboxusercontent.com/scl/fi/u6nonjo40mj2yklcxsrs7/womens-hoodie-and-sweatshirt-size-chartsraven.jpg?rlkey=3kj1bg0tvsdwet03cqzpt9l3k&amp;dl=0","Click to download SizeChart")</f>
      </c>
      <c r="C3496" s="0" t="inlineStr">
        <is>
          <t>Raven Women's Sherpa Hoodie</t>
        </is>
      </c>
      <c r="D3496" s="0" t="inlineStr">
        <is>
          <t>'109006</t>
        </is>
      </c>
      <c r="E3496" s="0" t="inlineStr">
        <is>
          <t>KSU RAVEN:109006E-2XL</t>
        </is>
      </c>
      <c r="F3496" s="0" t="inlineStr">
        <is>
          <t>'800109006053</t>
        </is>
      </c>
      <c r="G3496" s="0" t="inlineStr">
        <is>
          <t>WOMENS</t>
        </is>
      </c>
      <c r="H3496" s="0" t="inlineStr">
        <is>
          <t>2XL</t>
        </is>
      </c>
      <c r="I3496" s="0">
        <v>61.99</v>
      </c>
      <c r="J3496" s="0">
        <v>2</v>
      </c>
    </row>
    <row r="3497" spans="1:10" customHeight="0">
      <c r="A3497" s="0">
        <f>HYPERLINK("https://dl.dropboxusercontent.com/scl/fi/9x0zxbeibo1l86ztxblgi/109006af.jpg?rlkey=5bvfiy5abvscpare92b483ole&amp;dl=0","Click to download Image")</f>
      </c>
      <c r="B3497" s="0">
        <f>HYPERLINK("https://dl.dropboxusercontent.com/scl/fi/u6nonjo40mj2yklcxsrs7/womens-hoodie-and-sweatshirt-size-chartsraven.jpg?rlkey=3kj1bg0tvsdwet03cqzpt9l3k&amp;dl=0","Click to download SizeChart")</f>
      </c>
      <c r="C3497" s="0" t="inlineStr">
        <is>
          <t>Raven Women's Sherpa Hoodie</t>
        </is>
      </c>
      <c r="D3497" s="0" t="inlineStr">
        <is>
          <t>'109006</t>
        </is>
      </c>
      <c r="E3497" s="0" t="inlineStr">
        <is>
          <t>KSU RAVEN:109006F-3XL</t>
        </is>
      </c>
      <c r="F3497" s="0" t="inlineStr">
        <is>
          <t>'800109006060</t>
        </is>
      </c>
      <c r="G3497" s="0" t="inlineStr">
        <is>
          <t>WOMENS</t>
        </is>
      </c>
      <c r="H3497" s="0" t="inlineStr">
        <is>
          <t>3XL</t>
        </is>
      </c>
      <c r="I3497" s="0">
        <v>61.99</v>
      </c>
      <c r="J3497" s="0">
        <v>2</v>
      </c>
    </row>
    <row r="3498" spans="1:10" customHeight="0">
      <c r="A3498" s="0">
        <f>HYPERLINK("https://dl.dropboxusercontent.com/scl/fi/zlby80t1oh3fu0jlo3qnp/109007-af.jpg?rlkey=nyai3kzd4u0au1q85kvre8zdu&amp;dl=0","Click to download Image")</f>
      </c>
      <c r="B3498" s="0">
        <f>HYPERLINK("https://dl.dropboxusercontent.com/scl/fi/u6nonjo40mj2yklcxsrs7/womens-hoodie-and-sweatshirt-size-chartsraven.jpg?rlkey=3kj1bg0tvsdwet03cqzpt9l3k&amp;dl=0","Click to download SizeChart")</f>
      </c>
      <c r="C3498" s="0" t="inlineStr">
        <is>
          <t>Raven Women's Sherpa Hoodie</t>
        </is>
      </c>
      <c r="D3498" s="0" t="inlineStr">
        <is>
          <t>'109007</t>
        </is>
      </c>
      <c r="E3498" s="0" t="inlineStr">
        <is>
          <t>UNO RAVEN:109007A-S</t>
        </is>
      </c>
      <c r="F3498" s="0" t="inlineStr">
        <is>
          <t>'800109007012</t>
        </is>
      </c>
      <c r="G3498" s="0" t="inlineStr">
        <is>
          <t>WOMENS</t>
        </is>
      </c>
      <c r="H3498" s="0" t="inlineStr">
        <is>
          <t>S</t>
        </is>
      </c>
      <c r="I3498" s="0">
        <v>59.99</v>
      </c>
      <c r="J3498" s="0">
        <v>4</v>
      </c>
    </row>
    <row r="3499" spans="1:10" customHeight="0">
      <c r="A3499" s="0">
        <f>HYPERLINK("https://dl.dropboxusercontent.com/scl/fi/zlby80t1oh3fu0jlo3qnp/109007-af.jpg?rlkey=nyai3kzd4u0au1q85kvre8zdu&amp;dl=0","Click to download Image")</f>
      </c>
      <c r="B3499" s="0">
        <f>HYPERLINK("https://dl.dropboxusercontent.com/scl/fi/u6nonjo40mj2yklcxsrs7/womens-hoodie-and-sweatshirt-size-chartsraven.jpg?rlkey=3kj1bg0tvsdwet03cqzpt9l3k&amp;dl=0","Click to download SizeChart")</f>
      </c>
      <c r="C3499" s="0" t="inlineStr">
        <is>
          <t>Raven Women's Sherpa Hoodie</t>
        </is>
      </c>
      <c r="D3499" s="0" t="inlineStr">
        <is>
          <t>'109007</t>
        </is>
      </c>
      <c r="E3499" s="0" t="inlineStr">
        <is>
          <t>UNO RAVEN:109007B-M</t>
        </is>
      </c>
      <c r="F3499" s="0" t="inlineStr">
        <is>
          <t>'800109007029</t>
        </is>
      </c>
      <c r="G3499" s="0" t="inlineStr">
        <is>
          <t>WOMENS</t>
        </is>
      </c>
      <c r="H3499" s="0" t="inlineStr">
        <is>
          <t>M</t>
        </is>
      </c>
      <c r="I3499" s="0">
        <v>59.99</v>
      </c>
      <c r="J3499" s="0">
        <v>8</v>
      </c>
    </row>
    <row r="3500" spans="1:10" customHeight="0">
      <c r="A3500" s="0">
        <f>HYPERLINK("https://dl.dropboxusercontent.com/scl/fi/zlby80t1oh3fu0jlo3qnp/109007-af.jpg?rlkey=nyai3kzd4u0au1q85kvre8zdu&amp;dl=0","Click to download Image")</f>
      </c>
      <c r="B3500" s="0">
        <f>HYPERLINK("https://dl.dropboxusercontent.com/scl/fi/u6nonjo40mj2yklcxsrs7/womens-hoodie-and-sweatshirt-size-chartsraven.jpg?rlkey=3kj1bg0tvsdwet03cqzpt9l3k&amp;dl=0","Click to download SizeChart")</f>
      </c>
      <c r="C3500" s="0" t="inlineStr">
        <is>
          <t>Raven Women's Sherpa Hoodie</t>
        </is>
      </c>
      <c r="D3500" s="0" t="inlineStr">
        <is>
          <t>'109007</t>
        </is>
      </c>
      <c r="E3500" s="0" t="inlineStr">
        <is>
          <t>UNO RAVEN:109007C-L</t>
        </is>
      </c>
      <c r="F3500" s="0" t="inlineStr">
        <is>
          <t>'800109007036</t>
        </is>
      </c>
      <c r="G3500" s="0" t="inlineStr">
        <is>
          <t>WOMENS</t>
        </is>
      </c>
      <c r="H3500" s="0" t="inlineStr">
        <is>
          <t>L</t>
        </is>
      </c>
      <c r="I3500" s="0">
        <v>59.99</v>
      </c>
      <c r="J3500" s="0">
        <v>8</v>
      </c>
    </row>
    <row r="3501" spans="1:10" customHeight="0">
      <c r="A3501" s="0">
        <f>HYPERLINK("https://dl.dropboxusercontent.com/scl/fi/zlby80t1oh3fu0jlo3qnp/109007-af.jpg?rlkey=nyai3kzd4u0au1q85kvre8zdu&amp;dl=0","Click to download Image")</f>
      </c>
      <c r="B3501" s="0">
        <f>HYPERLINK("https://dl.dropboxusercontent.com/scl/fi/u6nonjo40mj2yklcxsrs7/womens-hoodie-and-sweatshirt-size-chartsraven.jpg?rlkey=3kj1bg0tvsdwet03cqzpt9l3k&amp;dl=0","Click to download SizeChart")</f>
      </c>
      <c r="C3501" s="0" t="inlineStr">
        <is>
          <t>Raven Women's Sherpa Hoodie</t>
        </is>
      </c>
      <c r="D3501" s="0" t="inlineStr">
        <is>
          <t>'109007</t>
        </is>
      </c>
      <c r="E3501" s="0" t="inlineStr">
        <is>
          <t>UNO RAVEN:109007D-XL</t>
        </is>
      </c>
      <c r="F3501" s="0" t="inlineStr">
        <is>
          <t>'800109007043</t>
        </is>
      </c>
      <c r="G3501" s="0" t="inlineStr">
        <is>
          <t>WOMENS</t>
        </is>
      </c>
      <c r="H3501" s="0" t="inlineStr">
        <is>
          <t>XL</t>
        </is>
      </c>
      <c r="I3501" s="0">
        <v>59.99</v>
      </c>
      <c r="J3501" s="0">
        <v>4</v>
      </c>
    </row>
    <row r="3502" spans="1:10" customHeight="0">
      <c r="A3502" s="0">
        <f>HYPERLINK("https://dl.dropboxusercontent.com/scl/fi/zlby80t1oh3fu0jlo3qnp/109007-af.jpg?rlkey=nyai3kzd4u0au1q85kvre8zdu&amp;dl=0","Click to download Image")</f>
      </c>
      <c r="B3502" s="0">
        <f>HYPERLINK("https://dl.dropboxusercontent.com/scl/fi/u6nonjo40mj2yklcxsrs7/womens-hoodie-and-sweatshirt-size-chartsraven.jpg?rlkey=3kj1bg0tvsdwet03cqzpt9l3k&amp;dl=0","Click to download SizeChart")</f>
      </c>
      <c r="C3502" s="0" t="inlineStr">
        <is>
          <t>Raven Women's Sherpa Hoodie</t>
        </is>
      </c>
      <c r="D3502" s="0" t="inlineStr">
        <is>
          <t>'109007</t>
        </is>
      </c>
      <c r="E3502" s="0" t="inlineStr">
        <is>
          <t>UNO RAVEN:109007E-2XL</t>
        </is>
      </c>
      <c r="F3502" s="0" t="inlineStr">
        <is>
          <t>'800109007050</t>
        </is>
      </c>
      <c r="G3502" s="0" t="inlineStr">
        <is>
          <t>WOMENS</t>
        </is>
      </c>
      <c r="H3502" s="0" t="inlineStr">
        <is>
          <t>2XL</t>
        </is>
      </c>
      <c r="I3502" s="0">
        <v>61.99</v>
      </c>
      <c r="J3502" s="0">
        <v>1</v>
      </c>
    </row>
    <row r="3503" spans="1:10" customHeight="0">
      <c r="A3503" s="0">
        <f>HYPERLINK("https://dl.dropboxusercontent.com/scl/fi/zlby80t1oh3fu0jlo3qnp/109007-af.jpg?rlkey=nyai3kzd4u0au1q85kvre8zdu&amp;dl=0","Click to download Image")</f>
      </c>
      <c r="B3503" s="0">
        <f>HYPERLINK("https://dl.dropboxusercontent.com/scl/fi/u6nonjo40mj2yklcxsrs7/womens-hoodie-and-sweatshirt-size-chartsraven.jpg?rlkey=3kj1bg0tvsdwet03cqzpt9l3k&amp;dl=0","Click to download SizeChart")</f>
      </c>
      <c r="C3503" s="0" t="inlineStr">
        <is>
          <t>Raven Women's Sherpa Hoodie</t>
        </is>
      </c>
      <c r="D3503" s="0" t="inlineStr">
        <is>
          <t>'109007</t>
        </is>
      </c>
      <c r="E3503" s="0" t="inlineStr">
        <is>
          <t>UNO RAVEN:109007F-3XL</t>
        </is>
      </c>
      <c r="F3503" s="0" t="inlineStr">
        <is>
          <t>'800109007067</t>
        </is>
      </c>
      <c r="G3503" s="0" t="inlineStr">
        <is>
          <t>WOMENS</t>
        </is>
      </c>
      <c r="H3503" s="0" t="inlineStr">
        <is>
          <t>3XL</t>
        </is>
      </c>
      <c r="I3503" s="0">
        <v>61.99</v>
      </c>
      <c r="J3503" s="0">
        <v>1</v>
      </c>
    </row>
    <row r="3504" spans="1:10" customHeight="0">
      <c r="A3504" s="0">
        <f>HYPERLINK("https://dl.dropboxusercontent.com/scl/fi/s6cncsznq7c9wc147pi5d/raven.jpg?rlkey=7bretbznh8oxegsftguajh57f&amp;dl=0","Click to download Image")</f>
      </c>
      <c r="B3504" s="0">
        <f>HYPERLINK("https://dl.dropboxusercontent.com/scl/fi/u6nonjo40mj2yklcxsrs7/womens-hoodie-and-sweatshirt-size-chartsraven.jpg?rlkey=3kj1bg0tvsdwet03cqzpt9l3k&amp;dl=0","Click to download SizeChart")</f>
      </c>
      <c r="C3504" s="0" t="inlineStr">
        <is>
          <t>Raven Women's Sherpa Hoodie</t>
        </is>
      </c>
      <c r="D3504" s="0" t="inlineStr">
        <is>
          <t>'130686</t>
        </is>
      </c>
      <c r="E3504" s="0" t="inlineStr">
        <is>
          <t>DRK RAVEN W FB:130686A-S</t>
        </is>
      </c>
      <c r="F3504" s="0" t="inlineStr">
        <is>
          <t>'817130686048</t>
        </is>
      </c>
      <c r="G3504" s="0" t="inlineStr">
        <is>
          <t>WOMENS</t>
        </is>
      </c>
      <c r="H3504" s="0" t="inlineStr">
        <is>
          <t>S</t>
        </is>
      </c>
      <c r="I3504" s="0">
        <v>59.99</v>
      </c>
      <c r="J3504" s="0">
        <v>9</v>
      </c>
    </row>
    <row r="3505" spans="1:10" customHeight="0">
      <c r="A3505" s="0">
        <f>HYPERLINK("https://dl.dropboxusercontent.com/scl/fi/s6cncsznq7c9wc147pi5d/raven.jpg?rlkey=7bretbznh8oxegsftguajh57f&amp;dl=0","Click to download Image")</f>
      </c>
      <c r="B3505" s="0">
        <f>HYPERLINK("https://dl.dropboxusercontent.com/scl/fi/u6nonjo40mj2yklcxsrs7/womens-hoodie-and-sweatshirt-size-chartsraven.jpg?rlkey=3kj1bg0tvsdwet03cqzpt9l3k&amp;dl=0","Click to download SizeChart")</f>
      </c>
      <c r="C3505" s="0" t="inlineStr">
        <is>
          <t>Raven Women's Sherpa Hoodie</t>
        </is>
      </c>
      <c r="D3505" s="0" t="inlineStr">
        <is>
          <t>'130686</t>
        </is>
      </c>
      <c r="E3505" s="0" t="inlineStr">
        <is>
          <t>DRK RAVEN W FB:130686B-M</t>
        </is>
      </c>
      <c r="F3505" s="0" t="inlineStr">
        <is>
          <t>'817130686055</t>
        </is>
      </c>
      <c r="G3505" s="0" t="inlineStr">
        <is>
          <t>WOMENS</t>
        </is>
      </c>
      <c r="H3505" s="0" t="inlineStr">
        <is>
          <t>M</t>
        </is>
      </c>
      <c r="I3505" s="0">
        <v>59.99</v>
      </c>
      <c r="J3505" s="0">
        <v>10</v>
      </c>
    </row>
    <row r="3506" spans="1:10" customHeight="0">
      <c r="A3506" s="0">
        <f>HYPERLINK("https://dl.dropboxusercontent.com/scl/fi/s6cncsznq7c9wc147pi5d/raven.jpg?rlkey=7bretbznh8oxegsftguajh57f&amp;dl=0","Click to download Image")</f>
      </c>
      <c r="B3506" s="0">
        <f>HYPERLINK("https://dl.dropboxusercontent.com/scl/fi/u6nonjo40mj2yklcxsrs7/womens-hoodie-and-sweatshirt-size-chartsraven.jpg?rlkey=3kj1bg0tvsdwet03cqzpt9l3k&amp;dl=0","Click to download SizeChart")</f>
      </c>
      <c r="C3506" s="0" t="inlineStr">
        <is>
          <t>Raven Women's Sherpa Hoodie</t>
        </is>
      </c>
      <c r="D3506" s="0" t="inlineStr">
        <is>
          <t>'130686</t>
        </is>
      </c>
      <c r="E3506" s="0" t="inlineStr">
        <is>
          <t>DRK RAVEN W FB:130686C-L</t>
        </is>
      </c>
      <c r="F3506" s="0" t="inlineStr">
        <is>
          <t>'817130686062</t>
        </is>
      </c>
      <c r="G3506" s="0" t="inlineStr">
        <is>
          <t>WOMENS</t>
        </is>
      </c>
      <c r="H3506" s="0" t="inlineStr">
        <is>
          <t>L</t>
        </is>
      </c>
      <c r="I3506" s="0">
        <v>59.99</v>
      </c>
      <c r="J3506" s="0">
        <v>10</v>
      </c>
    </row>
    <row r="3507" spans="1:10" customHeight="0">
      <c r="A3507" s="0">
        <f>HYPERLINK("https://dl.dropboxusercontent.com/scl/fi/s6cncsznq7c9wc147pi5d/raven.jpg?rlkey=7bretbznh8oxegsftguajh57f&amp;dl=0","Click to download Image")</f>
      </c>
      <c r="B3507" s="0">
        <f>HYPERLINK("https://dl.dropboxusercontent.com/scl/fi/u6nonjo40mj2yklcxsrs7/womens-hoodie-and-sweatshirt-size-chartsraven.jpg?rlkey=3kj1bg0tvsdwet03cqzpt9l3k&amp;dl=0","Click to download SizeChart")</f>
      </c>
      <c r="C3507" s="0" t="inlineStr">
        <is>
          <t>Raven Women's Sherpa Hoodie</t>
        </is>
      </c>
      <c r="D3507" s="0" t="inlineStr">
        <is>
          <t>'130686</t>
        </is>
      </c>
      <c r="E3507" s="0" t="inlineStr">
        <is>
          <t>DRK RAVEN W FB:130686D-XL</t>
        </is>
      </c>
      <c r="F3507" s="0" t="inlineStr">
        <is>
          <t>'817130686079</t>
        </is>
      </c>
      <c r="G3507" s="0" t="inlineStr">
        <is>
          <t>WOMENS</t>
        </is>
      </c>
      <c r="H3507" s="0" t="inlineStr">
        <is>
          <t>XL</t>
        </is>
      </c>
      <c r="I3507" s="0">
        <v>59.99</v>
      </c>
      <c r="J3507" s="0">
        <v>10</v>
      </c>
    </row>
    <row r="3508" spans="1:10" customHeight="0">
      <c r="A3508" s="0">
        <f>HYPERLINK("https://dl.dropboxusercontent.com/scl/fi/s6cncsznq7c9wc147pi5d/raven.jpg?rlkey=7bretbznh8oxegsftguajh57f&amp;dl=0","Click to download Image")</f>
      </c>
      <c r="B3508" s="0">
        <f>HYPERLINK("https://dl.dropboxusercontent.com/scl/fi/u6nonjo40mj2yklcxsrs7/womens-hoodie-and-sweatshirt-size-chartsraven.jpg?rlkey=3kj1bg0tvsdwet03cqzpt9l3k&amp;dl=0","Click to download SizeChart")</f>
      </c>
      <c r="C3508" s="0" t="inlineStr">
        <is>
          <t>Raven Women's Sherpa Hoodie</t>
        </is>
      </c>
      <c r="D3508" s="0" t="inlineStr">
        <is>
          <t>'130686</t>
        </is>
      </c>
      <c r="E3508" s="0" t="inlineStr">
        <is>
          <t>DRK RAVEN W FB:130686E-2XL</t>
        </is>
      </c>
      <c r="F3508" s="0" t="inlineStr">
        <is>
          <t>'817130686086</t>
        </is>
      </c>
      <c r="G3508" s="0" t="inlineStr">
        <is>
          <t>WOMENS</t>
        </is>
      </c>
      <c r="H3508" s="0" t="inlineStr">
        <is>
          <t>2XL</t>
        </is>
      </c>
      <c r="I3508" s="0">
        <v>61.99</v>
      </c>
      <c r="J3508" s="0">
        <v>4</v>
      </c>
    </row>
    <row r="3509" spans="1:10" customHeight="0">
      <c r="A3509" s="0">
        <f>HYPERLINK("https://dl.dropboxusercontent.com/scl/fi/s6cncsznq7c9wc147pi5d/raven.jpg?rlkey=7bretbznh8oxegsftguajh57f&amp;dl=0","Click to download Image")</f>
      </c>
      <c r="B3509" s="0">
        <f>HYPERLINK("https://dl.dropboxusercontent.com/scl/fi/u6nonjo40mj2yklcxsrs7/womens-hoodie-and-sweatshirt-size-chartsraven.jpg?rlkey=3kj1bg0tvsdwet03cqzpt9l3k&amp;dl=0","Click to download SizeChart")</f>
      </c>
      <c r="C3509" s="0" t="inlineStr">
        <is>
          <t>Raven Women's Sherpa Hoodie</t>
        </is>
      </c>
      <c r="D3509" s="0" t="inlineStr">
        <is>
          <t>'130686</t>
        </is>
      </c>
      <c r="E3509" s="0" t="inlineStr">
        <is>
          <t>DRK RAVEN W FB:130686F-3XL</t>
        </is>
      </c>
      <c r="F3509" s="0" t="inlineStr">
        <is>
          <t>'817130686093</t>
        </is>
      </c>
      <c r="G3509" s="0" t="inlineStr">
        <is>
          <t>WOMENS</t>
        </is>
      </c>
      <c r="H3509" s="0" t="inlineStr">
        <is>
          <t>3XL</t>
        </is>
      </c>
      <c r="I3509" s="0">
        <v>61.99</v>
      </c>
      <c r="J3509" s="0">
        <v>2</v>
      </c>
    </row>
    <row r="3510" spans="1:10" customHeight="0">
      <c r="A3510" s="0">
        <f>HYPERLINK("https://dl.dropboxusercontent.com/scl/fi/s6cncsznq7c9wc147pi5d/raven.jpg?rlkey=7bretbznh8oxegsftguajh57f&amp;dl=0","Click to download Image")</f>
      </c>
      <c r="B3510" s="0">
        <f>HYPERLINK("https://dl.dropboxusercontent.com/scl/fi/u6nonjo40mj2yklcxsrs7/womens-hoodie-and-sweatshirt-size-chartsraven.jpg?rlkey=3kj1bg0tvsdwet03cqzpt9l3k&amp;dl=0","Click to download SizeChart")</f>
      </c>
      <c r="C3510" s="0" t="inlineStr">
        <is>
          <t>Raven Women's Sherpa Hoodie</t>
        </is>
      </c>
      <c r="D3510" s="0" t="inlineStr">
        <is>
          <t>'130686</t>
        </is>
      </c>
      <c r="E3510" s="0" t="inlineStr">
        <is>
          <t>DRK RAVEN W FB 12PK:130686Z-12PK</t>
        </is>
      </c>
      <c r="F3510" s="0" t="inlineStr">
        <is>
          <t>'817130686994</t>
        </is>
      </c>
      <c r="G3510" s="0" t="inlineStr">
        <is>
          <t>WOMENS</t>
        </is>
      </c>
      <c r="H3510" s="0" t="inlineStr">
        <is>
          <t>12 PACK</t>
        </is>
      </c>
      <c r="I3510" s="0">
        <v>580</v>
      </c>
      <c r="J3510" s="0">
        <v>0</v>
      </c>
    </row>
    <row r="3511" spans="1:10" customHeight="0">
      <c r="A3511" s="0">
        <f>HYPERLINK("https://dl.dropboxusercontent.com/scl/fi/nuk9eyvbw7znbhj5rou38/107242f.jpg?rlkey=fey2l99cepemewzybtaqob7a8&amp;dl=0","Click to download Image")</f>
      </c>
      <c r="B3511" s="0">
        <f>HYPERLINK("https://dl.dropboxusercontent.com/scl/fi/1qt3dbte45cazxkdu0btt/graphic-update22022-infant.jpg?rlkey=rhe7fp50xgcjllpgtta1r9oe1&amp;dl=0","Click to download SizeChart")</f>
      </c>
      <c r="C3511" s="0" t="inlineStr">
        <is>
          <t>Reno Infant Sweatshirt</t>
        </is>
      </c>
      <c r="D3511" s="0" t="inlineStr">
        <is>
          <t>'107242</t>
        </is>
      </c>
      <c r="E3511" s="0" t="inlineStr">
        <is>
          <t>IA RENO:107242A-0-3M</t>
        </is>
      </c>
      <c r="F3511" s="0" t="inlineStr">
        <is>
          <t>'800107242019</t>
        </is>
      </c>
      <c r="G3511" s="0" t="inlineStr">
        <is>
          <t>INFANT</t>
        </is>
      </c>
      <c r="H3511" s="0" t="inlineStr">
        <is>
          <t>0-3M</t>
        </is>
      </c>
      <c r="I3511" s="0">
        <v>24.99</v>
      </c>
      <c r="J3511" s="0">
        <v>5</v>
      </c>
    </row>
    <row r="3512" spans="1:10" customHeight="0">
      <c r="A3512" s="0">
        <f>HYPERLINK("https://dl.dropboxusercontent.com/scl/fi/nuk9eyvbw7znbhj5rou38/107242f.jpg?rlkey=fey2l99cepemewzybtaqob7a8&amp;dl=0","Click to download Image")</f>
      </c>
      <c r="B3512" s="0">
        <f>HYPERLINK("https://dl.dropboxusercontent.com/scl/fi/1qt3dbte45cazxkdu0btt/graphic-update22022-infant.jpg?rlkey=rhe7fp50xgcjllpgtta1r9oe1&amp;dl=0","Click to download SizeChart")</f>
      </c>
      <c r="C3512" s="0" t="inlineStr">
        <is>
          <t>Reno Infant Sweatshirt</t>
        </is>
      </c>
      <c r="D3512" s="0" t="inlineStr">
        <is>
          <t>'107242</t>
        </is>
      </c>
      <c r="E3512" s="0" t="inlineStr">
        <is>
          <t>IA RENO:107242B-3-6M</t>
        </is>
      </c>
      <c r="F3512" s="0" t="inlineStr">
        <is>
          <t>'800107242026</t>
        </is>
      </c>
      <c r="G3512" s="0" t="inlineStr">
        <is>
          <t>INFANT</t>
        </is>
      </c>
      <c r="H3512" s="0" t="inlineStr">
        <is>
          <t>3-6M</t>
        </is>
      </c>
      <c r="I3512" s="0">
        <v>24.99</v>
      </c>
      <c r="J3512" s="0">
        <v>2</v>
      </c>
    </row>
    <row r="3513" spans="1:10" customHeight="0">
      <c r="A3513" s="0">
        <f>HYPERLINK("https://dl.dropboxusercontent.com/scl/fi/nuk9eyvbw7znbhj5rou38/107242f.jpg?rlkey=fey2l99cepemewzybtaqob7a8&amp;dl=0","Click to download Image")</f>
      </c>
      <c r="B3513" s="0">
        <f>HYPERLINK("https://dl.dropboxusercontent.com/scl/fi/1qt3dbte45cazxkdu0btt/graphic-update22022-infant.jpg?rlkey=rhe7fp50xgcjllpgtta1r9oe1&amp;dl=0","Click to download SizeChart")</f>
      </c>
      <c r="C3513" s="0" t="inlineStr">
        <is>
          <t>Reno Infant Sweatshirt</t>
        </is>
      </c>
      <c r="D3513" s="0" t="inlineStr">
        <is>
          <t>'107242</t>
        </is>
      </c>
      <c r="E3513" s="0" t="inlineStr">
        <is>
          <t>IA RENO:107242C-6-9M</t>
        </is>
      </c>
      <c r="F3513" s="0" t="inlineStr">
        <is>
          <t>'800107242033</t>
        </is>
      </c>
      <c r="G3513" s="0" t="inlineStr">
        <is>
          <t>INFANT</t>
        </is>
      </c>
      <c r="H3513" s="0" t="inlineStr">
        <is>
          <t>6-9M</t>
        </is>
      </c>
      <c r="I3513" s="0">
        <v>24.99</v>
      </c>
      <c r="J3513" s="0">
        <v>0</v>
      </c>
    </row>
    <row r="3514" spans="1:10" customHeight="0">
      <c r="A3514" s="0">
        <f>HYPERLINK("https://dl.dropboxusercontent.com/scl/fi/nuk9eyvbw7znbhj5rou38/107242f.jpg?rlkey=fey2l99cepemewzybtaqob7a8&amp;dl=0","Click to download Image")</f>
      </c>
      <c r="B3514" s="0">
        <f>HYPERLINK("https://dl.dropboxusercontent.com/scl/fi/1qt3dbte45cazxkdu0btt/graphic-update22022-infant.jpg?rlkey=rhe7fp50xgcjllpgtta1r9oe1&amp;dl=0","Click to download SizeChart")</f>
      </c>
      <c r="C3514" s="0" t="inlineStr">
        <is>
          <t>Reno Infant Sweatshirt</t>
        </is>
      </c>
      <c r="D3514" s="0" t="inlineStr">
        <is>
          <t>'107242</t>
        </is>
      </c>
      <c r="E3514" s="0" t="inlineStr">
        <is>
          <t>IA RENO:107242F-12M</t>
        </is>
      </c>
      <c r="F3514" s="0" t="inlineStr">
        <is>
          <t>'800107242040</t>
        </is>
      </c>
      <c r="G3514" s="0" t="inlineStr">
        <is>
          <t>INFANT</t>
        </is>
      </c>
      <c r="H3514" s="0" t="inlineStr">
        <is>
          <t>12M</t>
        </is>
      </c>
      <c r="I3514" s="0">
        <v>24.99</v>
      </c>
      <c r="J3514" s="0">
        <v>0</v>
      </c>
    </row>
    <row r="3515" spans="1:10" customHeight="0">
      <c r="A3515" s="0">
        <f>HYPERLINK("https://dl.dropboxusercontent.com/scl/fi/9jw86rltiak8dh6o76l1k/107243f.jpg?rlkey=y6k84o1py6d395ptsu547o3y7&amp;dl=0","Click to download Image")</f>
      </c>
      <c r="B3515" s="0">
        <f>HYPERLINK("https://dl.dropboxusercontent.com/scl/fi/1qt3dbte45cazxkdu0btt/graphic-update22022-infant.jpg?rlkey=rhe7fp50xgcjllpgtta1r9oe1&amp;dl=0","Click to download SizeChart")</f>
      </c>
      <c r="C3515" s="0" t="inlineStr">
        <is>
          <t>Reno Infant Sweatshirt</t>
        </is>
      </c>
      <c r="D3515" s="0" t="inlineStr">
        <is>
          <t>'107243</t>
        </is>
      </c>
      <c r="E3515" s="0" t="inlineStr">
        <is>
          <t>ISU RENO:107243A-0-3M</t>
        </is>
      </c>
      <c r="F3515" s="0" t="inlineStr">
        <is>
          <t>'800107243016</t>
        </is>
      </c>
      <c r="G3515" s="0" t="inlineStr">
        <is>
          <t>INFANT</t>
        </is>
      </c>
      <c r="H3515" s="0" t="inlineStr">
        <is>
          <t>0-3M</t>
        </is>
      </c>
      <c r="I3515" s="0">
        <v>24.99</v>
      </c>
      <c r="J3515" s="0">
        <v>55</v>
      </c>
    </row>
    <row r="3516" spans="1:10" customHeight="0">
      <c r="A3516" s="0">
        <f>HYPERLINK("https://dl.dropboxusercontent.com/scl/fi/9jw86rltiak8dh6o76l1k/107243f.jpg?rlkey=y6k84o1py6d395ptsu547o3y7&amp;dl=0","Click to download Image")</f>
      </c>
      <c r="B3516" s="0">
        <f>HYPERLINK("https://dl.dropboxusercontent.com/scl/fi/1qt3dbte45cazxkdu0btt/graphic-update22022-infant.jpg?rlkey=rhe7fp50xgcjllpgtta1r9oe1&amp;dl=0","Click to download SizeChart")</f>
      </c>
      <c r="C3516" s="0" t="inlineStr">
        <is>
          <t>Reno Infant Sweatshirt</t>
        </is>
      </c>
      <c r="D3516" s="0" t="inlineStr">
        <is>
          <t>'107243</t>
        </is>
      </c>
      <c r="E3516" s="0" t="inlineStr">
        <is>
          <t>ISU RENO:107243B-3-6M</t>
        </is>
      </c>
      <c r="F3516" s="0" t="inlineStr">
        <is>
          <t>'800107243023</t>
        </is>
      </c>
      <c r="G3516" s="0" t="inlineStr">
        <is>
          <t>INFANT</t>
        </is>
      </c>
      <c r="H3516" s="0" t="inlineStr">
        <is>
          <t>3-6M</t>
        </is>
      </c>
      <c r="I3516" s="0">
        <v>24.99</v>
      </c>
      <c r="J3516" s="0">
        <v>57</v>
      </c>
    </row>
    <row r="3517" spans="1:10" customHeight="0">
      <c r="A3517" s="0">
        <f>HYPERLINK("https://dl.dropboxusercontent.com/scl/fi/9jw86rltiak8dh6o76l1k/107243f.jpg?rlkey=y6k84o1py6d395ptsu547o3y7&amp;dl=0","Click to download Image")</f>
      </c>
      <c r="B3517" s="0">
        <f>HYPERLINK("https://dl.dropboxusercontent.com/scl/fi/1qt3dbte45cazxkdu0btt/graphic-update22022-infant.jpg?rlkey=rhe7fp50xgcjllpgtta1r9oe1&amp;dl=0","Click to download SizeChart")</f>
      </c>
      <c r="C3517" s="0" t="inlineStr">
        <is>
          <t>Reno Infant Sweatshirt</t>
        </is>
      </c>
      <c r="D3517" s="0" t="inlineStr">
        <is>
          <t>'107243</t>
        </is>
      </c>
      <c r="E3517" s="0" t="inlineStr">
        <is>
          <t>ISU RENO:107243C-6-9M</t>
        </is>
      </c>
      <c r="F3517" s="0" t="inlineStr">
        <is>
          <t>'800107243030</t>
        </is>
      </c>
      <c r="G3517" s="0" t="inlineStr">
        <is>
          <t>INFANT</t>
        </is>
      </c>
      <c r="H3517" s="0" t="inlineStr">
        <is>
          <t>6-9M</t>
        </is>
      </c>
      <c r="I3517" s="0">
        <v>24.99</v>
      </c>
      <c r="J3517" s="0">
        <v>49</v>
      </c>
    </row>
    <row r="3518" spans="1:10" customHeight="0">
      <c r="A3518" s="0">
        <f>HYPERLINK("https://dl.dropboxusercontent.com/scl/fi/9jw86rltiak8dh6o76l1k/107243f.jpg?rlkey=y6k84o1py6d395ptsu547o3y7&amp;dl=0","Click to download Image")</f>
      </c>
      <c r="B3518" s="0">
        <f>HYPERLINK("https://dl.dropboxusercontent.com/scl/fi/1qt3dbte45cazxkdu0btt/graphic-update22022-infant.jpg?rlkey=rhe7fp50xgcjllpgtta1r9oe1&amp;dl=0","Click to download SizeChart")</f>
      </c>
      <c r="C3518" s="0" t="inlineStr">
        <is>
          <t>Reno Infant Sweatshirt</t>
        </is>
      </c>
      <c r="D3518" s="0" t="inlineStr">
        <is>
          <t>'107243</t>
        </is>
      </c>
      <c r="E3518" s="0" t="inlineStr">
        <is>
          <t>ISU RENO:107243F-12M</t>
        </is>
      </c>
      <c r="F3518" s="0" t="inlineStr">
        <is>
          <t>'800107243047</t>
        </is>
      </c>
      <c r="G3518" s="0" t="inlineStr">
        <is>
          <t>INFANT</t>
        </is>
      </c>
      <c r="H3518" s="0" t="inlineStr">
        <is>
          <t>12M</t>
        </is>
      </c>
      <c r="I3518" s="0">
        <v>24.99</v>
      </c>
      <c r="J3518" s="0">
        <v>50</v>
      </c>
    </row>
    <row r="3519" spans="1:10" customHeight="0">
      <c r="A3519" s="0">
        <f>HYPERLINK("https://dl.dropboxusercontent.com/scl/fi/qrga72nwc9tze54wmd6ke/110708af.jpg?rlkey=rxzuyawypptm53xvfri036tse&amp;dl=0","Click to download Image")</f>
      </c>
      <c r="B3519" s="0">
        <f>HYPERLINK("https://dl.dropboxusercontent.com/scl/fi/tj1qzdghqq5xs7h5jsprz/womens-hoodie-and-sweatshirt-size-chartsrome.jpg?rlkey=m1vntprjnywbr17u5wq354nw4&amp;dl=0","Click to download SizeChart")</f>
      </c>
      <c r="C3519" s="0" t="inlineStr">
        <is>
          <t>Rome Women's Lightweight Hoodie</t>
        </is>
      </c>
      <c r="D3519" s="0" t="inlineStr">
        <is>
          <t>'110708</t>
        </is>
      </c>
      <c r="E3519" s="0" t="inlineStr">
        <is>
          <t>ISU ROME:110708A-S</t>
        </is>
      </c>
      <c r="F3519" s="0" t="inlineStr">
        <is>
          <t>'801110708042</t>
        </is>
      </c>
      <c r="G3519" s="0" t="inlineStr">
        <is>
          <t>WOMENS</t>
        </is>
      </c>
      <c r="H3519" s="0" t="inlineStr">
        <is>
          <t>S</t>
        </is>
      </c>
      <c r="I3519" s="0">
        <v>42.99</v>
      </c>
      <c r="J3519" s="0">
        <v>0</v>
      </c>
    </row>
    <row r="3520" spans="1:10" customHeight="0">
      <c r="A3520" s="0">
        <f>HYPERLINK("https://dl.dropboxusercontent.com/scl/fi/qrga72nwc9tze54wmd6ke/110708af.jpg?rlkey=rxzuyawypptm53xvfri036tse&amp;dl=0","Click to download Image")</f>
      </c>
      <c r="B3520" s="0">
        <f>HYPERLINK("https://dl.dropboxusercontent.com/scl/fi/tj1qzdghqq5xs7h5jsprz/womens-hoodie-and-sweatshirt-size-chartsrome.jpg?rlkey=m1vntprjnywbr17u5wq354nw4&amp;dl=0","Click to download SizeChart")</f>
      </c>
      <c r="C3520" s="0" t="inlineStr">
        <is>
          <t>Rome Women's Lightweight Hoodie</t>
        </is>
      </c>
      <c r="D3520" s="0" t="inlineStr">
        <is>
          <t>'110708</t>
        </is>
      </c>
      <c r="E3520" s="0" t="inlineStr">
        <is>
          <t>ISU ROME:110708B-M</t>
        </is>
      </c>
      <c r="F3520" s="0" t="inlineStr">
        <is>
          <t>'801110708059</t>
        </is>
      </c>
      <c r="G3520" s="0" t="inlineStr">
        <is>
          <t>WOMENS</t>
        </is>
      </c>
      <c r="H3520" s="0" t="inlineStr">
        <is>
          <t>M</t>
        </is>
      </c>
      <c r="I3520" s="0">
        <v>42.99</v>
      </c>
      <c r="J3520" s="0">
        <v>9</v>
      </c>
    </row>
    <row r="3521" spans="1:10" customHeight="0">
      <c r="A3521" s="0">
        <f>HYPERLINK("https://dl.dropboxusercontent.com/scl/fi/qrga72nwc9tze54wmd6ke/110708af.jpg?rlkey=rxzuyawypptm53xvfri036tse&amp;dl=0","Click to download Image")</f>
      </c>
      <c r="B3521" s="0">
        <f>HYPERLINK("https://dl.dropboxusercontent.com/scl/fi/tj1qzdghqq5xs7h5jsprz/womens-hoodie-and-sweatshirt-size-chartsrome.jpg?rlkey=m1vntprjnywbr17u5wq354nw4&amp;dl=0","Click to download SizeChart")</f>
      </c>
      <c r="C3521" s="0" t="inlineStr">
        <is>
          <t>Rome Women's Lightweight Hoodie</t>
        </is>
      </c>
      <c r="D3521" s="0" t="inlineStr">
        <is>
          <t>'110708</t>
        </is>
      </c>
      <c r="E3521" s="0" t="inlineStr">
        <is>
          <t>ISU ROME:110708C-L</t>
        </is>
      </c>
      <c r="F3521" s="0" t="inlineStr">
        <is>
          <t>'801110708066</t>
        </is>
      </c>
      <c r="G3521" s="0" t="inlineStr">
        <is>
          <t>WOMENS</t>
        </is>
      </c>
      <c r="H3521" s="0" t="inlineStr">
        <is>
          <t>L</t>
        </is>
      </c>
      <c r="I3521" s="0">
        <v>42.99</v>
      </c>
      <c r="J3521" s="0">
        <v>4</v>
      </c>
    </row>
    <row r="3522" spans="1:10" customHeight="0">
      <c r="A3522" s="0">
        <f>HYPERLINK("https://dl.dropboxusercontent.com/scl/fi/qrga72nwc9tze54wmd6ke/110708af.jpg?rlkey=rxzuyawypptm53xvfri036tse&amp;dl=0","Click to download Image")</f>
      </c>
      <c r="B3522" s="0">
        <f>HYPERLINK("https://dl.dropboxusercontent.com/scl/fi/tj1qzdghqq5xs7h5jsprz/womens-hoodie-and-sweatshirt-size-chartsrome.jpg?rlkey=m1vntprjnywbr17u5wq354nw4&amp;dl=0","Click to download SizeChart")</f>
      </c>
      <c r="C3522" s="0" t="inlineStr">
        <is>
          <t>Rome Women's Lightweight Hoodie</t>
        </is>
      </c>
      <c r="D3522" s="0" t="inlineStr">
        <is>
          <t>'110708</t>
        </is>
      </c>
      <c r="E3522" s="0" t="inlineStr">
        <is>
          <t>ISU ROME:110708D-XL</t>
        </is>
      </c>
      <c r="F3522" s="0" t="inlineStr">
        <is>
          <t>'801110708073</t>
        </is>
      </c>
      <c r="G3522" s="0" t="inlineStr">
        <is>
          <t>WOMENS</t>
        </is>
      </c>
      <c r="H3522" s="0" t="inlineStr">
        <is>
          <t>XL</t>
        </is>
      </c>
      <c r="I3522" s="0">
        <v>42.99</v>
      </c>
      <c r="J3522" s="0">
        <v>0</v>
      </c>
    </row>
    <row r="3523" spans="1:10" customHeight="0">
      <c r="A3523" s="0">
        <f>HYPERLINK("https://dl.dropboxusercontent.com/scl/fi/qrga72nwc9tze54wmd6ke/110708af.jpg?rlkey=rxzuyawypptm53xvfri036tse&amp;dl=0","Click to download Image")</f>
      </c>
      <c r="B3523" s="0">
        <f>HYPERLINK("https://dl.dropboxusercontent.com/scl/fi/tj1qzdghqq5xs7h5jsprz/womens-hoodie-and-sweatshirt-size-chartsrome.jpg?rlkey=m1vntprjnywbr17u5wq354nw4&amp;dl=0","Click to download SizeChart")</f>
      </c>
      <c r="C3523" s="0" t="inlineStr">
        <is>
          <t>Rome Women's Lightweight Hoodie</t>
        </is>
      </c>
      <c r="D3523" s="0" t="inlineStr">
        <is>
          <t>'110708</t>
        </is>
      </c>
      <c r="E3523" s="0" t="inlineStr">
        <is>
          <t>ISU ROME:110708E-2XL</t>
        </is>
      </c>
      <c r="F3523" s="0" t="inlineStr">
        <is>
          <t>'801110708080</t>
        </is>
      </c>
      <c r="G3523" s="0" t="inlineStr">
        <is>
          <t>WOMENS</t>
        </is>
      </c>
      <c r="H3523" s="0" t="inlineStr">
        <is>
          <t>2XL</t>
        </is>
      </c>
      <c r="I3523" s="0">
        <v>44.99</v>
      </c>
      <c r="J3523" s="0">
        <v>0</v>
      </c>
    </row>
    <row r="3524" spans="1:10" customHeight="0">
      <c r="A3524" s="0">
        <f>HYPERLINK("https://dl.dropboxusercontent.com/scl/fi/qrga72nwc9tze54wmd6ke/110708af.jpg?rlkey=rxzuyawypptm53xvfri036tse&amp;dl=0","Click to download Image")</f>
      </c>
      <c r="B3524" s="0">
        <f>HYPERLINK("https://dl.dropboxusercontent.com/scl/fi/tj1qzdghqq5xs7h5jsprz/womens-hoodie-and-sweatshirt-size-chartsrome.jpg?rlkey=m1vntprjnywbr17u5wq354nw4&amp;dl=0","Click to download SizeChart")</f>
      </c>
      <c r="C3524" s="0" t="inlineStr">
        <is>
          <t>Rome Women's Lightweight Hoodie</t>
        </is>
      </c>
      <c r="D3524" s="0" t="inlineStr">
        <is>
          <t>'110708</t>
        </is>
      </c>
      <c r="E3524" s="0" t="inlineStr">
        <is>
          <t>ISU ROME:110708F-3XL</t>
        </is>
      </c>
      <c r="F3524" s="0" t="inlineStr">
        <is>
          <t>'801110708097</t>
        </is>
      </c>
      <c r="G3524" s="0" t="inlineStr">
        <is>
          <t>WOMENS</t>
        </is>
      </c>
      <c r="H3524" s="0" t="inlineStr">
        <is>
          <t>3XL</t>
        </is>
      </c>
      <c r="I3524" s="0">
        <v>44.99</v>
      </c>
      <c r="J3524" s="0">
        <v>0</v>
      </c>
    </row>
    <row r="3525" spans="1:10" customHeight="0">
      <c r="A3525" s="0">
        <f>HYPERLINK("https://dl.dropboxusercontent.com/scl/fi/qrga72nwc9tze54wmd6ke/110708af.jpg?rlkey=rxzuyawypptm53xvfri036tse&amp;dl=0","Click to download Image")</f>
      </c>
      <c r="B3525" s="0">
        <f>HYPERLINK("https://dl.dropboxusercontent.com/scl/fi/tj1qzdghqq5xs7h5jsprz/womens-hoodie-and-sweatshirt-size-chartsrome.jpg?rlkey=m1vntprjnywbr17u5wq354nw4&amp;dl=0","Click to download SizeChart")</f>
      </c>
      <c r="C3525" s="0" t="inlineStr">
        <is>
          <t>Rome Women's Lightweight Hoodie</t>
        </is>
      </c>
      <c r="D3525" s="0" t="inlineStr">
        <is>
          <t>'110708</t>
        </is>
      </c>
      <c r="E3525" s="0" t="inlineStr">
        <is>
          <t>ISU ROME 12 PACK:110708Z-12PK</t>
        </is>
      </c>
      <c r="F3525" s="0" t="inlineStr">
        <is>
          <t>'801110708998</t>
        </is>
      </c>
      <c r="G3525" s="0" t="inlineStr">
        <is>
          <t>WOMENS</t>
        </is>
      </c>
      <c r="H3525" s="0" t="inlineStr">
        <is>
          <t>12 PACK</t>
        </is>
      </c>
      <c r="I3525" s="0">
        <v>491.88</v>
      </c>
      <c r="J3525" s="0">
        <v>0</v>
      </c>
    </row>
    <row r="3526" spans="1:10" customHeight="0">
      <c r="A3526" s="0">
        <f>HYPERLINK("https://dl.dropboxusercontent.com/scl/fi/m56o3nmva3fcxvlanjrkx/editdsc9944.jpg?rlkey=1vaxu2hx88pgakvk62pitw7z4&amp;dl=0","Click to download Image")</f>
      </c>
      <c r="B3526" s="0">
        <f>HYPERLINK("https://dl.dropboxusercontent.com/scl/fi/tj1qzdghqq5xs7h5jsprz/womens-hoodie-and-sweatshirt-size-chartsrome.jpg?rlkey=m1vntprjnywbr17u5wq354nw4&amp;dl=0","Click to download SizeChart")</f>
      </c>
      <c r="C3526" s="0" t="inlineStr">
        <is>
          <t>Rome Women's Lightweight Hoodie</t>
        </is>
      </c>
      <c r="D3526" s="0" t="inlineStr">
        <is>
          <t>'110104</t>
        </is>
      </c>
      <c r="E3526" s="0" t="inlineStr">
        <is>
          <t>UNI ROME:110104A-S</t>
        </is>
      </c>
      <c r="F3526" s="0" t="inlineStr">
        <is>
          <t>'802110104049</t>
        </is>
      </c>
      <c r="G3526" s="0" t="inlineStr">
        <is>
          <t>WOMENS</t>
        </is>
      </c>
      <c r="H3526" s="0" t="inlineStr">
        <is>
          <t>S</t>
        </is>
      </c>
      <c r="I3526" s="0">
        <v>42.99</v>
      </c>
      <c r="J3526" s="0">
        <v>7</v>
      </c>
    </row>
    <row r="3527" spans="1:10" customHeight="0">
      <c r="A3527" s="0">
        <f>HYPERLINK("https://dl.dropboxusercontent.com/scl/fi/m56o3nmva3fcxvlanjrkx/editdsc9944.jpg?rlkey=1vaxu2hx88pgakvk62pitw7z4&amp;dl=0","Click to download Image")</f>
      </c>
      <c r="B3527" s="0">
        <f>HYPERLINK("https://dl.dropboxusercontent.com/scl/fi/tj1qzdghqq5xs7h5jsprz/womens-hoodie-and-sweatshirt-size-chartsrome.jpg?rlkey=m1vntprjnywbr17u5wq354nw4&amp;dl=0","Click to download SizeChart")</f>
      </c>
      <c r="C3527" s="0" t="inlineStr">
        <is>
          <t>Rome Women's Lightweight Hoodie</t>
        </is>
      </c>
      <c r="D3527" s="0" t="inlineStr">
        <is>
          <t>'110104</t>
        </is>
      </c>
      <c r="E3527" s="0" t="inlineStr">
        <is>
          <t>UNI ROME:110104B-M</t>
        </is>
      </c>
      <c r="F3527" s="0" t="inlineStr">
        <is>
          <t>'802110104056</t>
        </is>
      </c>
      <c r="G3527" s="0" t="inlineStr">
        <is>
          <t>WOMENS</t>
        </is>
      </c>
      <c r="H3527" s="0" t="inlineStr">
        <is>
          <t>M</t>
        </is>
      </c>
      <c r="I3527" s="0">
        <v>42.99</v>
      </c>
      <c r="J3527" s="0">
        <v>10</v>
      </c>
    </row>
    <row r="3528" spans="1:10" customHeight="0">
      <c r="A3528" s="0">
        <f>HYPERLINK("https://dl.dropboxusercontent.com/scl/fi/m56o3nmva3fcxvlanjrkx/editdsc9944.jpg?rlkey=1vaxu2hx88pgakvk62pitw7z4&amp;dl=0","Click to download Image")</f>
      </c>
      <c r="B3528" s="0">
        <f>HYPERLINK("https://dl.dropboxusercontent.com/scl/fi/tj1qzdghqq5xs7h5jsprz/womens-hoodie-and-sweatshirt-size-chartsrome.jpg?rlkey=m1vntprjnywbr17u5wq354nw4&amp;dl=0","Click to download SizeChart")</f>
      </c>
      <c r="C3528" s="0" t="inlineStr">
        <is>
          <t>Rome Women's Lightweight Hoodie</t>
        </is>
      </c>
      <c r="D3528" s="0" t="inlineStr">
        <is>
          <t>'110104</t>
        </is>
      </c>
      <c r="E3528" s="0" t="inlineStr">
        <is>
          <t>UNI ROME:110104C-L</t>
        </is>
      </c>
      <c r="F3528" s="0" t="inlineStr">
        <is>
          <t>'802110104063</t>
        </is>
      </c>
      <c r="G3528" s="0" t="inlineStr">
        <is>
          <t>WOMENS</t>
        </is>
      </c>
      <c r="H3528" s="0" t="inlineStr">
        <is>
          <t>L</t>
        </is>
      </c>
      <c r="I3528" s="0">
        <v>42.99</v>
      </c>
      <c r="J3528" s="0">
        <v>7</v>
      </c>
    </row>
    <row r="3529" spans="1:10" customHeight="0">
      <c r="A3529" s="0">
        <f>HYPERLINK("https://dl.dropboxusercontent.com/scl/fi/m56o3nmva3fcxvlanjrkx/editdsc9944.jpg?rlkey=1vaxu2hx88pgakvk62pitw7z4&amp;dl=0","Click to download Image")</f>
      </c>
      <c r="B3529" s="0">
        <f>HYPERLINK("https://dl.dropboxusercontent.com/scl/fi/tj1qzdghqq5xs7h5jsprz/womens-hoodie-and-sweatshirt-size-chartsrome.jpg?rlkey=m1vntprjnywbr17u5wq354nw4&amp;dl=0","Click to download SizeChart")</f>
      </c>
      <c r="C3529" s="0" t="inlineStr">
        <is>
          <t>Rome Women's Lightweight Hoodie</t>
        </is>
      </c>
      <c r="D3529" s="0" t="inlineStr">
        <is>
          <t>'110104</t>
        </is>
      </c>
      <c r="E3529" s="0" t="inlineStr">
        <is>
          <t>UNI ROME:110104D-XL</t>
        </is>
      </c>
      <c r="F3529" s="0" t="inlineStr">
        <is>
          <t>'802110104070</t>
        </is>
      </c>
      <c r="G3529" s="0" t="inlineStr">
        <is>
          <t>WOMENS</t>
        </is>
      </c>
      <c r="H3529" s="0" t="inlineStr">
        <is>
          <t>XL</t>
        </is>
      </c>
      <c r="I3529" s="0">
        <v>42.99</v>
      </c>
      <c r="J3529" s="0">
        <v>1</v>
      </c>
    </row>
    <row r="3530" spans="1:10" customHeight="0">
      <c r="A3530" s="0">
        <f>HYPERLINK("https://dl.dropboxusercontent.com/scl/fi/m56o3nmva3fcxvlanjrkx/editdsc9944.jpg?rlkey=1vaxu2hx88pgakvk62pitw7z4&amp;dl=0","Click to download Image")</f>
      </c>
      <c r="B3530" s="0">
        <f>HYPERLINK("https://dl.dropboxusercontent.com/scl/fi/tj1qzdghqq5xs7h5jsprz/womens-hoodie-and-sweatshirt-size-chartsrome.jpg?rlkey=m1vntprjnywbr17u5wq354nw4&amp;dl=0","Click to download SizeChart")</f>
      </c>
      <c r="C3530" s="0" t="inlineStr">
        <is>
          <t>Rome Women's Lightweight Hoodie</t>
        </is>
      </c>
      <c r="D3530" s="0" t="inlineStr">
        <is>
          <t>'110104</t>
        </is>
      </c>
      <c r="E3530" s="0" t="inlineStr">
        <is>
          <t>UNI ROME:110104E-2XL</t>
        </is>
      </c>
      <c r="F3530" s="0" t="inlineStr">
        <is>
          <t>'802110104087</t>
        </is>
      </c>
      <c r="G3530" s="0" t="inlineStr">
        <is>
          <t>WOMENS</t>
        </is>
      </c>
      <c r="H3530" s="0" t="inlineStr">
        <is>
          <t>2XL</t>
        </is>
      </c>
      <c r="I3530" s="0">
        <v>44.99</v>
      </c>
      <c r="J3530" s="0">
        <v>3</v>
      </c>
    </row>
    <row r="3531" spans="1:10" customHeight="0">
      <c r="A3531" s="0">
        <f>HYPERLINK("https://dl.dropboxusercontent.com/scl/fi/m56o3nmva3fcxvlanjrkx/editdsc9944.jpg?rlkey=1vaxu2hx88pgakvk62pitw7z4&amp;dl=0","Click to download Image")</f>
      </c>
      <c r="B3531" s="0">
        <f>HYPERLINK("https://dl.dropboxusercontent.com/scl/fi/tj1qzdghqq5xs7h5jsprz/womens-hoodie-and-sweatshirt-size-chartsrome.jpg?rlkey=m1vntprjnywbr17u5wq354nw4&amp;dl=0","Click to download SizeChart")</f>
      </c>
      <c r="C3531" s="0" t="inlineStr">
        <is>
          <t>Rome Women's Lightweight Hoodie</t>
        </is>
      </c>
      <c r="D3531" s="0" t="inlineStr">
        <is>
          <t>'110104</t>
        </is>
      </c>
      <c r="E3531" s="0" t="inlineStr">
        <is>
          <t>UNI ROME:110104F-3XL</t>
        </is>
      </c>
      <c r="F3531" s="0" t="inlineStr">
        <is>
          <t>'802110104094</t>
        </is>
      </c>
      <c r="G3531" s="0" t="inlineStr">
        <is>
          <t>WOMENS</t>
        </is>
      </c>
      <c r="H3531" s="0" t="inlineStr">
        <is>
          <t>3XL</t>
        </is>
      </c>
      <c r="I3531" s="0">
        <v>44.99</v>
      </c>
      <c r="J3531" s="0">
        <v>0</v>
      </c>
    </row>
    <row r="3532" spans="1:10" customHeight="0">
      <c r="A3532" s="0">
        <f>HYPERLINK("https://dl.dropboxusercontent.com/scl/fi/m56o3nmva3fcxvlanjrkx/editdsc9944.jpg?rlkey=1vaxu2hx88pgakvk62pitw7z4&amp;dl=0","Click to download Image")</f>
      </c>
      <c r="B3532" s="0">
        <f>HYPERLINK("https://dl.dropboxusercontent.com/scl/fi/tj1qzdghqq5xs7h5jsprz/womens-hoodie-and-sweatshirt-size-chartsrome.jpg?rlkey=m1vntprjnywbr17u5wq354nw4&amp;dl=0","Click to download SizeChart")</f>
      </c>
      <c r="C3532" s="0" t="inlineStr">
        <is>
          <t>Rome Women's Lightweight Hoodie</t>
        </is>
      </c>
      <c r="D3532" s="0" t="inlineStr">
        <is>
          <t>'110104</t>
        </is>
      </c>
      <c r="E3532" s="0" t="inlineStr">
        <is>
          <t>UNI ROME 12 PACK:110104Z-12PK</t>
        </is>
      </c>
      <c r="F3532" s="0" t="inlineStr">
        <is>
          <t>'802110104995</t>
        </is>
      </c>
      <c r="G3532" s="0" t="inlineStr">
        <is>
          <t>WOMENS</t>
        </is>
      </c>
      <c r="H3532" s="0" t="inlineStr">
        <is>
          <t>12 PACK</t>
        </is>
      </c>
      <c r="I3532" s="0">
        <v>491.88</v>
      </c>
      <c r="J3532" s="0">
        <v>0</v>
      </c>
    </row>
    <row r="3533" spans="1:10" customHeight="0">
      <c r="A3533" s="0">
        <f>HYPERLINK("https://dl.dropboxusercontent.com/scl/fi/k3a0r46orde4grgl1xgso/116530af96068.png?rlkey=o4nylik5tggm8ilm5u53x5hvi&amp;dl=0","Click to download Image")</f>
      </c>
      <c r="C3533" s="0" t="inlineStr">
        <is>
          <t>Ollie Heather Backpack</t>
        </is>
      </c>
      <c r="D3533" s="0" t="inlineStr">
        <is>
          <t>'116530</t>
        </is>
      </c>
      <c r="E3533" s="0" t="inlineStr">
        <is>
          <t>IOWA OLLIE BACKPACK GREY:116530</t>
        </is>
      </c>
      <c r="F3533" s="0" t="inlineStr">
        <is>
          <t>'900116530012</t>
        </is>
      </c>
      <c r="H3533" s="0" t="inlineStr">
        <is>
          <t>ONE SIZE</t>
        </is>
      </c>
      <c r="I3533" s="0">
        <v>49.99</v>
      </c>
      <c r="J3533" s="0">
        <v>57</v>
      </c>
    </row>
    <row r="3534" spans="1:10" customHeight="0">
      <c r="A3534" s="0">
        <f>HYPERLINK("https://dl.dropboxusercontent.com/scl/fi/p922x5kpzp8sfktpoa3xq/116235af75199.png?rlkey=0qiqv35gkibxhsm7xnavbmfwm&amp;dl=0","Click to download Image")</f>
      </c>
      <c r="C3534" s="0" t="inlineStr">
        <is>
          <t>Bolt Roll Up Tote</t>
        </is>
      </c>
      <c r="D3534" s="0" t="inlineStr">
        <is>
          <t>'116235</t>
        </is>
      </c>
      <c r="E3534" s="0" t="inlineStr">
        <is>
          <t>IOWA BOLT TOTE:116235</t>
        </is>
      </c>
      <c r="F3534" s="0" t="inlineStr">
        <is>
          <t>'900116235016</t>
        </is>
      </c>
      <c r="H3534" s="0" t="inlineStr">
        <is>
          <t>ONE SIZE</t>
        </is>
      </c>
      <c r="I3534" s="0">
        <v>49.99</v>
      </c>
      <c r="J3534" s="0">
        <v>40</v>
      </c>
    </row>
    <row r="3535" spans="1:10" customHeight="0">
      <c r="A3535" s="0">
        <f>HYPERLINK("https://dl.dropboxusercontent.com/scl/fi/4lqrwt8z7kjyw3kjwjusv/116530af98278.png?rlkey=br00p9groo2fdohqsnop62xct&amp;dl=0","Click to download Image")</f>
      </c>
      <c r="C3535" s="0" t="inlineStr">
        <is>
          <t>Eden Backpack</t>
        </is>
      </c>
      <c r="D3535" s="0" t="inlineStr">
        <is>
          <t>'116424</t>
        </is>
      </c>
      <c r="E3535" s="0" t="inlineStr">
        <is>
          <t>IOWA EDEN BACKPACK GREY:116424</t>
        </is>
      </c>
      <c r="F3535" s="0" t="inlineStr">
        <is>
          <t>'900116424014</t>
        </is>
      </c>
      <c r="H3535" s="0" t="inlineStr">
        <is>
          <t>ONE SIZE</t>
        </is>
      </c>
      <c r="I3535" s="0">
        <v>49.99</v>
      </c>
      <c r="J3535" s="0">
        <v>47</v>
      </c>
    </row>
    <row r="3536" spans="1:10" customHeight="0">
      <c r="A3536" s="0">
        <f>HYPERLINK("https://dl.dropboxusercontent.com/scl/fi/pznsgazoagqjfir302ule/120925f52437.jpg?rlkey=v24ykbpy812krqatg25ubrhju&amp;dl=0","Click to download Image")</f>
      </c>
      <c r="B3536" s="0">
        <f>HYPERLINK("https://dl.dropboxusercontent.com/scl/fi/0lvzw9nedrw6mql4mkaav/1january-20206infant.jpg?rlkey=g8p4b18c1w0fxex80ffca8hak&amp;dl=0","Click to download SizeChart")</f>
      </c>
      <c r="C3536" s="0" t="inlineStr">
        <is>
          <t>Kinzie Infant Romper</t>
        </is>
      </c>
      <c r="D3536" s="0" t="inlineStr">
        <is>
          <t>'120925</t>
        </is>
      </c>
      <c r="E3536" s="0" t="inlineStr">
        <is>
          <t>UNI KINZIE I PURPLE:120925A-0-3M</t>
        </is>
      </c>
      <c r="F3536" s="0" t="inlineStr">
        <is>
          <t>'802120925009</t>
        </is>
      </c>
      <c r="G3536" s="0" t="inlineStr">
        <is>
          <t>INFANT</t>
        </is>
      </c>
      <c r="H3536" s="0" t="inlineStr">
        <is>
          <t>0-3M</t>
        </is>
      </c>
      <c r="I3536" s="0">
        <v>29.99</v>
      </c>
      <c r="J3536" s="0">
        <v>10</v>
      </c>
    </row>
    <row r="3537" spans="1:10" customHeight="0">
      <c r="A3537" s="0">
        <f>HYPERLINK("https://dl.dropboxusercontent.com/scl/fi/pznsgazoagqjfir302ule/120925f52437.jpg?rlkey=v24ykbpy812krqatg25ubrhju&amp;dl=0","Click to download Image")</f>
      </c>
      <c r="B3537" s="0">
        <f>HYPERLINK("https://dl.dropboxusercontent.com/scl/fi/0lvzw9nedrw6mql4mkaav/1january-20206infant.jpg?rlkey=g8p4b18c1w0fxex80ffca8hak&amp;dl=0","Click to download SizeChart")</f>
      </c>
      <c r="C3537" s="0" t="inlineStr">
        <is>
          <t>Kinzie Infant Romper</t>
        </is>
      </c>
      <c r="D3537" s="0" t="inlineStr">
        <is>
          <t>'120925</t>
        </is>
      </c>
      <c r="E3537" s="0" t="inlineStr">
        <is>
          <t>UNI KINZIE I PURPLE:120925B-3-6M</t>
        </is>
      </c>
      <c r="F3537" s="0" t="inlineStr">
        <is>
          <t>'802120925016</t>
        </is>
      </c>
      <c r="G3537" s="0" t="inlineStr">
        <is>
          <t>INFANT</t>
        </is>
      </c>
      <c r="H3537" s="0" t="inlineStr">
        <is>
          <t>3-6M</t>
        </is>
      </c>
      <c r="I3537" s="0">
        <v>29.99</v>
      </c>
      <c r="J3537" s="0">
        <v>8</v>
      </c>
    </row>
    <row r="3538" spans="1:10" customHeight="0">
      <c r="A3538" s="0">
        <f>HYPERLINK("https://dl.dropboxusercontent.com/scl/fi/pznsgazoagqjfir302ule/120925f52437.jpg?rlkey=v24ykbpy812krqatg25ubrhju&amp;dl=0","Click to download Image")</f>
      </c>
      <c r="B3538" s="0">
        <f>HYPERLINK("https://dl.dropboxusercontent.com/scl/fi/0lvzw9nedrw6mql4mkaav/1january-20206infant.jpg?rlkey=g8p4b18c1w0fxex80ffca8hak&amp;dl=0","Click to download SizeChart")</f>
      </c>
      <c r="C3538" s="0" t="inlineStr">
        <is>
          <t>Kinzie Infant Romper</t>
        </is>
      </c>
      <c r="D3538" s="0" t="inlineStr">
        <is>
          <t>'120925</t>
        </is>
      </c>
      <c r="E3538" s="0" t="inlineStr">
        <is>
          <t>UNI KINZIE I PURPLE:120925C-6-9M</t>
        </is>
      </c>
      <c r="F3538" s="0" t="inlineStr">
        <is>
          <t>'802120925023</t>
        </is>
      </c>
      <c r="G3538" s="0" t="inlineStr">
        <is>
          <t>INFANT</t>
        </is>
      </c>
      <c r="H3538" s="0" t="inlineStr">
        <is>
          <t>6-9M</t>
        </is>
      </c>
      <c r="I3538" s="0">
        <v>29.99</v>
      </c>
      <c r="J3538" s="0">
        <v>9</v>
      </c>
    </row>
    <row r="3539" spans="1:10" customHeight="0">
      <c r="A3539" s="0">
        <f>HYPERLINK("https://dl.dropboxusercontent.com/scl/fi/pznsgazoagqjfir302ule/120925f52437.jpg?rlkey=v24ykbpy812krqatg25ubrhju&amp;dl=0","Click to download Image")</f>
      </c>
      <c r="B3539" s="0">
        <f>HYPERLINK("https://dl.dropboxusercontent.com/scl/fi/0lvzw9nedrw6mql4mkaav/1january-20206infant.jpg?rlkey=g8p4b18c1w0fxex80ffca8hak&amp;dl=0","Click to download SizeChart")</f>
      </c>
      <c r="C3539" s="0" t="inlineStr">
        <is>
          <t>Kinzie Infant Romper</t>
        </is>
      </c>
      <c r="D3539" s="0" t="inlineStr">
        <is>
          <t>'120925</t>
        </is>
      </c>
      <c r="E3539" s="0" t="inlineStr">
        <is>
          <t>UNI KINZIE I PURPLE:120925F-12M</t>
        </is>
      </c>
      <c r="F3539" s="0" t="inlineStr">
        <is>
          <t>'802120925030</t>
        </is>
      </c>
      <c r="G3539" s="0" t="inlineStr">
        <is>
          <t>INFANT</t>
        </is>
      </c>
      <c r="H3539" s="0" t="inlineStr">
        <is>
          <t>12M</t>
        </is>
      </c>
      <c r="I3539" s="0">
        <v>29.99</v>
      </c>
      <c r="J3539" s="0">
        <v>9</v>
      </c>
    </row>
    <row r="3540" spans="1:10" customHeight="0">
      <c r="A3540" s="0">
        <f>HYPERLINK("https://dl.dropboxusercontent.com/scl/fi/pznsgazoagqjfir302ule/120925f52437.jpg?rlkey=v24ykbpy812krqatg25ubrhju&amp;dl=0","Click to download Image")</f>
      </c>
      <c r="B3540" s="0">
        <f>HYPERLINK("https://dl.dropboxusercontent.com/scl/fi/0lvzw9nedrw6mql4mkaav/1january-20206infant.jpg?rlkey=g8p4b18c1w0fxex80ffca8hak&amp;dl=0","Click to download SizeChart")</f>
      </c>
      <c r="C3540" s="0" t="inlineStr">
        <is>
          <t>Kinzie Infant Romper</t>
        </is>
      </c>
      <c r="D3540" s="0" t="inlineStr">
        <is>
          <t>'120925</t>
        </is>
      </c>
      <c r="E3540" s="0" t="inlineStr">
        <is>
          <t>UNI KINZIE I PURPLE 12 PACK:120925Z-12PK</t>
        </is>
      </c>
      <c r="F3540" s="0" t="inlineStr">
        <is>
          <t>'802120925993</t>
        </is>
      </c>
      <c r="G3540" s="0" t="inlineStr">
        <is>
          <t>INFANT</t>
        </is>
      </c>
      <c r="H3540" s="0" t="inlineStr">
        <is>
          <t>12 PACK</t>
        </is>
      </c>
      <c r="I3540" s="0">
        <v>311.76</v>
      </c>
      <c r="J3540" s="0">
        <v>0</v>
      </c>
    </row>
    <row r="3541" spans="1:10" customHeight="0">
      <c r="A3541" s="0">
        <f>HYPERLINK("https://dl.dropboxusercontent.com/scl/fi/53vugo700ms7xlltrdfhj/corrinne-ia.jpg?rlkey=5tstqc87qdbfmbsarpillmjtu&amp;dl=0","Click to download Image")</f>
      </c>
      <c r="B3541" s="0">
        <f>HYPERLINK("https://dl.dropboxusercontent.com/scl/fi/o37z9v256gi3tulpdzv17/womens-size-chartscorrine.jpg?rlkey=94xmh82wrkdymgvqx3mm4puua&amp;dl=0","Click to download SizeChart")</f>
      </c>
      <c r="C3541" s="0" t="inlineStr">
        <is>
          <t>Corrine Women's Waffle Cardigan</t>
        </is>
      </c>
      <c r="D3541" s="0" t="inlineStr">
        <is>
          <t>'115491</t>
        </is>
      </c>
      <c r="E3541" s="0" t="inlineStr">
        <is>
          <t>IOWA CORRINE W BLACK:115491A-S</t>
        </is>
      </c>
      <c r="F3541" s="0" t="inlineStr">
        <is>
          <t>'800115491041</t>
        </is>
      </c>
      <c r="G3541" s="0" t="inlineStr">
        <is>
          <t>WOMENS</t>
        </is>
      </c>
      <c r="H3541" s="0" t="inlineStr">
        <is>
          <t>S</t>
        </is>
      </c>
      <c r="I3541" s="0">
        <v>49.99</v>
      </c>
      <c r="J3541" s="0">
        <v>5</v>
      </c>
    </row>
    <row r="3542" spans="1:10" customHeight="0">
      <c r="A3542" s="0">
        <f>HYPERLINK("https://dl.dropboxusercontent.com/scl/fi/53vugo700ms7xlltrdfhj/corrinne-ia.jpg?rlkey=5tstqc87qdbfmbsarpillmjtu&amp;dl=0","Click to download Image")</f>
      </c>
      <c r="B3542" s="0">
        <f>HYPERLINK("https://dl.dropboxusercontent.com/scl/fi/o37z9v256gi3tulpdzv17/womens-size-chartscorrine.jpg?rlkey=94xmh82wrkdymgvqx3mm4puua&amp;dl=0","Click to download SizeChart")</f>
      </c>
      <c r="C3542" s="0" t="inlineStr">
        <is>
          <t>Corrine Women's Waffle Cardigan</t>
        </is>
      </c>
      <c r="D3542" s="0" t="inlineStr">
        <is>
          <t>'115491</t>
        </is>
      </c>
      <c r="E3542" s="0" t="inlineStr">
        <is>
          <t>IOWA CORRINE W BLACK:115491B-M</t>
        </is>
      </c>
      <c r="F3542" s="0" t="inlineStr">
        <is>
          <t>'800115491058</t>
        </is>
      </c>
      <c r="G3542" s="0" t="inlineStr">
        <is>
          <t>WOMENS</t>
        </is>
      </c>
      <c r="H3542" s="0" t="inlineStr">
        <is>
          <t>M</t>
        </is>
      </c>
      <c r="I3542" s="0">
        <v>49.99</v>
      </c>
      <c r="J3542" s="0">
        <v>12</v>
      </c>
    </row>
    <row r="3543" spans="1:10" customHeight="0">
      <c r="A3543" s="0">
        <f>HYPERLINK("https://dl.dropboxusercontent.com/scl/fi/53vugo700ms7xlltrdfhj/corrinne-ia.jpg?rlkey=5tstqc87qdbfmbsarpillmjtu&amp;dl=0","Click to download Image")</f>
      </c>
      <c r="B3543" s="0">
        <f>HYPERLINK("https://dl.dropboxusercontent.com/scl/fi/o37z9v256gi3tulpdzv17/womens-size-chartscorrine.jpg?rlkey=94xmh82wrkdymgvqx3mm4puua&amp;dl=0","Click to download SizeChart")</f>
      </c>
      <c r="C3543" s="0" t="inlineStr">
        <is>
          <t>Corrine Women's Waffle Cardigan</t>
        </is>
      </c>
      <c r="D3543" s="0" t="inlineStr">
        <is>
          <t>'115491</t>
        </is>
      </c>
      <c r="E3543" s="0" t="inlineStr">
        <is>
          <t>IOWA CORRINE W BLACK:115491C-L</t>
        </is>
      </c>
      <c r="F3543" s="0" t="inlineStr">
        <is>
          <t>'800115491065</t>
        </is>
      </c>
      <c r="G3543" s="0" t="inlineStr">
        <is>
          <t>WOMENS</t>
        </is>
      </c>
      <c r="H3543" s="0" t="inlineStr">
        <is>
          <t>L</t>
        </is>
      </c>
      <c r="I3543" s="0">
        <v>49.99</v>
      </c>
      <c r="J3543" s="0">
        <v>14</v>
      </c>
    </row>
    <row r="3544" spans="1:10" customHeight="0">
      <c r="A3544" s="0">
        <f>HYPERLINK("https://dl.dropboxusercontent.com/scl/fi/53vugo700ms7xlltrdfhj/corrinne-ia.jpg?rlkey=5tstqc87qdbfmbsarpillmjtu&amp;dl=0","Click to download Image")</f>
      </c>
      <c r="B3544" s="0">
        <f>HYPERLINK("https://dl.dropboxusercontent.com/scl/fi/o37z9v256gi3tulpdzv17/womens-size-chartscorrine.jpg?rlkey=94xmh82wrkdymgvqx3mm4puua&amp;dl=0","Click to download SizeChart")</f>
      </c>
      <c r="C3544" s="0" t="inlineStr">
        <is>
          <t>Corrine Women's Waffle Cardigan</t>
        </is>
      </c>
      <c r="D3544" s="0" t="inlineStr">
        <is>
          <t>'115491</t>
        </is>
      </c>
      <c r="E3544" s="0" t="inlineStr">
        <is>
          <t>IOWA CORRINE W BLACK:115491D-XL</t>
        </is>
      </c>
      <c r="F3544" s="0" t="inlineStr">
        <is>
          <t>'800115491072</t>
        </is>
      </c>
      <c r="G3544" s="0" t="inlineStr">
        <is>
          <t>WOMENS</t>
        </is>
      </c>
      <c r="H3544" s="0" t="inlineStr">
        <is>
          <t>XL</t>
        </is>
      </c>
      <c r="I3544" s="0">
        <v>49.99</v>
      </c>
      <c r="J3544" s="0">
        <v>4</v>
      </c>
    </row>
    <row r="3545" spans="1:10" customHeight="0">
      <c r="A3545" s="0">
        <f>HYPERLINK("https://dl.dropboxusercontent.com/scl/fi/53vugo700ms7xlltrdfhj/corrinne-ia.jpg?rlkey=5tstqc87qdbfmbsarpillmjtu&amp;dl=0","Click to download Image")</f>
      </c>
      <c r="B3545" s="0">
        <f>HYPERLINK("https://dl.dropboxusercontent.com/scl/fi/o37z9v256gi3tulpdzv17/womens-size-chartscorrine.jpg?rlkey=94xmh82wrkdymgvqx3mm4puua&amp;dl=0","Click to download SizeChart")</f>
      </c>
      <c r="C3545" s="0" t="inlineStr">
        <is>
          <t>Corrine Women's Waffle Cardigan</t>
        </is>
      </c>
      <c r="D3545" s="0" t="inlineStr">
        <is>
          <t>'115491</t>
        </is>
      </c>
      <c r="E3545" s="0" t="inlineStr">
        <is>
          <t>IOWA CORRINE W BLACK:115491E-2XL</t>
        </is>
      </c>
      <c r="F3545" s="0" t="inlineStr">
        <is>
          <t>'800115491089</t>
        </is>
      </c>
      <c r="G3545" s="0" t="inlineStr">
        <is>
          <t>WOMENS</t>
        </is>
      </c>
      <c r="H3545" s="0" t="inlineStr">
        <is>
          <t>2XL</t>
        </is>
      </c>
      <c r="I3545" s="0">
        <v>51.99</v>
      </c>
      <c r="J3545" s="0">
        <v>0</v>
      </c>
    </row>
    <row r="3546" spans="1:10" customHeight="0">
      <c r="A3546" s="0">
        <f>HYPERLINK("https://dl.dropboxusercontent.com/scl/fi/53vugo700ms7xlltrdfhj/corrinne-ia.jpg?rlkey=5tstqc87qdbfmbsarpillmjtu&amp;dl=0","Click to download Image")</f>
      </c>
      <c r="B3546" s="0">
        <f>HYPERLINK("https://dl.dropboxusercontent.com/scl/fi/o37z9v256gi3tulpdzv17/womens-size-chartscorrine.jpg?rlkey=94xmh82wrkdymgvqx3mm4puua&amp;dl=0","Click to download SizeChart")</f>
      </c>
      <c r="C3546" s="0" t="inlineStr">
        <is>
          <t>Corrine Women's Waffle Cardigan</t>
        </is>
      </c>
      <c r="D3546" s="0" t="inlineStr">
        <is>
          <t>'115491</t>
        </is>
      </c>
      <c r="E3546" s="0" t="inlineStr">
        <is>
          <t>IOWA CORRINE W BLACK:115491F-3XL</t>
        </is>
      </c>
      <c r="F3546" s="0" t="inlineStr">
        <is>
          <t>'800115491096</t>
        </is>
      </c>
      <c r="G3546" s="0" t="inlineStr">
        <is>
          <t>WOMENS</t>
        </is>
      </c>
      <c r="H3546" s="0" t="inlineStr">
        <is>
          <t>3XL</t>
        </is>
      </c>
      <c r="I3546" s="0">
        <v>51.99</v>
      </c>
      <c r="J3546" s="0">
        <v>0</v>
      </c>
    </row>
    <row r="3547" spans="1:10" customHeight="0">
      <c r="A3547" s="0">
        <f>HYPERLINK("https://dl.dropboxusercontent.com/scl/fi/53vugo700ms7xlltrdfhj/corrinne-ia.jpg?rlkey=5tstqc87qdbfmbsarpillmjtu&amp;dl=0","Click to download Image")</f>
      </c>
      <c r="B3547" s="0">
        <f>HYPERLINK("https://dl.dropboxusercontent.com/scl/fi/o37z9v256gi3tulpdzv17/womens-size-chartscorrine.jpg?rlkey=94xmh82wrkdymgvqx3mm4puua&amp;dl=0","Click to download SizeChart")</f>
      </c>
      <c r="C3547" s="0" t="inlineStr">
        <is>
          <t>Corrine Women's Waffle Cardigan</t>
        </is>
      </c>
      <c r="D3547" s="0" t="inlineStr">
        <is>
          <t>'115491</t>
        </is>
      </c>
      <c r="E3547" s="0" t="inlineStr">
        <is>
          <t>IOWA CORRINE W BLACK 12 PACK:115491Z-12PK</t>
        </is>
      </c>
      <c r="F3547" s="0" t="inlineStr">
        <is>
          <t>'800115491997</t>
        </is>
      </c>
      <c r="G3547" s="0" t="inlineStr">
        <is>
          <t>WOMENS</t>
        </is>
      </c>
      <c r="H3547" s="0" t="inlineStr">
        <is>
          <t>12 PACK</t>
        </is>
      </c>
      <c r="I3547" s="0">
        <v>479.76</v>
      </c>
      <c r="J3547" s="0">
        <v>2</v>
      </c>
    </row>
    <row r="3548" spans="1:10" customHeight="0">
      <c r="A3548" s="0">
        <f>HYPERLINK("https://dl.dropboxusercontent.com/scl/fi/8a974aivcuax8pllzi9qz/121625f99270.jpg?rlkey=q5h6mzczffmsktyvh0jqhpd5v&amp;dl=0","Click to download Image")</f>
      </c>
      <c r="B3548" s="0">
        <f>HYPERLINK("https://dl.dropboxusercontent.com/scl/fi/3ivymomsvyw4v2fkbhppy/mens-t-shirt-size-chartsmack.jpg?rlkey=hwi66q5kwqejqr40pwyx6hpf5&amp;dl=0","Click to download SizeChart")</f>
      </c>
      <c r="C3548" s="0" t="inlineStr">
        <is>
          <t>Mack Men's Cotton Short Sleeve Shirt</t>
        </is>
      </c>
      <c r="D3548" s="0" t="inlineStr">
        <is>
          <t>'121625</t>
        </is>
      </c>
      <c r="E3548" s="0" t="inlineStr">
        <is>
          <t>UNI MACK M GY:121625A-S</t>
        </is>
      </c>
      <c r="F3548" s="0" t="inlineStr">
        <is>
          <t>'802121625045</t>
        </is>
      </c>
      <c r="G3548" s="0" t="inlineStr">
        <is>
          <t>MENS</t>
        </is>
      </c>
      <c r="H3548" s="0" t="inlineStr">
        <is>
          <t>S</t>
        </is>
      </c>
      <c r="I3548" s="0">
        <v>24.99</v>
      </c>
      <c r="J3548" s="0">
        <v>0</v>
      </c>
    </row>
    <row r="3549" spans="1:10" customHeight="0">
      <c r="A3549" s="0">
        <f>HYPERLINK("https://dl.dropboxusercontent.com/scl/fi/8a974aivcuax8pllzi9qz/121625f99270.jpg?rlkey=q5h6mzczffmsktyvh0jqhpd5v&amp;dl=0","Click to download Image")</f>
      </c>
      <c r="B3549" s="0">
        <f>HYPERLINK("https://dl.dropboxusercontent.com/scl/fi/3ivymomsvyw4v2fkbhppy/mens-t-shirt-size-chartsmack.jpg?rlkey=hwi66q5kwqejqr40pwyx6hpf5&amp;dl=0","Click to download SizeChart")</f>
      </c>
      <c r="C3549" s="0" t="inlineStr">
        <is>
          <t>Mack Men's Cotton Short Sleeve Shirt</t>
        </is>
      </c>
      <c r="D3549" s="0" t="inlineStr">
        <is>
          <t>'121625</t>
        </is>
      </c>
      <c r="E3549" s="0" t="inlineStr">
        <is>
          <t>UNI MACK M GY:121625B-M</t>
        </is>
      </c>
      <c r="F3549" s="0" t="inlineStr">
        <is>
          <t>'802121625052</t>
        </is>
      </c>
      <c r="G3549" s="0" t="inlineStr">
        <is>
          <t>MENS</t>
        </is>
      </c>
      <c r="H3549" s="0" t="inlineStr">
        <is>
          <t>M</t>
        </is>
      </c>
      <c r="I3549" s="0">
        <v>24.99</v>
      </c>
      <c r="J3549" s="0">
        <v>1</v>
      </c>
    </row>
    <row r="3550" spans="1:10" customHeight="0">
      <c r="A3550" s="0">
        <f>HYPERLINK("https://dl.dropboxusercontent.com/scl/fi/8a974aivcuax8pllzi9qz/121625f99270.jpg?rlkey=q5h6mzczffmsktyvh0jqhpd5v&amp;dl=0","Click to download Image")</f>
      </c>
      <c r="B3550" s="0">
        <f>HYPERLINK("https://dl.dropboxusercontent.com/scl/fi/3ivymomsvyw4v2fkbhppy/mens-t-shirt-size-chartsmack.jpg?rlkey=hwi66q5kwqejqr40pwyx6hpf5&amp;dl=0","Click to download SizeChart")</f>
      </c>
      <c r="C3550" s="0" t="inlineStr">
        <is>
          <t>Mack Men's Cotton Short Sleeve Shirt</t>
        </is>
      </c>
      <c r="D3550" s="0" t="inlineStr">
        <is>
          <t>'121625</t>
        </is>
      </c>
      <c r="E3550" s="0" t="inlineStr">
        <is>
          <t>UNI MACK M GY:121625C-L</t>
        </is>
      </c>
      <c r="F3550" s="0" t="inlineStr">
        <is>
          <t>'802121625069</t>
        </is>
      </c>
      <c r="G3550" s="0" t="inlineStr">
        <is>
          <t>MENS</t>
        </is>
      </c>
      <c r="H3550" s="0" t="inlineStr">
        <is>
          <t>L</t>
        </is>
      </c>
      <c r="I3550" s="0">
        <v>24.99</v>
      </c>
      <c r="J3550" s="0">
        <v>0</v>
      </c>
    </row>
    <row r="3551" spans="1:10" customHeight="0">
      <c r="A3551" s="0">
        <f>HYPERLINK("https://dl.dropboxusercontent.com/scl/fi/8a974aivcuax8pllzi9qz/121625f99270.jpg?rlkey=q5h6mzczffmsktyvh0jqhpd5v&amp;dl=0","Click to download Image")</f>
      </c>
      <c r="B3551" s="0">
        <f>HYPERLINK("https://dl.dropboxusercontent.com/scl/fi/3ivymomsvyw4v2fkbhppy/mens-t-shirt-size-chartsmack.jpg?rlkey=hwi66q5kwqejqr40pwyx6hpf5&amp;dl=0","Click to download SizeChart")</f>
      </c>
      <c r="C3551" s="0" t="inlineStr">
        <is>
          <t>Mack Men's Cotton Short Sleeve Shirt</t>
        </is>
      </c>
      <c r="D3551" s="0" t="inlineStr">
        <is>
          <t>'121625</t>
        </is>
      </c>
      <c r="E3551" s="0" t="inlineStr">
        <is>
          <t>UNI MACK M GY:121625D-XL</t>
        </is>
      </c>
      <c r="F3551" s="0" t="inlineStr">
        <is>
          <t>'802121625076</t>
        </is>
      </c>
      <c r="G3551" s="0" t="inlineStr">
        <is>
          <t>MENS</t>
        </is>
      </c>
      <c r="H3551" s="0" t="inlineStr">
        <is>
          <t>XL</t>
        </is>
      </c>
      <c r="I3551" s="0">
        <v>24.99</v>
      </c>
      <c r="J3551" s="0">
        <v>4</v>
      </c>
    </row>
    <row r="3552" spans="1:10" customHeight="0">
      <c r="A3552" s="0">
        <f>HYPERLINK("https://dl.dropboxusercontent.com/scl/fi/8a974aivcuax8pllzi9qz/121625f99270.jpg?rlkey=q5h6mzczffmsktyvh0jqhpd5v&amp;dl=0","Click to download Image")</f>
      </c>
      <c r="B3552" s="0">
        <f>HYPERLINK("https://dl.dropboxusercontent.com/scl/fi/3ivymomsvyw4v2fkbhppy/mens-t-shirt-size-chartsmack.jpg?rlkey=hwi66q5kwqejqr40pwyx6hpf5&amp;dl=0","Click to download SizeChart")</f>
      </c>
      <c r="C3552" s="0" t="inlineStr">
        <is>
          <t>Mack Men's Cotton Short Sleeve Shirt</t>
        </is>
      </c>
      <c r="D3552" s="0" t="inlineStr">
        <is>
          <t>'121625</t>
        </is>
      </c>
      <c r="E3552" s="0" t="inlineStr">
        <is>
          <t>UNI MACK M GY:121625E-2XL</t>
        </is>
      </c>
      <c r="F3552" s="0" t="inlineStr">
        <is>
          <t>'802121625083</t>
        </is>
      </c>
      <c r="G3552" s="0" t="inlineStr">
        <is>
          <t>MENS</t>
        </is>
      </c>
      <c r="H3552" s="0" t="inlineStr">
        <is>
          <t>2XL</t>
        </is>
      </c>
      <c r="I3552" s="0">
        <v>26.99</v>
      </c>
      <c r="J3552" s="0">
        <v>3</v>
      </c>
    </row>
    <row r="3553" spans="1:10" customHeight="0">
      <c r="A3553" s="0">
        <f>HYPERLINK("https://dl.dropboxusercontent.com/scl/fi/8a974aivcuax8pllzi9qz/121625f99270.jpg?rlkey=q5h6mzczffmsktyvh0jqhpd5v&amp;dl=0","Click to download Image")</f>
      </c>
      <c r="B3553" s="0">
        <f>HYPERLINK("https://dl.dropboxusercontent.com/scl/fi/3ivymomsvyw4v2fkbhppy/mens-t-shirt-size-chartsmack.jpg?rlkey=hwi66q5kwqejqr40pwyx6hpf5&amp;dl=0","Click to download SizeChart")</f>
      </c>
      <c r="C3553" s="0" t="inlineStr">
        <is>
          <t>Mack Men's Cotton Short Sleeve Shirt</t>
        </is>
      </c>
      <c r="D3553" s="0" t="inlineStr">
        <is>
          <t>'121625</t>
        </is>
      </c>
      <c r="E3553" s="0" t="inlineStr">
        <is>
          <t>UNI MACK M GY:121625F-3XL</t>
        </is>
      </c>
      <c r="F3553" s="0" t="inlineStr">
        <is>
          <t>'802121625090</t>
        </is>
      </c>
      <c r="G3553" s="0" t="inlineStr">
        <is>
          <t>MENS</t>
        </is>
      </c>
      <c r="H3553" s="0" t="inlineStr">
        <is>
          <t>3XL</t>
        </is>
      </c>
      <c r="I3553" s="0">
        <v>26.99</v>
      </c>
      <c r="J3553" s="0">
        <v>1</v>
      </c>
    </row>
    <row r="3554" spans="1:10" customHeight="0">
      <c r="A3554" s="0">
        <f>HYPERLINK("https://dl.dropboxusercontent.com/scl/fi/8a974aivcuax8pllzi9qz/121625f99270.jpg?rlkey=q5h6mzczffmsktyvh0jqhpd5v&amp;dl=0","Click to download Image")</f>
      </c>
      <c r="B3554" s="0">
        <f>HYPERLINK("https://dl.dropboxusercontent.com/scl/fi/3ivymomsvyw4v2fkbhppy/mens-t-shirt-size-chartsmack.jpg?rlkey=hwi66q5kwqejqr40pwyx6hpf5&amp;dl=0","Click to download SizeChart")</f>
      </c>
      <c r="C3554" s="0" t="inlineStr">
        <is>
          <t>Mack Men's Cotton Short Sleeve Shirt</t>
        </is>
      </c>
      <c r="D3554" s="0" t="inlineStr">
        <is>
          <t>'121625</t>
        </is>
      </c>
      <c r="E3554" s="0" t="inlineStr">
        <is>
          <t>UNI MACK M GY 12PK:121625Z-12PK</t>
        </is>
      </c>
      <c r="F3554" s="0" t="inlineStr">
        <is>
          <t>'802121625991</t>
        </is>
      </c>
      <c r="G3554" s="0" t="inlineStr">
        <is>
          <t>MENS</t>
        </is>
      </c>
      <c r="H3554" s="0" t="inlineStr">
        <is>
          <t>12 PACK</t>
        </is>
      </c>
      <c r="I3554" s="0">
        <v>239.76</v>
      </c>
      <c r="J3554" s="0">
        <v>0</v>
      </c>
    </row>
    <row r="3555" spans="1:10" customHeight="0">
      <c r="A3555" s="0">
        <f>HYPERLINK("https://dl.dropboxusercontent.com/scl/fi/zwyouvlkkay635sgiqcw3/120588f99282.jpg?rlkey=k7vm2nbh01va1r2536vb6kmov&amp;dl=0","Click to download Image")</f>
      </c>
      <c r="B3555" s="0">
        <f>HYPERLINK("https://dl.dropboxusercontent.com/scl/fi/r7jezlwx7gxrst20lis33/1january-20206infant.jpg?rlkey=eo3fcyc70eomsi8zz180rjn0i&amp;dl=0","Click to download SizeChart")</f>
      </c>
      <c r="C3555" s="0" t="inlineStr">
        <is>
          <t>Beck Infant Button Up Romper</t>
        </is>
      </c>
      <c r="D3555" s="0" t="inlineStr">
        <is>
          <t>'120588</t>
        </is>
      </c>
      <c r="E3555" s="0" t="inlineStr">
        <is>
          <t>UNI BECK I PURPLE:120588A-0-3M</t>
        </is>
      </c>
      <c r="F3555" s="0" t="inlineStr">
        <is>
          <t>'802120588006</t>
        </is>
      </c>
      <c r="G3555" s="0" t="inlineStr">
        <is>
          <t>INFANT</t>
        </is>
      </c>
      <c r="H3555" s="0" t="inlineStr">
        <is>
          <t>0-3M</t>
        </is>
      </c>
      <c r="I3555" s="0">
        <v>24.99</v>
      </c>
      <c r="J3555" s="0">
        <v>15</v>
      </c>
    </row>
    <row r="3556" spans="1:10" customHeight="0">
      <c r="A3556" s="0">
        <f>HYPERLINK("https://dl.dropboxusercontent.com/scl/fi/zwyouvlkkay635sgiqcw3/120588f99282.jpg?rlkey=k7vm2nbh01va1r2536vb6kmov&amp;dl=0","Click to download Image")</f>
      </c>
      <c r="B3556" s="0">
        <f>HYPERLINK("https://dl.dropboxusercontent.com/scl/fi/r7jezlwx7gxrst20lis33/1january-20206infant.jpg?rlkey=eo3fcyc70eomsi8zz180rjn0i&amp;dl=0","Click to download SizeChart")</f>
      </c>
      <c r="C3556" s="0" t="inlineStr">
        <is>
          <t>Beck Infant Button Up Romper</t>
        </is>
      </c>
      <c r="D3556" s="0" t="inlineStr">
        <is>
          <t>'120588</t>
        </is>
      </c>
      <c r="E3556" s="0" t="inlineStr">
        <is>
          <t>UNI BECK I PURPLE:120588B-3-6M</t>
        </is>
      </c>
      <c r="F3556" s="0" t="inlineStr">
        <is>
          <t>'802120588013</t>
        </is>
      </c>
      <c r="G3556" s="0" t="inlineStr">
        <is>
          <t>INFANT</t>
        </is>
      </c>
      <c r="H3556" s="0" t="inlineStr">
        <is>
          <t>3-6M</t>
        </is>
      </c>
      <c r="I3556" s="0">
        <v>24.99</v>
      </c>
      <c r="J3556" s="0">
        <v>10</v>
      </c>
    </row>
    <row r="3557" spans="1:10" customHeight="0">
      <c r="A3557" s="0">
        <f>HYPERLINK("https://dl.dropboxusercontent.com/scl/fi/zwyouvlkkay635sgiqcw3/120588f99282.jpg?rlkey=k7vm2nbh01va1r2536vb6kmov&amp;dl=0","Click to download Image")</f>
      </c>
      <c r="B3557" s="0">
        <f>HYPERLINK("https://dl.dropboxusercontent.com/scl/fi/r7jezlwx7gxrst20lis33/1january-20206infant.jpg?rlkey=eo3fcyc70eomsi8zz180rjn0i&amp;dl=0","Click to download SizeChart")</f>
      </c>
      <c r="C3557" s="0" t="inlineStr">
        <is>
          <t>Beck Infant Button Up Romper</t>
        </is>
      </c>
      <c r="D3557" s="0" t="inlineStr">
        <is>
          <t>'120588</t>
        </is>
      </c>
      <c r="E3557" s="0" t="inlineStr">
        <is>
          <t>UNI BECK I PURPLE:120588C-6-9M</t>
        </is>
      </c>
      <c r="F3557" s="0" t="inlineStr">
        <is>
          <t>'802120588020</t>
        </is>
      </c>
      <c r="G3557" s="0" t="inlineStr">
        <is>
          <t>INFANT</t>
        </is>
      </c>
      <c r="H3557" s="0" t="inlineStr">
        <is>
          <t>6-9M</t>
        </is>
      </c>
      <c r="I3557" s="0">
        <v>24.99</v>
      </c>
      <c r="J3557" s="0">
        <v>13</v>
      </c>
    </row>
    <row r="3558" spans="1:10" customHeight="0">
      <c r="A3558" s="0">
        <f>HYPERLINK("https://dl.dropboxusercontent.com/scl/fi/zwyouvlkkay635sgiqcw3/120588f99282.jpg?rlkey=k7vm2nbh01va1r2536vb6kmov&amp;dl=0","Click to download Image")</f>
      </c>
      <c r="B3558" s="0">
        <f>HYPERLINK("https://dl.dropboxusercontent.com/scl/fi/r7jezlwx7gxrst20lis33/1january-20206infant.jpg?rlkey=eo3fcyc70eomsi8zz180rjn0i&amp;dl=0","Click to download SizeChart")</f>
      </c>
      <c r="C3558" s="0" t="inlineStr">
        <is>
          <t>Beck Infant Button Up Romper</t>
        </is>
      </c>
      <c r="D3558" s="0" t="inlineStr">
        <is>
          <t>'120588</t>
        </is>
      </c>
      <c r="E3558" s="0" t="inlineStr">
        <is>
          <t>UNI BECK I PURPLE:120588F-12M</t>
        </is>
      </c>
      <c r="F3558" s="0" t="inlineStr">
        <is>
          <t>'802120588037</t>
        </is>
      </c>
      <c r="G3558" s="0" t="inlineStr">
        <is>
          <t>INFANT</t>
        </is>
      </c>
      <c r="H3558" s="0" t="inlineStr">
        <is>
          <t>12M</t>
        </is>
      </c>
      <c r="I3558" s="0">
        <v>24.99</v>
      </c>
      <c r="J3558" s="0">
        <v>17</v>
      </c>
    </row>
    <row r="3559" spans="1:10" customHeight="0">
      <c r="A3559" s="0">
        <f>HYPERLINK("https://dl.dropboxusercontent.com/scl/fi/zwyouvlkkay635sgiqcw3/120588f99282.jpg?rlkey=k7vm2nbh01va1r2536vb6kmov&amp;dl=0","Click to download Image")</f>
      </c>
      <c r="B3559" s="0">
        <f>HYPERLINK("https://dl.dropboxusercontent.com/scl/fi/r7jezlwx7gxrst20lis33/1january-20206infant.jpg?rlkey=eo3fcyc70eomsi8zz180rjn0i&amp;dl=0","Click to download SizeChart")</f>
      </c>
      <c r="C3559" s="0" t="inlineStr">
        <is>
          <t>Beck Infant Button Up Romper</t>
        </is>
      </c>
      <c r="D3559" s="0" t="inlineStr">
        <is>
          <t>'120588</t>
        </is>
      </c>
      <c r="E3559" s="0" t="inlineStr">
        <is>
          <t>UNI BECK I PURPLE 12 PACK:120588Z-12PK</t>
        </is>
      </c>
      <c r="F3559" s="0" t="inlineStr">
        <is>
          <t>'802120588990</t>
        </is>
      </c>
      <c r="G3559" s="0" t="inlineStr">
        <is>
          <t>INFANT</t>
        </is>
      </c>
      <c r="H3559" s="0" t="inlineStr">
        <is>
          <t>12 PACK</t>
        </is>
      </c>
      <c r="I3559" s="0">
        <v>239.76</v>
      </c>
      <c r="J3559" s="0">
        <v>3</v>
      </c>
    </row>
    <row r="3560" spans="1:10" customHeight="0">
      <c r="A3560" s="0">
        <f>HYPERLINK("https://dl.dropboxusercontent.com/scl/fi/r9uyuti9rtuv1ssedepya/120882f81934.jpg?rlkey=i8qmlkalto4aux6tmtv0bg2zp&amp;dl=0","Click to download Image")</f>
      </c>
      <c r="B3560" s="0">
        <f>HYPERLINK("https://dl.dropboxusercontent.com/scl/fi/gtwufpbvpp72j6z5zlkn1/1january-20203youth.jpg?rlkey=1t2g55u5c229f822hk8bf8k8w&amp;dl=0","Click to download SizeChart")</f>
      </c>
      <c r="C3560" s="0" t="inlineStr">
        <is>
          <t>Jagger Youth Long Sleeve Shirt</t>
        </is>
      </c>
      <c r="D3560" s="0" t="inlineStr">
        <is>
          <t>'120882</t>
        </is>
      </c>
      <c r="E3560" s="0" t="inlineStr">
        <is>
          <t>UNI JAGGER Y PURPLE:120882B-YS</t>
        </is>
      </c>
      <c r="F3560" s="0" t="inlineStr">
        <is>
          <t>'802120882012</t>
        </is>
      </c>
      <c r="G3560" s="0" t="inlineStr">
        <is>
          <t>YOUTH</t>
        </is>
      </c>
      <c r="H3560" s="0" t="inlineStr">
        <is>
          <t>YS</t>
        </is>
      </c>
      <c r="I3560" s="0">
        <v>24.99</v>
      </c>
      <c r="J3560" s="0">
        <v>2</v>
      </c>
    </row>
    <row r="3561" spans="1:10" customHeight="0">
      <c r="A3561" s="0">
        <f>HYPERLINK("https://dl.dropboxusercontent.com/scl/fi/r9uyuti9rtuv1ssedepya/120882f81934.jpg?rlkey=i8qmlkalto4aux6tmtv0bg2zp&amp;dl=0","Click to download Image")</f>
      </c>
      <c r="B3561" s="0">
        <f>HYPERLINK("https://dl.dropboxusercontent.com/scl/fi/gtwufpbvpp72j6z5zlkn1/1january-20203youth.jpg?rlkey=1t2g55u5c229f822hk8bf8k8w&amp;dl=0","Click to download SizeChart")</f>
      </c>
      <c r="C3561" s="0" t="inlineStr">
        <is>
          <t>Jagger Youth Long Sleeve Shirt</t>
        </is>
      </c>
      <c r="D3561" s="0" t="inlineStr">
        <is>
          <t>'120882</t>
        </is>
      </c>
      <c r="E3561" s="0" t="inlineStr">
        <is>
          <t>UNI JAGGER Y PURPLE:120882C-YM</t>
        </is>
      </c>
      <c r="F3561" s="0" t="inlineStr">
        <is>
          <t>'802120882029</t>
        </is>
      </c>
      <c r="G3561" s="0" t="inlineStr">
        <is>
          <t>YOUTH</t>
        </is>
      </c>
      <c r="H3561" s="0" t="inlineStr">
        <is>
          <t>YM</t>
        </is>
      </c>
      <c r="I3561" s="0">
        <v>24.99</v>
      </c>
      <c r="J3561" s="0">
        <v>2</v>
      </c>
    </row>
    <row r="3562" spans="1:10" customHeight="0">
      <c r="A3562" s="0">
        <f>HYPERLINK("https://dl.dropboxusercontent.com/scl/fi/r9uyuti9rtuv1ssedepya/120882f81934.jpg?rlkey=i8qmlkalto4aux6tmtv0bg2zp&amp;dl=0","Click to download Image")</f>
      </c>
      <c r="B3562" s="0">
        <f>HYPERLINK("https://dl.dropboxusercontent.com/scl/fi/gtwufpbvpp72j6z5zlkn1/1january-20203youth.jpg?rlkey=1t2g55u5c229f822hk8bf8k8w&amp;dl=0","Click to download SizeChart")</f>
      </c>
      <c r="C3562" s="0" t="inlineStr">
        <is>
          <t>Jagger Youth Long Sleeve Shirt</t>
        </is>
      </c>
      <c r="D3562" s="0" t="inlineStr">
        <is>
          <t>'120882</t>
        </is>
      </c>
      <c r="E3562" s="0" t="inlineStr">
        <is>
          <t>UNI JAGGER Y PURPLE:120882D-YL</t>
        </is>
      </c>
      <c r="F3562" s="0" t="inlineStr">
        <is>
          <t>'802120882036</t>
        </is>
      </c>
      <c r="G3562" s="0" t="inlineStr">
        <is>
          <t>YOUTH</t>
        </is>
      </c>
      <c r="H3562" s="0" t="inlineStr">
        <is>
          <t>YL</t>
        </is>
      </c>
      <c r="I3562" s="0">
        <v>24.99</v>
      </c>
      <c r="J3562" s="0">
        <v>3</v>
      </c>
    </row>
    <row r="3563" spans="1:10" customHeight="0">
      <c r="A3563" s="0">
        <f>HYPERLINK("https://dl.dropboxusercontent.com/scl/fi/r9uyuti9rtuv1ssedepya/120882f81934.jpg?rlkey=i8qmlkalto4aux6tmtv0bg2zp&amp;dl=0","Click to download Image")</f>
      </c>
      <c r="B3563" s="0">
        <f>HYPERLINK("https://dl.dropboxusercontent.com/scl/fi/gtwufpbvpp72j6z5zlkn1/1january-20203youth.jpg?rlkey=1t2g55u5c229f822hk8bf8k8w&amp;dl=0","Click to download SizeChart")</f>
      </c>
      <c r="C3563" s="0" t="inlineStr">
        <is>
          <t>Jagger Youth Long Sleeve Shirt</t>
        </is>
      </c>
      <c r="D3563" s="0" t="inlineStr">
        <is>
          <t>'120882</t>
        </is>
      </c>
      <c r="E3563" s="0" t="inlineStr">
        <is>
          <t>UNI JAGGER Y PURPLE:120882E-YXL</t>
        </is>
      </c>
      <c r="F3563" s="0" t="inlineStr">
        <is>
          <t>'802120882043</t>
        </is>
      </c>
      <c r="G3563" s="0" t="inlineStr">
        <is>
          <t>YOUTH</t>
        </is>
      </c>
      <c r="H3563" s="0" t="inlineStr">
        <is>
          <t>YXL</t>
        </is>
      </c>
      <c r="I3563" s="0">
        <v>24.99</v>
      </c>
      <c r="J3563" s="0">
        <v>3</v>
      </c>
    </row>
    <row r="3564" spans="1:10" customHeight="0">
      <c r="A3564" s="0">
        <f>HYPERLINK("https://dl.dropboxusercontent.com/scl/fi/r9uyuti9rtuv1ssedepya/120882f81934.jpg?rlkey=i8qmlkalto4aux6tmtv0bg2zp&amp;dl=0","Click to download Image")</f>
      </c>
      <c r="B3564" s="0">
        <f>HYPERLINK("https://dl.dropboxusercontent.com/scl/fi/gtwufpbvpp72j6z5zlkn1/1january-20203youth.jpg?rlkey=1t2g55u5c229f822hk8bf8k8w&amp;dl=0","Click to download SizeChart")</f>
      </c>
      <c r="C3564" s="0" t="inlineStr">
        <is>
          <t>Jagger Youth Long Sleeve Shirt</t>
        </is>
      </c>
      <c r="D3564" s="0" t="inlineStr">
        <is>
          <t>'120882</t>
        </is>
      </c>
      <c r="E3564" s="0" t="inlineStr">
        <is>
          <t>UNI JAGGER Y PURPLE 12 PACK:120882Z-12PK</t>
        </is>
      </c>
      <c r="F3564" s="0" t="inlineStr">
        <is>
          <t>'802120882999</t>
        </is>
      </c>
      <c r="G3564" s="0" t="inlineStr">
        <is>
          <t>YOUTH</t>
        </is>
      </c>
      <c r="H3564" s="0" t="inlineStr">
        <is>
          <t>12 PACK</t>
        </is>
      </c>
      <c r="I3564" s="0">
        <v>239.76</v>
      </c>
      <c r="J3564" s="0">
        <v>0</v>
      </c>
    </row>
    <row r="3565" spans="1:10" customHeight="0">
      <c r="A3565" s="0">
        <f>HYPERLINK("https://dl.dropboxusercontent.com/scl/fi/qezpw3yaknedp59xn5osa/101608-af.jpg?rlkey=jz8yh8ircpki611mojkly95dk&amp;dl=0","Click to download Image")</f>
      </c>
      <c r="C3565" s="0" t="inlineStr">
        <is>
          <t>Sloan Women's Cap</t>
        </is>
      </c>
      <c r="D3565" s="0" t="inlineStr">
        <is>
          <t>'101608</t>
        </is>
      </c>
      <c r="E3565" s="0" t="inlineStr">
        <is>
          <t>SLOAN:101608</t>
        </is>
      </c>
      <c r="F3565" s="0" t="inlineStr">
        <is>
          <t>'000000000000</t>
        </is>
      </c>
      <c r="G3565" s="0" t="inlineStr">
        <is>
          <t>WOMENS</t>
        </is>
      </c>
      <c r="H3565" s="0" t="inlineStr">
        <is>
          <t>WOMENS</t>
        </is>
      </c>
      <c r="I3565" s="0">
        <v>22</v>
      </c>
      <c r="J3565" s="0">
        <v>52</v>
      </c>
    </row>
    <row r="3566" spans="1:10" customHeight="0">
      <c r="A3566" s="0">
        <f>HYPERLINK("https://dl.dropboxusercontent.com/scl/fi/ne5iwju9zx1pkrpts8t9m/101607-af.jpg?rlkey=4y2d0kwp4kep4g6yvld1oqpbj&amp;dl=0","Click to download Image")</f>
      </c>
      <c r="C3566" s="0" t="inlineStr">
        <is>
          <t>Sloan Women's Cap</t>
        </is>
      </c>
      <c r="D3566" s="0" t="inlineStr">
        <is>
          <t>'101607</t>
        </is>
      </c>
      <c r="E3566" s="0" t="inlineStr">
        <is>
          <t>SLOAN:101607</t>
        </is>
      </c>
      <c r="F3566" s="0" t="inlineStr">
        <is>
          <t>'000000000000</t>
        </is>
      </c>
      <c r="G3566" s="0" t="inlineStr">
        <is>
          <t>WOMENS</t>
        </is>
      </c>
      <c r="H3566" s="0" t="inlineStr">
        <is>
          <t>WOMENS</t>
        </is>
      </c>
      <c r="I3566" s="0">
        <v>22</v>
      </c>
      <c r="J3566" s="0">
        <v>131</v>
      </c>
    </row>
    <row r="3567" spans="1:10" customHeight="0">
      <c r="A3567" s="0">
        <f>HYPERLINK("https://dl.dropboxusercontent.com/scl/fi/g9p56x57yuit0jsh58zjv/dsc1969.jpg?rlkey=ntsjhe5dzqm1py8c3wcvi6ykg&amp;dl=0","Click to download Image")</f>
      </c>
      <c r="C3567" s="0" t="inlineStr">
        <is>
          <t>Sloan Women's Cap</t>
        </is>
      </c>
      <c r="D3567" s="0" t="inlineStr">
        <is>
          <t>'104306</t>
        </is>
      </c>
      <c r="E3567" s="0" t="inlineStr">
        <is>
          <t>SLOAN:104306</t>
        </is>
      </c>
      <c r="F3567" s="0" t="inlineStr">
        <is>
          <t>'000000000000</t>
        </is>
      </c>
      <c r="G3567" s="0" t="inlineStr">
        <is>
          <t>WOMENS</t>
        </is>
      </c>
      <c r="H3567" s="0" t="inlineStr">
        <is>
          <t>WOMENS</t>
        </is>
      </c>
      <c r="I3567" s="0">
        <v>22</v>
      </c>
      <c r="J3567" s="0">
        <v>142</v>
      </c>
    </row>
    <row r="3568" spans="1:10" customHeight="0">
      <c r="A3568" s="0">
        <f>HYPERLINK("https://dl.dropboxusercontent.com/scl/fi/dvpk4ilx5f4v0zshhfg3i/104304-af.jpg?rlkey=w4qs7zfmk9owt1oyzqlu1in3z&amp;dl=0","Click to download Image")</f>
      </c>
      <c r="C3568" s="0" t="inlineStr">
        <is>
          <t>Sloan Women's Cap</t>
        </is>
      </c>
      <c r="D3568" s="0" t="inlineStr">
        <is>
          <t>'104304</t>
        </is>
      </c>
      <c r="E3568" s="0" t="inlineStr">
        <is>
          <t>SLOAN:104304</t>
        </is>
      </c>
      <c r="F3568" s="0" t="inlineStr">
        <is>
          <t>'000000000000</t>
        </is>
      </c>
      <c r="G3568" s="0" t="inlineStr">
        <is>
          <t>WOMENS</t>
        </is>
      </c>
      <c r="H3568" s="0" t="inlineStr">
        <is>
          <t>WOMENS</t>
        </is>
      </c>
      <c r="I3568" s="0">
        <v>22</v>
      </c>
      <c r="J3568" s="0">
        <v>76</v>
      </c>
    </row>
    <row r="3569" spans="1:10" customHeight="0">
      <c r="A3569" s="0">
        <f>HYPERLINK("https://dl.dropboxusercontent.com/scl/fi/xq10v2kyqyli6fktifcpj/104310-af.jpg?rlkey=wsu5f5y417e8edagkpno7628s&amp;dl=0","Click to download Image")</f>
      </c>
      <c r="C3569" s="0" t="inlineStr">
        <is>
          <t>Sloan Women's Cap</t>
        </is>
      </c>
      <c r="D3569" s="0" t="inlineStr">
        <is>
          <t>'104310</t>
        </is>
      </c>
      <c r="E3569" s="0" t="inlineStr">
        <is>
          <t>SLOAN:104310</t>
        </is>
      </c>
      <c r="F3569" s="0" t="inlineStr">
        <is>
          <t>'000000000000</t>
        </is>
      </c>
      <c r="G3569" s="0" t="inlineStr">
        <is>
          <t>WOMENS</t>
        </is>
      </c>
      <c r="H3569" s="0" t="inlineStr">
        <is>
          <t>WOMENS</t>
        </is>
      </c>
      <c r="I3569" s="0">
        <v>22</v>
      </c>
      <c r="J3569" s="0">
        <v>92</v>
      </c>
    </row>
    <row r="3570" spans="1:10" customHeight="0">
      <c r="A3570" s="0">
        <f>HYPERLINK("https://dl.dropboxusercontent.com/scl/fi/afjjgiiuca7v4h599fx0a/104305-af.jpg?rlkey=ik5lx391rtjn8maqt735vtbig&amp;dl=0","Click to download Image")</f>
      </c>
      <c r="C3570" s="0" t="inlineStr">
        <is>
          <t>Sloan Women's Cap</t>
        </is>
      </c>
      <c r="D3570" s="0" t="inlineStr">
        <is>
          <t>'104305</t>
        </is>
      </c>
      <c r="E3570" s="0" t="inlineStr">
        <is>
          <t>SLOAN:104305</t>
        </is>
      </c>
      <c r="F3570" s="0" t="inlineStr">
        <is>
          <t>'000000000000</t>
        </is>
      </c>
      <c r="G3570" s="0" t="inlineStr">
        <is>
          <t>WOMENS</t>
        </is>
      </c>
      <c r="H3570" s="0" t="inlineStr">
        <is>
          <t>WOMENS</t>
        </is>
      </c>
      <c r="I3570" s="0">
        <v>22</v>
      </c>
      <c r="J3570" s="0">
        <v>143</v>
      </c>
    </row>
    <row r="3571" spans="1:10" customHeight="0">
      <c r="A3571" s="0">
        <f>HYPERLINK("https://dl.dropboxusercontent.com/scl/fi/iau2fglatukcfue9xckmp/104311-af.jpg?rlkey=1wb2jufnxpph2anpw9r229hi8&amp;dl=0","Click to download Image")</f>
      </c>
      <c r="C3571" s="0" t="inlineStr">
        <is>
          <t>Sloan Women's Cap</t>
        </is>
      </c>
      <c r="D3571" s="0" t="inlineStr">
        <is>
          <t>'104311</t>
        </is>
      </c>
      <c r="E3571" s="0" t="inlineStr">
        <is>
          <t>SLOAN:104311</t>
        </is>
      </c>
      <c r="F3571" s="0" t="inlineStr">
        <is>
          <t>'000000000000</t>
        </is>
      </c>
      <c r="G3571" s="0" t="inlineStr">
        <is>
          <t>WOMENS</t>
        </is>
      </c>
      <c r="H3571" s="0" t="inlineStr">
        <is>
          <t>WOMENS</t>
        </is>
      </c>
      <c r="I3571" s="0">
        <v>22</v>
      </c>
      <c r="J3571" s="0">
        <v>76</v>
      </c>
    </row>
    <row r="3572" spans="1:10" customHeight="0">
      <c r="A3572" s="0">
        <f>HYPERLINK("https://dl.dropboxusercontent.com/scl/fi/3klehxskxpv10ldaok9x4/104331-af.jpg?rlkey=i3ixw7f570w83pjoc91qsavu1&amp;dl=0","Click to download Image")</f>
      </c>
      <c r="C3572" s="0" t="inlineStr">
        <is>
          <t>Sloan Women's Cap</t>
        </is>
      </c>
      <c r="D3572" s="0" t="inlineStr">
        <is>
          <t>'104331</t>
        </is>
      </c>
      <c r="E3572" s="0" t="inlineStr">
        <is>
          <t>SLOAN:104331</t>
        </is>
      </c>
      <c r="F3572" s="0" t="inlineStr">
        <is>
          <t>'000000000000</t>
        </is>
      </c>
      <c r="G3572" s="0" t="inlineStr">
        <is>
          <t>WOMENS</t>
        </is>
      </c>
      <c r="H3572" s="0" t="inlineStr">
        <is>
          <t>WOMENS</t>
        </is>
      </c>
      <c r="I3572" s="0">
        <v>22</v>
      </c>
      <c r="J3572" s="0">
        <v>117</v>
      </c>
    </row>
    <row r="3573" spans="1:10" customHeight="0">
      <c r="A3573" s="0">
        <f>HYPERLINK("https://dl.dropboxusercontent.com/scl/fi/o6tdvbvayao7jx9mmhfg3/104309-af.jpg?rlkey=na5momjz4lpf0wyrnq0aejmlz&amp;dl=0","Click to download Image")</f>
      </c>
      <c r="C3573" s="0" t="inlineStr">
        <is>
          <t>Sloan Women's Cap</t>
        </is>
      </c>
      <c r="D3573" s="0" t="inlineStr">
        <is>
          <t>'104309</t>
        </is>
      </c>
      <c r="E3573" s="0" t="inlineStr">
        <is>
          <t>SLOAN:104309</t>
        </is>
      </c>
      <c r="F3573" s="0" t="inlineStr">
        <is>
          <t>'000000000000</t>
        </is>
      </c>
      <c r="G3573" s="0" t="inlineStr">
        <is>
          <t>WOMENS</t>
        </is>
      </c>
      <c r="H3573" s="0" t="inlineStr">
        <is>
          <t>WOMENS</t>
        </is>
      </c>
      <c r="I3573" s="0">
        <v>22</v>
      </c>
      <c r="J3573" s="0">
        <v>113</v>
      </c>
    </row>
    <row r="3574" spans="1:10" customHeight="0">
      <c r="A3574" s="0">
        <f>HYPERLINK("https://dl.dropboxusercontent.com/scl/fi/00jc6shjettlfw4ee6rko/104307-af.jpg?rlkey=xpy95bta6sg9kyec8hcvvy2u7&amp;dl=0","Click to download Image")</f>
      </c>
      <c r="C3574" s="0" t="inlineStr">
        <is>
          <t>Sloan Women's Cap</t>
        </is>
      </c>
      <c r="D3574" s="0" t="inlineStr">
        <is>
          <t>'104307</t>
        </is>
      </c>
      <c r="E3574" s="0" t="inlineStr">
        <is>
          <t>SLOAN:104307</t>
        </is>
      </c>
      <c r="F3574" s="0" t="inlineStr">
        <is>
          <t>'000000000000</t>
        </is>
      </c>
      <c r="G3574" s="0" t="inlineStr">
        <is>
          <t>WOMENS</t>
        </is>
      </c>
      <c r="H3574" s="0" t="inlineStr">
        <is>
          <t>WOMENS</t>
        </is>
      </c>
      <c r="I3574" s="0">
        <v>22</v>
      </c>
      <c r="J3574" s="0">
        <v>128</v>
      </c>
    </row>
    <row r="3575" spans="1:10" customHeight="0">
      <c r="A3575" s="0">
        <f>HYPERLINK("https://dl.dropboxusercontent.com/scl/fi/km501b9u9vp8esc93ewu1/104308-af.jpg?rlkey=0lc1dvlc6la2oomkg27elqk0x&amp;dl=0","Click to download Image")</f>
      </c>
      <c r="C3575" s="0" t="inlineStr">
        <is>
          <t>Sloan Women's Cap</t>
        </is>
      </c>
      <c r="D3575" s="0" t="inlineStr">
        <is>
          <t>'104308</t>
        </is>
      </c>
      <c r="E3575" s="0" t="inlineStr">
        <is>
          <t>SLOAN:104308</t>
        </is>
      </c>
      <c r="F3575" s="0" t="inlineStr">
        <is>
          <t>'700104308018</t>
        </is>
      </c>
      <c r="G3575" s="0" t="inlineStr">
        <is>
          <t>WOMENS</t>
        </is>
      </c>
      <c r="H3575" s="0" t="inlineStr">
        <is>
          <t>WOMENS</t>
        </is>
      </c>
      <c r="I3575" s="0">
        <v>22</v>
      </c>
      <c r="J3575" s="0">
        <v>140</v>
      </c>
    </row>
    <row r="3576" spans="1:10" customHeight="0">
      <c r="A3576" s="0">
        <f>HYPERLINK("https://dl.dropboxusercontent.com/scl/fi/mrjcl6flbcf3cpga6017n/111717-af.jpg?rlkey=sjyq18069lgfukx4fadcptn0q&amp;dl=0","Click to download Image")</f>
      </c>
      <c r="B3576" s="0">
        <f>HYPERLINK("https://dl.dropboxusercontent.com/scl/fi/8333bmybqm9psw1thgpup/8-19womens-sports-bra.jpg?rlkey=5m826e9czfvnp23teav7ph299&amp;dl=0","Click to download SizeChart")</f>
      </c>
      <c r="C3576" s="0" t="inlineStr">
        <is>
          <t>Sun Women's Criss-Cross Sports Bra</t>
        </is>
      </c>
      <c r="D3576" s="0" t="inlineStr">
        <is>
          <t>'111717</t>
        </is>
      </c>
      <c r="E3576" s="0" t="inlineStr">
        <is>
          <t>IOWA SUN SPORT BRA BLACK:111717AA-XS</t>
        </is>
      </c>
      <c r="F3576" s="0" t="inlineStr">
        <is>
          <t>'800111717039</t>
        </is>
      </c>
      <c r="G3576" s="0" t="inlineStr">
        <is>
          <t>WOMENS</t>
        </is>
      </c>
      <c r="H3576" s="0" t="inlineStr">
        <is>
          <t>XS</t>
        </is>
      </c>
      <c r="I3576" s="0">
        <v>29.99</v>
      </c>
      <c r="J3576" s="0">
        <v>17</v>
      </c>
    </row>
    <row r="3577" spans="1:10" customHeight="0">
      <c r="A3577" s="0">
        <f>HYPERLINK("https://dl.dropboxusercontent.com/scl/fi/mrjcl6flbcf3cpga6017n/111717-af.jpg?rlkey=sjyq18069lgfukx4fadcptn0q&amp;dl=0","Click to download Image")</f>
      </c>
      <c r="B3577" s="0">
        <f>HYPERLINK("https://dl.dropboxusercontent.com/scl/fi/8333bmybqm9psw1thgpup/8-19womens-sports-bra.jpg?rlkey=5m826e9czfvnp23teav7ph299&amp;dl=0","Click to download SizeChart")</f>
      </c>
      <c r="C3577" s="0" t="inlineStr">
        <is>
          <t>Sun Women's Criss-Cross Sports Bra</t>
        </is>
      </c>
      <c r="D3577" s="0" t="inlineStr">
        <is>
          <t>'111717</t>
        </is>
      </c>
      <c r="E3577" s="0" t="inlineStr">
        <is>
          <t>IOWA SUN SPORT BRA BLACK:111717A-S</t>
        </is>
      </c>
      <c r="F3577" s="0" t="inlineStr">
        <is>
          <t>'800111717046</t>
        </is>
      </c>
      <c r="G3577" s="0" t="inlineStr">
        <is>
          <t>WOMENS</t>
        </is>
      </c>
      <c r="H3577" s="0" t="inlineStr">
        <is>
          <t>S</t>
        </is>
      </c>
      <c r="I3577" s="0">
        <v>29.99</v>
      </c>
      <c r="J3577" s="0">
        <v>10</v>
      </c>
    </row>
    <row r="3578" spans="1:10" customHeight="0">
      <c r="A3578" s="0">
        <f>HYPERLINK("https://dl.dropboxusercontent.com/scl/fi/mrjcl6flbcf3cpga6017n/111717-af.jpg?rlkey=sjyq18069lgfukx4fadcptn0q&amp;dl=0","Click to download Image")</f>
      </c>
      <c r="B3578" s="0">
        <f>HYPERLINK("https://dl.dropboxusercontent.com/scl/fi/8333bmybqm9psw1thgpup/8-19womens-sports-bra.jpg?rlkey=5m826e9czfvnp23teav7ph299&amp;dl=0","Click to download SizeChart")</f>
      </c>
      <c r="C3578" s="0" t="inlineStr">
        <is>
          <t>Sun Women's Criss-Cross Sports Bra</t>
        </is>
      </c>
      <c r="D3578" s="0" t="inlineStr">
        <is>
          <t>'111717</t>
        </is>
      </c>
      <c r="E3578" s="0" t="inlineStr">
        <is>
          <t>IOWA SUN SPORT BRA BLACK:111717B-M</t>
        </is>
      </c>
      <c r="F3578" s="0" t="inlineStr">
        <is>
          <t>'800111717053</t>
        </is>
      </c>
      <c r="G3578" s="0" t="inlineStr">
        <is>
          <t>WOMENS</t>
        </is>
      </c>
      <c r="H3578" s="0" t="inlineStr">
        <is>
          <t>M</t>
        </is>
      </c>
      <c r="I3578" s="0">
        <v>29.99</v>
      </c>
      <c r="J3578" s="0">
        <v>10</v>
      </c>
    </row>
    <row r="3579" spans="1:10" customHeight="0">
      <c r="A3579" s="0">
        <f>HYPERLINK("https://dl.dropboxusercontent.com/scl/fi/mrjcl6flbcf3cpga6017n/111717-af.jpg?rlkey=sjyq18069lgfukx4fadcptn0q&amp;dl=0","Click to download Image")</f>
      </c>
      <c r="B3579" s="0">
        <f>HYPERLINK("https://dl.dropboxusercontent.com/scl/fi/8333bmybqm9psw1thgpup/8-19womens-sports-bra.jpg?rlkey=5m826e9czfvnp23teav7ph299&amp;dl=0","Click to download SizeChart")</f>
      </c>
      <c r="C3579" s="0" t="inlineStr">
        <is>
          <t>Sun Women's Criss-Cross Sports Bra</t>
        </is>
      </c>
      <c r="D3579" s="0" t="inlineStr">
        <is>
          <t>'111717</t>
        </is>
      </c>
      <c r="E3579" s="0" t="inlineStr">
        <is>
          <t>IOWA SUN SPORT BRA BLACK:111717C-L</t>
        </is>
      </c>
      <c r="F3579" s="0" t="inlineStr">
        <is>
          <t>'800111717060</t>
        </is>
      </c>
      <c r="G3579" s="0" t="inlineStr">
        <is>
          <t>WOMENS</t>
        </is>
      </c>
      <c r="H3579" s="0" t="inlineStr">
        <is>
          <t>L</t>
        </is>
      </c>
      <c r="I3579" s="0">
        <v>29.99</v>
      </c>
      <c r="J3579" s="0">
        <v>3</v>
      </c>
    </row>
    <row r="3580" spans="1:10" customHeight="0">
      <c r="A3580" s="0">
        <f>HYPERLINK("https://dl.dropboxusercontent.com/scl/fi/mrjcl6flbcf3cpga6017n/111717-af.jpg?rlkey=sjyq18069lgfukx4fadcptn0q&amp;dl=0","Click to download Image")</f>
      </c>
      <c r="B3580" s="0">
        <f>HYPERLINK("https://dl.dropboxusercontent.com/scl/fi/8333bmybqm9psw1thgpup/8-19womens-sports-bra.jpg?rlkey=5m826e9czfvnp23teav7ph299&amp;dl=0","Click to download SizeChart")</f>
      </c>
      <c r="C3580" s="0" t="inlineStr">
        <is>
          <t>Sun Women's Criss-Cross Sports Bra</t>
        </is>
      </c>
      <c r="D3580" s="0" t="inlineStr">
        <is>
          <t>'111717</t>
        </is>
      </c>
      <c r="E3580" s="0" t="inlineStr">
        <is>
          <t>IOWA SUN SPORT BRA BLACK:111717D-XL</t>
        </is>
      </c>
      <c r="F3580" s="0" t="inlineStr">
        <is>
          <t>'800111717077</t>
        </is>
      </c>
      <c r="G3580" s="0" t="inlineStr">
        <is>
          <t>WOMENS</t>
        </is>
      </c>
      <c r="H3580" s="0" t="inlineStr">
        <is>
          <t>XL</t>
        </is>
      </c>
      <c r="I3580" s="0">
        <v>29.99</v>
      </c>
      <c r="J3580" s="0">
        <v>20</v>
      </c>
    </row>
    <row r="3581" spans="1:10" customHeight="0">
      <c r="A3581" s="0">
        <f>HYPERLINK("https://dl.dropboxusercontent.com/scl/fi/mrjcl6flbcf3cpga6017n/111717-af.jpg?rlkey=sjyq18069lgfukx4fadcptn0q&amp;dl=0","Click to download Image")</f>
      </c>
      <c r="B3581" s="0">
        <f>HYPERLINK("https://dl.dropboxusercontent.com/scl/fi/8333bmybqm9psw1thgpup/8-19womens-sports-bra.jpg?rlkey=5m826e9czfvnp23teav7ph299&amp;dl=0","Click to download SizeChart")</f>
      </c>
      <c r="C3581" s="0" t="inlineStr">
        <is>
          <t>Sun Women's Criss-Cross Sports Bra</t>
        </is>
      </c>
      <c r="D3581" s="0" t="inlineStr">
        <is>
          <t>'111717</t>
        </is>
      </c>
      <c r="E3581" s="0" t="inlineStr">
        <is>
          <t>IOWA SUN SPORT BRA BLACK 12 PACK:111717Z-12PK</t>
        </is>
      </c>
      <c r="F3581" s="0" t="inlineStr">
        <is>
          <t>'800111717992</t>
        </is>
      </c>
      <c r="G3581" s="0" t="inlineStr">
        <is>
          <t>WOMENS</t>
        </is>
      </c>
      <c r="H3581" s="0" t="inlineStr">
        <is>
          <t>12 PACK</t>
        </is>
      </c>
      <c r="I3581" s="0">
        <v>341.88</v>
      </c>
      <c r="J3581" s="0">
        <v>0</v>
      </c>
    </row>
    <row r="3582" spans="1:10" customHeight="0">
      <c r="A3582" s="0">
        <f>HYPERLINK("https://dl.dropboxusercontent.com/scl/fi/syoeg6ynsh92a6vxnu7lf/111719-af.jpg?rlkey=vanp15lxqpbfnjuexssxsv6xm&amp;dl=0","Click to download Image")</f>
      </c>
      <c r="B3582" s="0">
        <f>HYPERLINK("https://dl.dropboxusercontent.com/scl/fi/8333bmybqm9psw1thgpup/8-19womens-sports-bra.jpg?rlkey=5m826e9czfvnp23teav7ph299&amp;dl=0","Click to download SizeChart")</f>
      </c>
      <c r="C3582" s="0" t="inlineStr">
        <is>
          <t>Sun Women's Criss-Cross Sports Bra</t>
        </is>
      </c>
      <c r="D3582" s="0" t="inlineStr">
        <is>
          <t>'111719</t>
        </is>
      </c>
      <c r="E3582" s="0" t="inlineStr">
        <is>
          <t>IOWA SUN SPORT BRA:111719AA-XS</t>
        </is>
      </c>
      <c r="F3582" s="0" t="inlineStr">
        <is>
          <t>'800111719033</t>
        </is>
      </c>
      <c r="G3582" s="0" t="inlineStr">
        <is>
          <t>WOMENS</t>
        </is>
      </c>
      <c r="H3582" s="0" t="inlineStr">
        <is>
          <t>XS</t>
        </is>
      </c>
      <c r="I3582" s="0">
        <v>29.99</v>
      </c>
      <c r="J3582" s="0">
        <v>16</v>
      </c>
    </row>
    <row r="3583" spans="1:10" customHeight="0">
      <c r="A3583" s="0">
        <f>HYPERLINK("https://dl.dropboxusercontent.com/scl/fi/syoeg6ynsh92a6vxnu7lf/111719-af.jpg?rlkey=vanp15lxqpbfnjuexssxsv6xm&amp;dl=0","Click to download Image")</f>
      </c>
      <c r="B3583" s="0">
        <f>HYPERLINK("https://dl.dropboxusercontent.com/scl/fi/8333bmybqm9psw1thgpup/8-19womens-sports-bra.jpg?rlkey=5m826e9czfvnp23teav7ph299&amp;dl=0","Click to download SizeChart")</f>
      </c>
      <c r="C3583" s="0" t="inlineStr">
        <is>
          <t>Sun Women's Criss-Cross Sports Bra</t>
        </is>
      </c>
      <c r="D3583" s="0" t="inlineStr">
        <is>
          <t>'111719</t>
        </is>
      </c>
      <c r="E3583" s="0" t="inlineStr">
        <is>
          <t>IOWA SUN SPORT BRA:111719A-S</t>
        </is>
      </c>
      <c r="F3583" s="0" t="inlineStr">
        <is>
          <t>'800111719040</t>
        </is>
      </c>
      <c r="G3583" s="0" t="inlineStr">
        <is>
          <t>WOMENS</t>
        </is>
      </c>
      <c r="H3583" s="0" t="inlineStr">
        <is>
          <t>S</t>
        </is>
      </c>
      <c r="I3583" s="0">
        <v>29.99</v>
      </c>
      <c r="J3583" s="0">
        <v>14</v>
      </c>
    </row>
    <row r="3584" spans="1:10" customHeight="0">
      <c r="A3584" s="0">
        <f>HYPERLINK("https://dl.dropboxusercontent.com/scl/fi/syoeg6ynsh92a6vxnu7lf/111719-af.jpg?rlkey=vanp15lxqpbfnjuexssxsv6xm&amp;dl=0","Click to download Image")</f>
      </c>
      <c r="B3584" s="0">
        <f>HYPERLINK("https://dl.dropboxusercontent.com/scl/fi/8333bmybqm9psw1thgpup/8-19womens-sports-bra.jpg?rlkey=5m826e9czfvnp23teav7ph299&amp;dl=0","Click to download SizeChart")</f>
      </c>
      <c r="C3584" s="0" t="inlineStr">
        <is>
          <t>Sun Women's Criss-Cross Sports Bra</t>
        </is>
      </c>
      <c r="D3584" s="0" t="inlineStr">
        <is>
          <t>'111719</t>
        </is>
      </c>
      <c r="E3584" s="0" t="inlineStr">
        <is>
          <t>IOWA SUN SPORT BRA:111719B-M</t>
        </is>
      </c>
      <c r="F3584" s="0" t="inlineStr">
        <is>
          <t>'800111719057</t>
        </is>
      </c>
      <c r="G3584" s="0" t="inlineStr">
        <is>
          <t>WOMENS</t>
        </is>
      </c>
      <c r="H3584" s="0" t="inlineStr">
        <is>
          <t>M</t>
        </is>
      </c>
      <c r="I3584" s="0">
        <v>29.99</v>
      </c>
      <c r="J3584" s="0">
        <v>6</v>
      </c>
    </row>
    <row r="3585" spans="1:10" customHeight="0">
      <c r="A3585" s="0">
        <f>HYPERLINK("https://dl.dropboxusercontent.com/scl/fi/syoeg6ynsh92a6vxnu7lf/111719-af.jpg?rlkey=vanp15lxqpbfnjuexssxsv6xm&amp;dl=0","Click to download Image")</f>
      </c>
      <c r="B3585" s="0">
        <f>HYPERLINK("https://dl.dropboxusercontent.com/scl/fi/8333bmybqm9psw1thgpup/8-19womens-sports-bra.jpg?rlkey=5m826e9czfvnp23teav7ph299&amp;dl=0","Click to download SizeChart")</f>
      </c>
      <c r="C3585" s="0" t="inlineStr">
        <is>
          <t>Sun Women's Criss-Cross Sports Bra</t>
        </is>
      </c>
      <c r="D3585" s="0" t="inlineStr">
        <is>
          <t>'111719</t>
        </is>
      </c>
      <c r="E3585" s="0" t="inlineStr">
        <is>
          <t>IOWA SUN SPORT BRA:111719C-L</t>
        </is>
      </c>
      <c r="F3585" s="0" t="inlineStr">
        <is>
          <t>'800111719064</t>
        </is>
      </c>
      <c r="G3585" s="0" t="inlineStr">
        <is>
          <t>WOMENS</t>
        </is>
      </c>
      <c r="H3585" s="0" t="inlineStr">
        <is>
          <t>L</t>
        </is>
      </c>
      <c r="I3585" s="0">
        <v>29.99</v>
      </c>
      <c r="J3585" s="0">
        <v>9</v>
      </c>
    </row>
    <row r="3586" spans="1:10" customHeight="0">
      <c r="A3586" s="0">
        <f>HYPERLINK("https://dl.dropboxusercontent.com/scl/fi/syoeg6ynsh92a6vxnu7lf/111719-af.jpg?rlkey=vanp15lxqpbfnjuexssxsv6xm&amp;dl=0","Click to download Image")</f>
      </c>
      <c r="B3586" s="0">
        <f>HYPERLINK("https://dl.dropboxusercontent.com/scl/fi/8333bmybqm9psw1thgpup/8-19womens-sports-bra.jpg?rlkey=5m826e9czfvnp23teav7ph299&amp;dl=0","Click to download SizeChart")</f>
      </c>
      <c r="C3586" s="0" t="inlineStr">
        <is>
          <t>Sun Women's Criss-Cross Sports Bra</t>
        </is>
      </c>
      <c r="D3586" s="0" t="inlineStr">
        <is>
          <t>'111719</t>
        </is>
      </c>
      <c r="E3586" s="0" t="inlineStr">
        <is>
          <t>IOWA SUN SPORT BRA:111719D-XL</t>
        </is>
      </c>
      <c r="F3586" s="0" t="inlineStr">
        <is>
          <t>'800111719071</t>
        </is>
      </c>
      <c r="G3586" s="0" t="inlineStr">
        <is>
          <t>WOMENS</t>
        </is>
      </c>
      <c r="H3586" s="0" t="inlineStr">
        <is>
          <t>XL</t>
        </is>
      </c>
      <c r="I3586" s="0">
        <v>29.99</v>
      </c>
      <c r="J3586" s="0">
        <v>21</v>
      </c>
    </row>
    <row r="3587" spans="1:10" customHeight="0">
      <c r="A3587" s="0">
        <f>HYPERLINK("https://dl.dropboxusercontent.com/scl/fi/syoeg6ynsh92a6vxnu7lf/111719-af.jpg?rlkey=vanp15lxqpbfnjuexssxsv6xm&amp;dl=0","Click to download Image")</f>
      </c>
      <c r="B3587" s="0">
        <f>HYPERLINK("https://dl.dropboxusercontent.com/scl/fi/8333bmybqm9psw1thgpup/8-19womens-sports-bra.jpg?rlkey=5m826e9czfvnp23teav7ph299&amp;dl=0","Click to download SizeChart")</f>
      </c>
      <c r="C3587" s="0" t="inlineStr">
        <is>
          <t>Sun Women's Criss-Cross Sports Bra</t>
        </is>
      </c>
      <c r="D3587" s="0" t="inlineStr">
        <is>
          <t>'111719</t>
        </is>
      </c>
      <c r="E3587" s="0" t="inlineStr">
        <is>
          <t>IOWA SUN SPORT BRA GOLD 12 PACK:111719Z-12PK</t>
        </is>
      </c>
      <c r="F3587" s="0" t="inlineStr">
        <is>
          <t>'800111719996</t>
        </is>
      </c>
      <c r="G3587" s="0" t="inlineStr">
        <is>
          <t>WOMENS</t>
        </is>
      </c>
      <c r="H3587" s="0" t="inlineStr">
        <is>
          <t>12 PACK</t>
        </is>
      </c>
      <c r="I3587" s="0">
        <v>341.88</v>
      </c>
      <c r="J3587" s="0">
        <v>0</v>
      </c>
    </row>
    <row r="3588" spans="1:10" customHeight="0">
      <c r="A3588" s="0">
        <f>HYPERLINK("https://dl.dropboxusercontent.com/scl/fi/cyrzl469rf8yuwy4p50bn/111718-af.jpg?rlkey=wsyvx9usc76grdhm9zl73n1cf&amp;dl=0","Click to download Image")</f>
      </c>
      <c r="B3588" s="0">
        <f>HYPERLINK("https://dl.dropboxusercontent.com/scl/fi/8333bmybqm9psw1thgpup/8-19womens-sports-bra.jpg?rlkey=5m826e9czfvnp23teav7ph299&amp;dl=0","Click to download SizeChart")</f>
      </c>
      <c r="C3588" s="0" t="inlineStr">
        <is>
          <t>Sun Women's Criss-Cross Sports Bra</t>
        </is>
      </c>
      <c r="D3588" s="0" t="inlineStr">
        <is>
          <t>'111718</t>
        </is>
      </c>
      <c r="E3588" s="0" t="inlineStr">
        <is>
          <t>IOWA SUN SPORT BRA WHITE:111718AA-XS</t>
        </is>
      </c>
      <c r="F3588" s="0" t="inlineStr">
        <is>
          <t>'800111718036</t>
        </is>
      </c>
      <c r="G3588" s="0" t="inlineStr">
        <is>
          <t>WOMENS</t>
        </is>
      </c>
      <c r="H3588" s="0" t="inlineStr">
        <is>
          <t>XS</t>
        </is>
      </c>
      <c r="I3588" s="0">
        <v>29.99</v>
      </c>
      <c r="J3588" s="0">
        <v>12</v>
      </c>
    </row>
    <row r="3589" spans="1:10" customHeight="0">
      <c r="A3589" s="0">
        <f>HYPERLINK("https://dl.dropboxusercontent.com/scl/fi/cyrzl469rf8yuwy4p50bn/111718-af.jpg?rlkey=wsyvx9usc76grdhm9zl73n1cf&amp;dl=0","Click to download Image")</f>
      </c>
      <c r="B3589" s="0">
        <f>HYPERLINK("https://dl.dropboxusercontent.com/scl/fi/8333bmybqm9psw1thgpup/8-19womens-sports-bra.jpg?rlkey=5m826e9czfvnp23teav7ph299&amp;dl=0","Click to download SizeChart")</f>
      </c>
      <c r="C3589" s="0" t="inlineStr">
        <is>
          <t>Sun Women's Criss-Cross Sports Bra</t>
        </is>
      </c>
      <c r="D3589" s="0" t="inlineStr">
        <is>
          <t>'111718</t>
        </is>
      </c>
      <c r="E3589" s="0" t="inlineStr">
        <is>
          <t>IOWA SUN SPORT BRA WHITE:111718A-S</t>
        </is>
      </c>
      <c r="F3589" s="0" t="inlineStr">
        <is>
          <t>'800111718043</t>
        </is>
      </c>
      <c r="G3589" s="0" t="inlineStr">
        <is>
          <t>WOMENS</t>
        </is>
      </c>
      <c r="H3589" s="0" t="inlineStr">
        <is>
          <t>S</t>
        </is>
      </c>
      <c r="I3589" s="0">
        <v>29.99</v>
      </c>
      <c r="J3589" s="0">
        <v>7</v>
      </c>
    </row>
    <row r="3590" spans="1:10" customHeight="0">
      <c r="A3590" s="0">
        <f>HYPERLINK("https://dl.dropboxusercontent.com/scl/fi/cyrzl469rf8yuwy4p50bn/111718-af.jpg?rlkey=wsyvx9usc76grdhm9zl73n1cf&amp;dl=0","Click to download Image")</f>
      </c>
      <c r="B3590" s="0">
        <f>HYPERLINK("https://dl.dropboxusercontent.com/scl/fi/8333bmybqm9psw1thgpup/8-19womens-sports-bra.jpg?rlkey=5m826e9czfvnp23teav7ph299&amp;dl=0","Click to download SizeChart")</f>
      </c>
      <c r="C3590" s="0" t="inlineStr">
        <is>
          <t>Sun Women's Criss-Cross Sports Bra</t>
        </is>
      </c>
      <c r="D3590" s="0" t="inlineStr">
        <is>
          <t>'111718</t>
        </is>
      </c>
      <c r="E3590" s="0" t="inlineStr">
        <is>
          <t>IOWA SUN SPORT BRA WHITE:111718B-M</t>
        </is>
      </c>
      <c r="F3590" s="0" t="inlineStr">
        <is>
          <t>'800111718050</t>
        </is>
      </c>
      <c r="G3590" s="0" t="inlineStr">
        <is>
          <t>WOMENS</t>
        </is>
      </c>
      <c r="H3590" s="0" t="inlineStr">
        <is>
          <t>M</t>
        </is>
      </c>
      <c r="I3590" s="0">
        <v>29.99</v>
      </c>
      <c r="J3590" s="0">
        <v>3</v>
      </c>
    </row>
    <row r="3591" spans="1:10" customHeight="0">
      <c r="A3591" s="0">
        <f>HYPERLINK("https://dl.dropboxusercontent.com/scl/fi/cyrzl469rf8yuwy4p50bn/111718-af.jpg?rlkey=wsyvx9usc76grdhm9zl73n1cf&amp;dl=0","Click to download Image")</f>
      </c>
      <c r="B3591" s="0">
        <f>HYPERLINK("https://dl.dropboxusercontent.com/scl/fi/8333bmybqm9psw1thgpup/8-19womens-sports-bra.jpg?rlkey=5m826e9czfvnp23teav7ph299&amp;dl=0","Click to download SizeChart")</f>
      </c>
      <c r="C3591" s="0" t="inlineStr">
        <is>
          <t>Sun Women's Criss-Cross Sports Bra</t>
        </is>
      </c>
      <c r="D3591" s="0" t="inlineStr">
        <is>
          <t>'111718</t>
        </is>
      </c>
      <c r="E3591" s="0" t="inlineStr">
        <is>
          <t>IOWA SUN SPORT BRA WHITE:111718C-L</t>
        </is>
      </c>
      <c r="F3591" s="0" t="inlineStr">
        <is>
          <t>'800111718067</t>
        </is>
      </c>
      <c r="G3591" s="0" t="inlineStr">
        <is>
          <t>WOMENS</t>
        </is>
      </c>
      <c r="H3591" s="0" t="inlineStr">
        <is>
          <t>L</t>
        </is>
      </c>
      <c r="I3591" s="0">
        <v>29.99</v>
      </c>
      <c r="J3591" s="0">
        <v>3</v>
      </c>
    </row>
    <row r="3592" spans="1:10" customHeight="0">
      <c r="A3592" s="0">
        <f>HYPERLINK("https://dl.dropboxusercontent.com/scl/fi/cyrzl469rf8yuwy4p50bn/111718-af.jpg?rlkey=wsyvx9usc76grdhm9zl73n1cf&amp;dl=0","Click to download Image")</f>
      </c>
      <c r="B3592" s="0">
        <f>HYPERLINK("https://dl.dropboxusercontent.com/scl/fi/8333bmybqm9psw1thgpup/8-19womens-sports-bra.jpg?rlkey=5m826e9czfvnp23teav7ph299&amp;dl=0","Click to download SizeChart")</f>
      </c>
      <c r="C3592" s="0" t="inlineStr">
        <is>
          <t>Sun Women's Criss-Cross Sports Bra</t>
        </is>
      </c>
      <c r="D3592" s="0" t="inlineStr">
        <is>
          <t>'111718</t>
        </is>
      </c>
      <c r="E3592" s="0" t="inlineStr">
        <is>
          <t>IOWA SUN SPORT BRA WHITE:111718D-XL</t>
        </is>
      </c>
      <c r="F3592" s="0" t="inlineStr">
        <is>
          <t>'800111718074</t>
        </is>
      </c>
      <c r="G3592" s="0" t="inlineStr">
        <is>
          <t>WOMENS</t>
        </is>
      </c>
      <c r="H3592" s="0" t="inlineStr">
        <is>
          <t>XL</t>
        </is>
      </c>
      <c r="I3592" s="0">
        <v>29.99</v>
      </c>
      <c r="J3592" s="0">
        <v>7</v>
      </c>
    </row>
    <row r="3593" spans="1:10" customHeight="0">
      <c r="A3593" s="0">
        <f>HYPERLINK("https://dl.dropboxusercontent.com/scl/fi/cyrzl469rf8yuwy4p50bn/111718-af.jpg?rlkey=wsyvx9usc76grdhm9zl73n1cf&amp;dl=0","Click to download Image")</f>
      </c>
      <c r="B3593" s="0">
        <f>HYPERLINK("https://dl.dropboxusercontent.com/scl/fi/8333bmybqm9psw1thgpup/8-19womens-sports-bra.jpg?rlkey=5m826e9czfvnp23teav7ph299&amp;dl=0","Click to download SizeChart")</f>
      </c>
      <c r="C3593" s="0" t="inlineStr">
        <is>
          <t>Sun Women's Criss-Cross Sports Bra</t>
        </is>
      </c>
      <c r="D3593" s="0" t="inlineStr">
        <is>
          <t>'111718</t>
        </is>
      </c>
      <c r="E3593" s="0" t="inlineStr">
        <is>
          <t>IOWA SUN SPORT BRA WHITE 12 PACK:111718Z-12PK</t>
        </is>
      </c>
      <c r="F3593" s="0" t="inlineStr">
        <is>
          <t>'800111718999</t>
        </is>
      </c>
      <c r="G3593" s="0" t="inlineStr">
        <is>
          <t>WOMENS</t>
        </is>
      </c>
      <c r="H3593" s="0" t="inlineStr">
        <is>
          <t>12 PACK</t>
        </is>
      </c>
      <c r="I3593" s="0">
        <v>341.88</v>
      </c>
      <c r="J3593" s="0">
        <v>0</v>
      </c>
    </row>
    <row r="3594" spans="1:10" customHeight="0">
      <c r="A3594" s="0">
        <f>HYPERLINK("https://dl.dropboxusercontent.com/scl/fi/dapguh8asuvtnhnznens5/128630-af.jpg?rlkey=u58s85phv1i03rthjfwmq1110&amp;dl=0","Click to download Image")</f>
      </c>
      <c r="B3594" s="0">
        <f>HYPERLINK("https://dl.dropboxusercontent.com/scl/fi/8333bmybqm9psw1thgpup/8-19womens-sports-bra.jpg?rlkey=5m826e9czfvnp23teav7ph299&amp;dl=0","Click to download SizeChart")</f>
      </c>
      <c r="C3594" s="0" t="inlineStr">
        <is>
          <t>Sun Women's Criss-Cross Sports Bra</t>
        </is>
      </c>
      <c r="D3594" s="0" t="inlineStr">
        <is>
          <t>'128630</t>
        </is>
      </c>
      <c r="E3594" s="0" t="inlineStr">
        <is>
          <t>ISU SUN W BK:128630AA-XS</t>
        </is>
      </c>
      <c r="F3594" s="0" t="inlineStr">
        <is>
          <t>'801128630038</t>
        </is>
      </c>
      <c r="G3594" s="0" t="inlineStr">
        <is>
          <t>WOMENS</t>
        </is>
      </c>
      <c r="H3594" s="0" t="inlineStr">
        <is>
          <t>XS</t>
        </is>
      </c>
      <c r="I3594" s="0">
        <v>29.99</v>
      </c>
      <c r="J3594" s="0">
        <v>17</v>
      </c>
    </row>
    <row r="3595" spans="1:10" customHeight="0">
      <c r="A3595" s="0">
        <f>HYPERLINK("https://dl.dropboxusercontent.com/scl/fi/dapguh8asuvtnhnznens5/128630-af.jpg?rlkey=u58s85phv1i03rthjfwmq1110&amp;dl=0","Click to download Image")</f>
      </c>
      <c r="B3595" s="0">
        <f>HYPERLINK("https://dl.dropboxusercontent.com/scl/fi/8333bmybqm9psw1thgpup/8-19womens-sports-bra.jpg?rlkey=5m826e9czfvnp23teav7ph299&amp;dl=0","Click to download SizeChart")</f>
      </c>
      <c r="C3595" s="0" t="inlineStr">
        <is>
          <t>Sun Women's Criss-Cross Sports Bra</t>
        </is>
      </c>
      <c r="D3595" s="0" t="inlineStr">
        <is>
          <t>'128630</t>
        </is>
      </c>
      <c r="E3595" s="0" t="inlineStr">
        <is>
          <t>ISU SUN W BK:128630A-S</t>
        </is>
      </c>
      <c r="F3595" s="0" t="inlineStr">
        <is>
          <t>'801128630045</t>
        </is>
      </c>
      <c r="G3595" s="0" t="inlineStr">
        <is>
          <t>WOMENS</t>
        </is>
      </c>
      <c r="H3595" s="0" t="inlineStr">
        <is>
          <t>S</t>
        </is>
      </c>
      <c r="I3595" s="0">
        <v>29.99</v>
      </c>
      <c r="J3595" s="0">
        <v>10</v>
      </c>
    </row>
    <row r="3596" spans="1:10" customHeight="0">
      <c r="A3596" s="0">
        <f>HYPERLINK("https://dl.dropboxusercontent.com/scl/fi/dapguh8asuvtnhnznens5/128630-af.jpg?rlkey=u58s85phv1i03rthjfwmq1110&amp;dl=0","Click to download Image")</f>
      </c>
      <c r="B3596" s="0">
        <f>HYPERLINK("https://dl.dropboxusercontent.com/scl/fi/8333bmybqm9psw1thgpup/8-19womens-sports-bra.jpg?rlkey=5m826e9czfvnp23teav7ph299&amp;dl=0","Click to download SizeChart")</f>
      </c>
      <c r="C3596" s="0" t="inlineStr">
        <is>
          <t>Sun Women's Criss-Cross Sports Bra</t>
        </is>
      </c>
      <c r="D3596" s="0" t="inlineStr">
        <is>
          <t>'128630</t>
        </is>
      </c>
      <c r="E3596" s="0" t="inlineStr">
        <is>
          <t>ISU SUN W BK:128630B-M</t>
        </is>
      </c>
      <c r="F3596" s="0" t="inlineStr">
        <is>
          <t>'801128630052</t>
        </is>
      </c>
      <c r="G3596" s="0" t="inlineStr">
        <is>
          <t>WOMENS</t>
        </is>
      </c>
      <c r="H3596" s="0" t="inlineStr">
        <is>
          <t>M</t>
        </is>
      </c>
      <c r="I3596" s="0">
        <v>29.99</v>
      </c>
      <c r="J3596" s="0">
        <v>12</v>
      </c>
    </row>
    <row r="3597" spans="1:10" customHeight="0">
      <c r="A3597" s="0">
        <f>HYPERLINK("https://dl.dropboxusercontent.com/scl/fi/dapguh8asuvtnhnznens5/128630-af.jpg?rlkey=u58s85phv1i03rthjfwmq1110&amp;dl=0","Click to download Image")</f>
      </c>
      <c r="B3597" s="0">
        <f>HYPERLINK("https://dl.dropboxusercontent.com/scl/fi/8333bmybqm9psw1thgpup/8-19womens-sports-bra.jpg?rlkey=5m826e9czfvnp23teav7ph299&amp;dl=0","Click to download SizeChart")</f>
      </c>
      <c r="C3597" s="0" t="inlineStr">
        <is>
          <t>Sun Women's Criss-Cross Sports Bra</t>
        </is>
      </c>
      <c r="D3597" s="0" t="inlineStr">
        <is>
          <t>'128630</t>
        </is>
      </c>
      <c r="E3597" s="0" t="inlineStr">
        <is>
          <t>ISU SUN W BK:128630C-L</t>
        </is>
      </c>
      <c r="F3597" s="0" t="inlineStr">
        <is>
          <t>'801128630069</t>
        </is>
      </c>
      <c r="G3597" s="0" t="inlineStr">
        <is>
          <t>WOMENS</t>
        </is>
      </c>
      <c r="H3597" s="0" t="inlineStr">
        <is>
          <t>L</t>
        </is>
      </c>
      <c r="I3597" s="0">
        <v>29.99</v>
      </c>
      <c r="J3597" s="0">
        <v>12</v>
      </c>
    </row>
    <row r="3598" spans="1:10" customHeight="0">
      <c r="A3598" s="0">
        <f>HYPERLINK("https://dl.dropboxusercontent.com/scl/fi/dapguh8asuvtnhnznens5/128630-af.jpg?rlkey=u58s85phv1i03rthjfwmq1110&amp;dl=0","Click to download Image")</f>
      </c>
      <c r="B3598" s="0">
        <f>HYPERLINK("https://dl.dropboxusercontent.com/scl/fi/8333bmybqm9psw1thgpup/8-19womens-sports-bra.jpg?rlkey=5m826e9czfvnp23teav7ph299&amp;dl=0","Click to download SizeChart")</f>
      </c>
      <c r="C3598" s="0" t="inlineStr">
        <is>
          <t>Sun Women's Criss-Cross Sports Bra</t>
        </is>
      </c>
      <c r="D3598" s="0" t="inlineStr">
        <is>
          <t>'128630</t>
        </is>
      </c>
      <c r="E3598" s="0" t="inlineStr">
        <is>
          <t>ISU SUN W BK:128630D-XL</t>
        </is>
      </c>
      <c r="F3598" s="0" t="inlineStr">
        <is>
          <t>'801128630076</t>
        </is>
      </c>
      <c r="G3598" s="0" t="inlineStr">
        <is>
          <t>WOMENS</t>
        </is>
      </c>
      <c r="H3598" s="0" t="inlineStr">
        <is>
          <t>XL</t>
        </is>
      </c>
      <c r="I3598" s="0">
        <v>29.99</v>
      </c>
      <c r="J3598" s="0">
        <v>16</v>
      </c>
    </row>
    <row r="3599" spans="1:10" customHeight="0">
      <c r="A3599" s="0">
        <f>HYPERLINK("https://dl.dropboxusercontent.com/scl/fi/dapguh8asuvtnhnznens5/128630-af.jpg?rlkey=u58s85phv1i03rthjfwmq1110&amp;dl=0","Click to download Image")</f>
      </c>
      <c r="B3599" s="0">
        <f>HYPERLINK("https://dl.dropboxusercontent.com/scl/fi/8333bmybqm9psw1thgpup/8-19womens-sports-bra.jpg?rlkey=5m826e9czfvnp23teav7ph299&amp;dl=0","Click to download SizeChart")</f>
      </c>
      <c r="C3599" s="0" t="inlineStr">
        <is>
          <t>Sun Women's Criss-Cross Sports Bra</t>
        </is>
      </c>
      <c r="D3599" s="0" t="inlineStr">
        <is>
          <t>'128630</t>
        </is>
      </c>
      <c r="E3599" s="0" t="inlineStr">
        <is>
          <t>ISU SUN W BK 12PK:128630Z-12PK</t>
        </is>
      </c>
      <c r="F3599" s="0" t="inlineStr">
        <is>
          <t>'801128630991</t>
        </is>
      </c>
      <c r="G3599" s="0" t="inlineStr">
        <is>
          <t>WOMENS</t>
        </is>
      </c>
      <c r="H3599" s="0" t="inlineStr">
        <is>
          <t>12 PACK</t>
        </is>
      </c>
      <c r="I3599" s="0">
        <v>341.88</v>
      </c>
      <c r="J3599" s="0">
        <v>0</v>
      </c>
    </row>
    <row r="3600" spans="1:10" customHeight="0">
      <c r="A3600" s="0">
        <f>HYPERLINK("https://dl.dropboxusercontent.com/scl/fi/x65swuqqpg2dolvhmpkjn/128633-af.jpg?rlkey=swwzchdpxxck1q040kegjzdnt&amp;dl=0","Click to download Image")</f>
      </c>
      <c r="B3600" s="0">
        <f>HYPERLINK("https://dl.dropboxusercontent.com/scl/fi/8333bmybqm9psw1thgpup/8-19womens-sports-bra.jpg?rlkey=5m826e9czfvnp23teav7ph299&amp;dl=0","Click to download SizeChart")</f>
      </c>
      <c r="C3600" s="0" t="inlineStr">
        <is>
          <t>Sun Women's Criss-Cross Sports Bra</t>
        </is>
      </c>
      <c r="D3600" s="0" t="inlineStr">
        <is>
          <t>'128633</t>
        </is>
      </c>
      <c r="E3600" s="0" t="inlineStr">
        <is>
          <t>ISU SUN W GD:128633AA-XS</t>
        </is>
      </c>
      <c r="F3600" s="0" t="inlineStr">
        <is>
          <t>'801128633039</t>
        </is>
      </c>
      <c r="G3600" s="0" t="inlineStr">
        <is>
          <t>WOMENS</t>
        </is>
      </c>
      <c r="H3600" s="0" t="inlineStr">
        <is>
          <t>XS</t>
        </is>
      </c>
      <c r="I3600" s="0">
        <v>29.99</v>
      </c>
      <c r="J3600" s="0">
        <v>12</v>
      </c>
    </row>
    <row r="3601" spans="1:10" customHeight="0">
      <c r="A3601" s="0">
        <f>HYPERLINK("https://dl.dropboxusercontent.com/scl/fi/x65swuqqpg2dolvhmpkjn/128633-af.jpg?rlkey=swwzchdpxxck1q040kegjzdnt&amp;dl=0","Click to download Image")</f>
      </c>
      <c r="B3601" s="0">
        <f>HYPERLINK("https://dl.dropboxusercontent.com/scl/fi/8333bmybqm9psw1thgpup/8-19womens-sports-bra.jpg?rlkey=5m826e9czfvnp23teav7ph299&amp;dl=0","Click to download SizeChart")</f>
      </c>
      <c r="C3601" s="0" t="inlineStr">
        <is>
          <t>Sun Women's Criss-Cross Sports Bra</t>
        </is>
      </c>
      <c r="D3601" s="0" t="inlineStr">
        <is>
          <t>'128633</t>
        </is>
      </c>
      <c r="E3601" s="0" t="inlineStr">
        <is>
          <t>ISU SUN W GD:128633A-S</t>
        </is>
      </c>
      <c r="F3601" s="0" t="inlineStr">
        <is>
          <t>'801128633046</t>
        </is>
      </c>
      <c r="G3601" s="0" t="inlineStr">
        <is>
          <t>WOMENS</t>
        </is>
      </c>
      <c r="H3601" s="0" t="inlineStr">
        <is>
          <t>S</t>
        </is>
      </c>
      <c r="I3601" s="0">
        <v>29.99</v>
      </c>
      <c r="J3601" s="0">
        <v>14</v>
      </c>
    </row>
    <row r="3602" spans="1:10" customHeight="0">
      <c r="A3602" s="0">
        <f>HYPERLINK("https://dl.dropboxusercontent.com/scl/fi/x65swuqqpg2dolvhmpkjn/128633-af.jpg?rlkey=swwzchdpxxck1q040kegjzdnt&amp;dl=0","Click to download Image")</f>
      </c>
      <c r="B3602" s="0">
        <f>HYPERLINK("https://dl.dropboxusercontent.com/scl/fi/8333bmybqm9psw1thgpup/8-19womens-sports-bra.jpg?rlkey=5m826e9czfvnp23teav7ph299&amp;dl=0","Click to download SizeChart")</f>
      </c>
      <c r="C3602" s="0" t="inlineStr">
        <is>
          <t>Sun Women's Criss-Cross Sports Bra</t>
        </is>
      </c>
      <c r="D3602" s="0" t="inlineStr">
        <is>
          <t>'128633</t>
        </is>
      </c>
      <c r="E3602" s="0" t="inlineStr">
        <is>
          <t>ISU SUN W GD:128633B-M</t>
        </is>
      </c>
      <c r="F3602" s="0" t="inlineStr">
        <is>
          <t>'801128633053</t>
        </is>
      </c>
      <c r="G3602" s="0" t="inlineStr">
        <is>
          <t>WOMENS</t>
        </is>
      </c>
      <c r="H3602" s="0" t="inlineStr">
        <is>
          <t>M</t>
        </is>
      </c>
      <c r="I3602" s="0">
        <v>29.99</v>
      </c>
      <c r="J3602" s="0">
        <v>16</v>
      </c>
    </row>
    <row r="3603" spans="1:10" customHeight="0">
      <c r="A3603" s="0">
        <f>HYPERLINK("https://dl.dropboxusercontent.com/scl/fi/x65swuqqpg2dolvhmpkjn/128633-af.jpg?rlkey=swwzchdpxxck1q040kegjzdnt&amp;dl=0","Click to download Image")</f>
      </c>
      <c r="B3603" s="0">
        <f>HYPERLINK("https://dl.dropboxusercontent.com/scl/fi/8333bmybqm9psw1thgpup/8-19womens-sports-bra.jpg?rlkey=5m826e9czfvnp23teav7ph299&amp;dl=0","Click to download SizeChart")</f>
      </c>
      <c r="C3603" s="0" t="inlineStr">
        <is>
          <t>Sun Women's Criss-Cross Sports Bra</t>
        </is>
      </c>
      <c r="D3603" s="0" t="inlineStr">
        <is>
          <t>'128633</t>
        </is>
      </c>
      <c r="E3603" s="0" t="inlineStr">
        <is>
          <t>ISU SUN W GD:128633C-L</t>
        </is>
      </c>
      <c r="F3603" s="0" t="inlineStr">
        <is>
          <t>'801128633060</t>
        </is>
      </c>
      <c r="G3603" s="0" t="inlineStr">
        <is>
          <t>WOMENS</t>
        </is>
      </c>
      <c r="H3603" s="0" t="inlineStr">
        <is>
          <t>L</t>
        </is>
      </c>
      <c r="I3603" s="0">
        <v>29.99</v>
      </c>
      <c r="J3603" s="0">
        <v>9</v>
      </c>
    </row>
    <row r="3604" spans="1:10" customHeight="0">
      <c r="A3604" s="0">
        <f>HYPERLINK("https://dl.dropboxusercontent.com/scl/fi/x65swuqqpg2dolvhmpkjn/128633-af.jpg?rlkey=swwzchdpxxck1q040kegjzdnt&amp;dl=0","Click to download Image")</f>
      </c>
      <c r="B3604" s="0">
        <f>HYPERLINK("https://dl.dropboxusercontent.com/scl/fi/8333bmybqm9psw1thgpup/8-19womens-sports-bra.jpg?rlkey=5m826e9czfvnp23teav7ph299&amp;dl=0","Click to download SizeChart")</f>
      </c>
      <c r="C3604" s="0" t="inlineStr">
        <is>
          <t>Sun Women's Criss-Cross Sports Bra</t>
        </is>
      </c>
      <c r="D3604" s="0" t="inlineStr">
        <is>
          <t>'128633</t>
        </is>
      </c>
      <c r="E3604" s="0" t="inlineStr">
        <is>
          <t>ISU SUN W GD:128633D-XL</t>
        </is>
      </c>
      <c r="F3604" s="0" t="inlineStr">
        <is>
          <t>'801128633077</t>
        </is>
      </c>
      <c r="G3604" s="0" t="inlineStr">
        <is>
          <t>WOMENS</t>
        </is>
      </c>
      <c r="H3604" s="0" t="inlineStr">
        <is>
          <t>XL</t>
        </is>
      </c>
      <c r="I3604" s="0">
        <v>29.99</v>
      </c>
      <c r="J3604" s="0">
        <v>9</v>
      </c>
    </row>
    <row r="3605" spans="1:10" customHeight="0">
      <c r="A3605" s="0">
        <f>HYPERLINK("https://dl.dropboxusercontent.com/scl/fi/x65swuqqpg2dolvhmpkjn/128633-af.jpg?rlkey=swwzchdpxxck1q040kegjzdnt&amp;dl=0","Click to download Image")</f>
      </c>
      <c r="B3605" s="0">
        <f>HYPERLINK("https://dl.dropboxusercontent.com/scl/fi/8333bmybqm9psw1thgpup/8-19womens-sports-bra.jpg?rlkey=5m826e9czfvnp23teav7ph299&amp;dl=0","Click to download SizeChart")</f>
      </c>
      <c r="C3605" s="0" t="inlineStr">
        <is>
          <t>Sun Women's Criss-Cross Sports Bra</t>
        </is>
      </c>
      <c r="D3605" s="0" t="inlineStr">
        <is>
          <t>'128633</t>
        </is>
      </c>
      <c r="E3605" s="0" t="inlineStr">
        <is>
          <t>ISU SUN W GD 12PK:128633Z-12PK</t>
        </is>
      </c>
      <c r="F3605" s="0" t="inlineStr">
        <is>
          <t>'801128633992</t>
        </is>
      </c>
      <c r="G3605" s="0" t="inlineStr">
        <is>
          <t>WOMENS</t>
        </is>
      </c>
      <c r="H3605" s="0" t="inlineStr">
        <is>
          <t>12 PACK</t>
        </is>
      </c>
      <c r="I3605" s="0">
        <v>341.88</v>
      </c>
      <c r="J3605" s="0">
        <v>0</v>
      </c>
    </row>
    <row r="3606" spans="1:10" customHeight="0">
      <c r="A3606" s="0">
        <f>HYPERLINK("https://dl.dropboxusercontent.com/scl/fi/4fdxrcpolypo8uemz1633/128634-af.jpg?rlkey=v1aayvdgiczzjspeq3tpak0q8&amp;dl=0","Click to download Image")</f>
      </c>
      <c r="B3606" s="0">
        <f>HYPERLINK("https://dl.dropboxusercontent.com/scl/fi/8333bmybqm9psw1thgpup/8-19womens-sports-bra.jpg?rlkey=5m826e9czfvnp23teav7ph299&amp;dl=0","Click to download SizeChart")</f>
      </c>
      <c r="C3606" s="0" t="inlineStr">
        <is>
          <t>Sun Women's Criss-Cross Sports Bra</t>
        </is>
      </c>
      <c r="D3606" s="0" t="inlineStr">
        <is>
          <t>'128634</t>
        </is>
      </c>
      <c r="E3606" s="0" t="inlineStr">
        <is>
          <t>ISU SUN W WE:128634AA-XS</t>
        </is>
      </c>
      <c r="F3606" s="0" t="inlineStr">
        <is>
          <t>'801128634036</t>
        </is>
      </c>
      <c r="G3606" s="0" t="inlineStr">
        <is>
          <t>WOMENS</t>
        </is>
      </c>
      <c r="H3606" s="0" t="inlineStr">
        <is>
          <t>XS</t>
        </is>
      </c>
      <c r="I3606" s="0">
        <v>29.99</v>
      </c>
      <c r="J3606" s="0">
        <v>0</v>
      </c>
    </row>
    <row r="3607" spans="1:10" customHeight="0">
      <c r="A3607" s="0">
        <f>HYPERLINK("https://dl.dropboxusercontent.com/scl/fi/4fdxrcpolypo8uemz1633/128634-af.jpg?rlkey=v1aayvdgiczzjspeq3tpak0q8&amp;dl=0","Click to download Image")</f>
      </c>
      <c r="B3607" s="0">
        <f>HYPERLINK("https://dl.dropboxusercontent.com/scl/fi/8333bmybqm9psw1thgpup/8-19womens-sports-bra.jpg?rlkey=5m826e9czfvnp23teav7ph299&amp;dl=0","Click to download SizeChart")</f>
      </c>
      <c r="C3607" s="0" t="inlineStr">
        <is>
          <t>Sun Women's Criss-Cross Sports Bra</t>
        </is>
      </c>
      <c r="D3607" s="0" t="inlineStr">
        <is>
          <t>'128634</t>
        </is>
      </c>
      <c r="E3607" s="0" t="inlineStr">
        <is>
          <t>ISU SUN W WE:128634A-S</t>
        </is>
      </c>
      <c r="F3607" s="0" t="inlineStr">
        <is>
          <t>'801128634043</t>
        </is>
      </c>
      <c r="G3607" s="0" t="inlineStr">
        <is>
          <t>WOMENS</t>
        </is>
      </c>
      <c r="H3607" s="0" t="inlineStr">
        <is>
          <t>S</t>
        </is>
      </c>
      <c r="I3607" s="0">
        <v>29.99</v>
      </c>
      <c r="J3607" s="0">
        <v>3</v>
      </c>
    </row>
    <row r="3608" spans="1:10" customHeight="0">
      <c r="A3608" s="0">
        <f>HYPERLINK("https://dl.dropboxusercontent.com/scl/fi/4fdxrcpolypo8uemz1633/128634-af.jpg?rlkey=v1aayvdgiczzjspeq3tpak0q8&amp;dl=0","Click to download Image")</f>
      </c>
      <c r="B3608" s="0">
        <f>HYPERLINK("https://dl.dropboxusercontent.com/scl/fi/8333bmybqm9psw1thgpup/8-19womens-sports-bra.jpg?rlkey=5m826e9czfvnp23teav7ph299&amp;dl=0","Click to download SizeChart")</f>
      </c>
      <c r="C3608" s="0" t="inlineStr">
        <is>
          <t>Sun Women's Criss-Cross Sports Bra</t>
        </is>
      </c>
      <c r="D3608" s="0" t="inlineStr">
        <is>
          <t>'128634</t>
        </is>
      </c>
      <c r="E3608" s="0" t="inlineStr">
        <is>
          <t>ISU SUN W WE:128634B-M</t>
        </is>
      </c>
      <c r="F3608" s="0" t="inlineStr">
        <is>
          <t>'801128634050</t>
        </is>
      </c>
      <c r="G3608" s="0" t="inlineStr">
        <is>
          <t>WOMENS</t>
        </is>
      </c>
      <c r="H3608" s="0" t="inlineStr">
        <is>
          <t>M</t>
        </is>
      </c>
      <c r="I3608" s="0">
        <v>29.99</v>
      </c>
      <c r="J3608" s="0">
        <v>5</v>
      </c>
    </row>
    <row r="3609" spans="1:10" customHeight="0">
      <c r="A3609" s="0">
        <f>HYPERLINK("https://dl.dropboxusercontent.com/scl/fi/4fdxrcpolypo8uemz1633/128634-af.jpg?rlkey=v1aayvdgiczzjspeq3tpak0q8&amp;dl=0","Click to download Image")</f>
      </c>
      <c r="B3609" s="0">
        <f>HYPERLINK("https://dl.dropboxusercontent.com/scl/fi/8333bmybqm9psw1thgpup/8-19womens-sports-bra.jpg?rlkey=5m826e9czfvnp23teav7ph299&amp;dl=0","Click to download SizeChart")</f>
      </c>
      <c r="C3609" s="0" t="inlineStr">
        <is>
          <t>Sun Women's Criss-Cross Sports Bra</t>
        </is>
      </c>
      <c r="D3609" s="0" t="inlineStr">
        <is>
          <t>'128634</t>
        </is>
      </c>
      <c r="E3609" s="0" t="inlineStr">
        <is>
          <t>ISU SUN W WE:128634C-L</t>
        </is>
      </c>
      <c r="F3609" s="0" t="inlineStr">
        <is>
          <t>'801128634067</t>
        </is>
      </c>
      <c r="G3609" s="0" t="inlineStr">
        <is>
          <t>WOMENS</t>
        </is>
      </c>
      <c r="H3609" s="0" t="inlineStr">
        <is>
          <t>L</t>
        </is>
      </c>
      <c r="I3609" s="0">
        <v>29.99</v>
      </c>
      <c r="J3609" s="0">
        <v>4</v>
      </c>
    </row>
    <row r="3610" spans="1:10" customHeight="0">
      <c r="A3610" s="0">
        <f>HYPERLINK("https://dl.dropboxusercontent.com/scl/fi/4fdxrcpolypo8uemz1633/128634-af.jpg?rlkey=v1aayvdgiczzjspeq3tpak0q8&amp;dl=0","Click to download Image")</f>
      </c>
      <c r="B3610" s="0">
        <f>HYPERLINK("https://dl.dropboxusercontent.com/scl/fi/8333bmybqm9psw1thgpup/8-19womens-sports-bra.jpg?rlkey=5m826e9czfvnp23teav7ph299&amp;dl=0","Click to download SizeChart")</f>
      </c>
      <c r="C3610" s="0" t="inlineStr">
        <is>
          <t>Sun Women's Criss-Cross Sports Bra</t>
        </is>
      </c>
      <c r="D3610" s="0" t="inlineStr">
        <is>
          <t>'128634</t>
        </is>
      </c>
      <c r="E3610" s="0" t="inlineStr">
        <is>
          <t>ISU SUN W WE:128634D-XL</t>
        </is>
      </c>
      <c r="F3610" s="0" t="inlineStr">
        <is>
          <t>'801128634074</t>
        </is>
      </c>
      <c r="G3610" s="0" t="inlineStr">
        <is>
          <t>WOMENS</t>
        </is>
      </c>
      <c r="H3610" s="0" t="inlineStr">
        <is>
          <t>XL</t>
        </is>
      </c>
      <c r="I3610" s="0">
        <v>29.99</v>
      </c>
      <c r="J3610" s="0">
        <v>4</v>
      </c>
    </row>
    <row r="3611" spans="1:10" customHeight="0">
      <c r="A3611" s="0">
        <f>HYPERLINK("https://dl.dropboxusercontent.com/scl/fi/4fdxrcpolypo8uemz1633/128634-af.jpg?rlkey=v1aayvdgiczzjspeq3tpak0q8&amp;dl=0","Click to download Image")</f>
      </c>
      <c r="B3611" s="0">
        <f>HYPERLINK("https://dl.dropboxusercontent.com/scl/fi/8333bmybqm9psw1thgpup/8-19womens-sports-bra.jpg?rlkey=5m826e9czfvnp23teav7ph299&amp;dl=0","Click to download SizeChart")</f>
      </c>
      <c r="C3611" s="0" t="inlineStr">
        <is>
          <t>Sun Women's Criss-Cross Sports Bra</t>
        </is>
      </c>
      <c r="D3611" s="0" t="inlineStr">
        <is>
          <t>'128634</t>
        </is>
      </c>
      <c r="E3611" s="0" t="inlineStr">
        <is>
          <t>ISU SUN W WE 12PK:128634Z-12PK</t>
        </is>
      </c>
      <c r="F3611" s="0" t="inlineStr">
        <is>
          <t>'801128634999</t>
        </is>
      </c>
      <c r="G3611" s="0" t="inlineStr">
        <is>
          <t>WOMENS</t>
        </is>
      </c>
      <c r="H3611" s="0" t="inlineStr">
        <is>
          <t>12 PACK</t>
        </is>
      </c>
      <c r="I3611" s="0">
        <v>341.88</v>
      </c>
      <c r="J3611" s="0">
        <v>0</v>
      </c>
    </row>
    <row r="3612" spans="1:10" customHeight="0">
      <c r="A3612" s="0">
        <f>HYPERLINK("https://dl.dropboxusercontent.com/scl/fi/facuacv9mw6evbugjtv8q/112959-af.jpg?rlkey=afgcauhp259dhs1k8oegg2urp&amp;dl=0","Click to download Image")</f>
      </c>
      <c r="B3612" s="0">
        <f>HYPERLINK("https://dl.dropboxusercontent.com/scl/fi/zt6rr4s1v877c13bb8u07/womens-hoodie-and-sweatshirt-size-chartstierney.jpg?rlkey=wo8zuxni1v0x7sd9039xez75j&amp;dl=0","Click to download SizeChart")</f>
      </c>
      <c r="C3612" s="0" t="inlineStr">
        <is>
          <t>Tierney Women's Hoodie</t>
        </is>
      </c>
      <c r="D3612" s="0" t="inlineStr">
        <is>
          <t>'112959</t>
        </is>
      </c>
      <c r="E3612" s="0" t="inlineStr">
        <is>
          <t>UNI TIERNEY W GOLD STRIPES:112959A-S</t>
        </is>
      </c>
      <c r="F3612" s="0" t="inlineStr">
        <is>
          <t>'802112959043</t>
        </is>
      </c>
      <c r="G3612" s="0" t="inlineStr">
        <is>
          <t>WOMENS</t>
        </is>
      </c>
      <c r="H3612" s="0" t="inlineStr">
        <is>
          <t>S</t>
        </is>
      </c>
      <c r="I3612" s="0">
        <v>52.99</v>
      </c>
      <c r="J3612" s="0">
        <v>3</v>
      </c>
    </row>
    <row r="3613" spans="1:10" customHeight="0">
      <c r="A3613" s="0">
        <f>HYPERLINK("https://dl.dropboxusercontent.com/scl/fi/facuacv9mw6evbugjtv8q/112959-af.jpg?rlkey=afgcauhp259dhs1k8oegg2urp&amp;dl=0","Click to download Image")</f>
      </c>
      <c r="B3613" s="0">
        <f>HYPERLINK("https://dl.dropboxusercontent.com/scl/fi/zt6rr4s1v877c13bb8u07/womens-hoodie-and-sweatshirt-size-chartstierney.jpg?rlkey=wo8zuxni1v0x7sd9039xez75j&amp;dl=0","Click to download SizeChart")</f>
      </c>
      <c r="C3613" s="0" t="inlineStr">
        <is>
          <t>Tierney Women's Hoodie</t>
        </is>
      </c>
      <c r="D3613" s="0" t="inlineStr">
        <is>
          <t>'112959</t>
        </is>
      </c>
      <c r="E3613" s="0" t="inlineStr">
        <is>
          <t>UNI TIERNEY W GOLD STRIPES:112959B-M</t>
        </is>
      </c>
      <c r="F3613" s="0" t="inlineStr">
        <is>
          <t>'802112959050</t>
        </is>
      </c>
      <c r="G3613" s="0" t="inlineStr">
        <is>
          <t>WOMENS</t>
        </is>
      </c>
      <c r="H3613" s="0" t="inlineStr">
        <is>
          <t>M</t>
        </is>
      </c>
      <c r="I3613" s="0">
        <v>52.99</v>
      </c>
      <c r="J3613" s="0">
        <v>8</v>
      </c>
    </row>
    <row r="3614" spans="1:10" customHeight="0">
      <c r="A3614" s="0">
        <f>HYPERLINK("https://dl.dropboxusercontent.com/scl/fi/facuacv9mw6evbugjtv8q/112959-af.jpg?rlkey=afgcauhp259dhs1k8oegg2urp&amp;dl=0","Click to download Image")</f>
      </c>
      <c r="B3614" s="0">
        <f>HYPERLINK("https://dl.dropboxusercontent.com/scl/fi/zt6rr4s1v877c13bb8u07/womens-hoodie-and-sweatshirt-size-chartstierney.jpg?rlkey=wo8zuxni1v0x7sd9039xez75j&amp;dl=0","Click to download SizeChart")</f>
      </c>
      <c r="C3614" s="0" t="inlineStr">
        <is>
          <t>Tierney Women's Hoodie</t>
        </is>
      </c>
      <c r="D3614" s="0" t="inlineStr">
        <is>
          <t>'112959</t>
        </is>
      </c>
      <c r="E3614" s="0" t="inlineStr">
        <is>
          <t>UNI TIERNEY W GOLD STRIPES:112959C-L</t>
        </is>
      </c>
      <c r="F3614" s="0" t="inlineStr">
        <is>
          <t>'802112959067</t>
        </is>
      </c>
      <c r="G3614" s="0" t="inlineStr">
        <is>
          <t>WOMENS</t>
        </is>
      </c>
      <c r="H3614" s="0" t="inlineStr">
        <is>
          <t>L</t>
        </is>
      </c>
      <c r="I3614" s="0">
        <v>52.99</v>
      </c>
      <c r="J3614" s="0">
        <v>6</v>
      </c>
    </row>
    <row r="3615" spans="1:10" customHeight="0">
      <c r="A3615" s="0">
        <f>HYPERLINK("https://dl.dropboxusercontent.com/scl/fi/facuacv9mw6evbugjtv8q/112959-af.jpg?rlkey=afgcauhp259dhs1k8oegg2urp&amp;dl=0","Click to download Image")</f>
      </c>
      <c r="B3615" s="0">
        <f>HYPERLINK("https://dl.dropboxusercontent.com/scl/fi/zt6rr4s1v877c13bb8u07/womens-hoodie-and-sweatshirt-size-chartstierney.jpg?rlkey=wo8zuxni1v0x7sd9039xez75j&amp;dl=0","Click to download SizeChart")</f>
      </c>
      <c r="C3615" s="0" t="inlineStr">
        <is>
          <t>Tierney Women's Hoodie</t>
        </is>
      </c>
      <c r="D3615" s="0" t="inlineStr">
        <is>
          <t>'112959</t>
        </is>
      </c>
      <c r="E3615" s="0" t="inlineStr">
        <is>
          <t>UNI TIERNEY W GOLD STRIPES:112959D-XL</t>
        </is>
      </c>
      <c r="F3615" s="0" t="inlineStr">
        <is>
          <t>'802112959074</t>
        </is>
      </c>
      <c r="G3615" s="0" t="inlineStr">
        <is>
          <t>WOMENS</t>
        </is>
      </c>
      <c r="H3615" s="0" t="inlineStr">
        <is>
          <t>XL</t>
        </is>
      </c>
      <c r="I3615" s="0">
        <v>52.99</v>
      </c>
      <c r="J3615" s="0">
        <v>3</v>
      </c>
    </row>
    <row r="3616" spans="1:10" customHeight="0">
      <c r="A3616" s="0">
        <f>HYPERLINK("https://dl.dropboxusercontent.com/scl/fi/facuacv9mw6evbugjtv8q/112959-af.jpg?rlkey=afgcauhp259dhs1k8oegg2urp&amp;dl=0","Click to download Image")</f>
      </c>
      <c r="B3616" s="0">
        <f>HYPERLINK("https://dl.dropboxusercontent.com/scl/fi/zt6rr4s1v877c13bb8u07/womens-hoodie-and-sweatshirt-size-chartstierney.jpg?rlkey=wo8zuxni1v0x7sd9039xez75j&amp;dl=0","Click to download SizeChart")</f>
      </c>
      <c r="C3616" s="0" t="inlineStr">
        <is>
          <t>Tierney Women's Hoodie</t>
        </is>
      </c>
      <c r="D3616" s="0" t="inlineStr">
        <is>
          <t>'112959</t>
        </is>
      </c>
      <c r="E3616" s="0" t="inlineStr">
        <is>
          <t>UNI TIERNEY W GOLD STRIPES:112959E-2XL</t>
        </is>
      </c>
      <c r="F3616" s="0" t="inlineStr">
        <is>
          <t>'802112959081</t>
        </is>
      </c>
      <c r="G3616" s="0" t="inlineStr">
        <is>
          <t>WOMENS</t>
        </is>
      </c>
      <c r="H3616" s="0" t="inlineStr">
        <is>
          <t>2XL</t>
        </is>
      </c>
      <c r="I3616" s="0">
        <v>54.99</v>
      </c>
      <c r="J3616" s="0">
        <v>7</v>
      </c>
    </row>
    <row r="3617" spans="1:10" customHeight="0">
      <c r="A3617" s="0">
        <f>HYPERLINK("https://dl.dropboxusercontent.com/scl/fi/facuacv9mw6evbugjtv8q/112959-af.jpg?rlkey=afgcauhp259dhs1k8oegg2urp&amp;dl=0","Click to download Image")</f>
      </c>
      <c r="B3617" s="0">
        <f>HYPERLINK("https://dl.dropboxusercontent.com/scl/fi/zt6rr4s1v877c13bb8u07/womens-hoodie-and-sweatshirt-size-chartstierney.jpg?rlkey=wo8zuxni1v0x7sd9039xez75j&amp;dl=0","Click to download SizeChart")</f>
      </c>
      <c r="C3617" s="0" t="inlineStr">
        <is>
          <t>Tierney Women's Hoodie</t>
        </is>
      </c>
      <c r="D3617" s="0" t="inlineStr">
        <is>
          <t>'112959</t>
        </is>
      </c>
      <c r="E3617" s="0" t="inlineStr">
        <is>
          <t>UNI TIERNEY W GOLD STRIPES:112959F-3XL</t>
        </is>
      </c>
      <c r="F3617" s="0" t="inlineStr">
        <is>
          <t>'802112959098</t>
        </is>
      </c>
      <c r="G3617" s="0" t="inlineStr">
        <is>
          <t>WOMENS</t>
        </is>
      </c>
      <c r="H3617" s="0" t="inlineStr">
        <is>
          <t>3XL</t>
        </is>
      </c>
      <c r="I3617" s="0">
        <v>54.99</v>
      </c>
      <c r="J3617" s="0">
        <v>5</v>
      </c>
    </row>
    <row r="3618" spans="1:10" customHeight="0">
      <c r="A3618" s="0">
        <f>HYPERLINK("https://dl.dropboxusercontent.com/scl/fi/facuacv9mw6evbugjtv8q/112959-af.jpg?rlkey=afgcauhp259dhs1k8oegg2urp&amp;dl=0","Click to download Image")</f>
      </c>
      <c r="B3618" s="0">
        <f>HYPERLINK("https://dl.dropboxusercontent.com/scl/fi/zt6rr4s1v877c13bb8u07/womens-hoodie-and-sweatshirt-size-chartstierney.jpg?rlkey=wo8zuxni1v0x7sd9039xez75j&amp;dl=0","Click to download SizeChart")</f>
      </c>
      <c r="C3618" s="0" t="inlineStr">
        <is>
          <t>Tierney Women's Hoodie</t>
        </is>
      </c>
      <c r="D3618" s="0" t="inlineStr">
        <is>
          <t>'112959</t>
        </is>
      </c>
      <c r="E3618" s="0" t="inlineStr">
        <is>
          <t>UNI TIERNEY W GOLD STRIPES 12 PACK:112959Z-12PK</t>
        </is>
      </c>
      <c r="F3618" s="0" t="inlineStr">
        <is>
          <t>'802112959999</t>
        </is>
      </c>
      <c r="G3618" s="0" t="inlineStr">
        <is>
          <t>WOMENS</t>
        </is>
      </c>
      <c r="H3618" s="0" t="inlineStr">
        <is>
          <t>12 PACK</t>
        </is>
      </c>
      <c r="I3618" s="0">
        <v>611.88</v>
      </c>
      <c r="J3618" s="0">
        <v>0</v>
      </c>
    </row>
    <row r="3619" spans="1:10" customHeight="0">
      <c r="A3619" s="0">
        <f>HYPERLINK("https://dl.dropboxusercontent.com/scl/fi/001d2f4nan22f3nzuhmqf/112958-af.jpg?rlkey=goxphqhzbx502v5hxa0xsgxjj&amp;dl=0","Click to download Image")</f>
      </c>
      <c r="B3619" s="0">
        <f>HYPERLINK("https://dl.dropboxusercontent.com/scl/fi/zt6rr4s1v877c13bb8u07/womens-hoodie-and-sweatshirt-size-chartstierney.jpg?rlkey=wo8zuxni1v0x7sd9039xez75j&amp;dl=0","Click to download SizeChart")</f>
      </c>
      <c r="C3619" s="0" t="inlineStr">
        <is>
          <t>Tierney Women's Hoodie</t>
        </is>
      </c>
      <c r="D3619" s="0" t="inlineStr">
        <is>
          <t>'112958</t>
        </is>
      </c>
      <c r="E3619" s="0" t="inlineStr">
        <is>
          <t>ISU TIERNEY W GOLD STRIPES:112958A-S</t>
        </is>
      </c>
      <c r="F3619" s="0" t="inlineStr">
        <is>
          <t>'801112958049</t>
        </is>
      </c>
      <c r="G3619" s="0" t="inlineStr">
        <is>
          <t>WOMENS</t>
        </is>
      </c>
      <c r="H3619" s="0" t="inlineStr">
        <is>
          <t>S</t>
        </is>
      </c>
      <c r="I3619" s="0">
        <v>52.99</v>
      </c>
      <c r="J3619" s="0">
        <v>2</v>
      </c>
    </row>
    <row r="3620" spans="1:10" customHeight="0">
      <c r="A3620" s="0">
        <f>HYPERLINK("https://dl.dropboxusercontent.com/scl/fi/001d2f4nan22f3nzuhmqf/112958-af.jpg?rlkey=goxphqhzbx502v5hxa0xsgxjj&amp;dl=0","Click to download Image")</f>
      </c>
      <c r="B3620" s="0">
        <f>HYPERLINK("https://dl.dropboxusercontent.com/scl/fi/zt6rr4s1v877c13bb8u07/womens-hoodie-and-sweatshirt-size-chartstierney.jpg?rlkey=wo8zuxni1v0x7sd9039xez75j&amp;dl=0","Click to download SizeChart")</f>
      </c>
      <c r="C3620" s="0" t="inlineStr">
        <is>
          <t>Tierney Women's Hoodie</t>
        </is>
      </c>
      <c r="D3620" s="0" t="inlineStr">
        <is>
          <t>'112958</t>
        </is>
      </c>
      <c r="E3620" s="0" t="inlineStr">
        <is>
          <t>ISU TIERNEY W GOLD STRIPES:112958B-M</t>
        </is>
      </c>
      <c r="F3620" s="0" t="inlineStr">
        <is>
          <t>'801112958056</t>
        </is>
      </c>
      <c r="G3620" s="0" t="inlineStr">
        <is>
          <t>WOMENS</t>
        </is>
      </c>
      <c r="H3620" s="0" t="inlineStr">
        <is>
          <t>M</t>
        </is>
      </c>
      <c r="I3620" s="0">
        <v>52.99</v>
      </c>
      <c r="J3620" s="0">
        <v>7</v>
      </c>
    </row>
    <row r="3621" spans="1:10" customHeight="0">
      <c r="A3621" s="0">
        <f>HYPERLINK("https://dl.dropboxusercontent.com/scl/fi/001d2f4nan22f3nzuhmqf/112958-af.jpg?rlkey=goxphqhzbx502v5hxa0xsgxjj&amp;dl=0","Click to download Image")</f>
      </c>
      <c r="B3621" s="0">
        <f>HYPERLINK("https://dl.dropboxusercontent.com/scl/fi/zt6rr4s1v877c13bb8u07/womens-hoodie-and-sweatshirt-size-chartstierney.jpg?rlkey=wo8zuxni1v0x7sd9039xez75j&amp;dl=0","Click to download SizeChart")</f>
      </c>
      <c r="C3621" s="0" t="inlineStr">
        <is>
          <t>Tierney Women's Hoodie</t>
        </is>
      </c>
      <c r="D3621" s="0" t="inlineStr">
        <is>
          <t>'112958</t>
        </is>
      </c>
      <c r="E3621" s="0" t="inlineStr">
        <is>
          <t>ISU TIERNEY W GOLD STRIPES:112958C-L</t>
        </is>
      </c>
      <c r="F3621" s="0" t="inlineStr">
        <is>
          <t>'801112958063</t>
        </is>
      </c>
      <c r="G3621" s="0" t="inlineStr">
        <is>
          <t>WOMENS</t>
        </is>
      </c>
      <c r="H3621" s="0" t="inlineStr">
        <is>
          <t>L</t>
        </is>
      </c>
      <c r="I3621" s="0">
        <v>52.99</v>
      </c>
      <c r="J3621" s="0">
        <v>0</v>
      </c>
    </row>
    <row r="3622" spans="1:10" customHeight="0">
      <c r="A3622" s="0">
        <f>HYPERLINK("https://dl.dropboxusercontent.com/scl/fi/001d2f4nan22f3nzuhmqf/112958-af.jpg?rlkey=goxphqhzbx502v5hxa0xsgxjj&amp;dl=0","Click to download Image")</f>
      </c>
      <c r="B3622" s="0">
        <f>HYPERLINK("https://dl.dropboxusercontent.com/scl/fi/zt6rr4s1v877c13bb8u07/womens-hoodie-and-sweatshirt-size-chartstierney.jpg?rlkey=wo8zuxni1v0x7sd9039xez75j&amp;dl=0","Click to download SizeChart")</f>
      </c>
      <c r="C3622" s="0" t="inlineStr">
        <is>
          <t>Tierney Women's Hoodie</t>
        </is>
      </c>
      <c r="D3622" s="0" t="inlineStr">
        <is>
          <t>'112958</t>
        </is>
      </c>
      <c r="E3622" s="0" t="inlineStr">
        <is>
          <t>ISU TIERNEY W GOLD STRIPES:112958D-XL</t>
        </is>
      </c>
      <c r="F3622" s="0" t="inlineStr">
        <is>
          <t>'801112958070</t>
        </is>
      </c>
      <c r="G3622" s="0" t="inlineStr">
        <is>
          <t>WOMENS</t>
        </is>
      </c>
      <c r="H3622" s="0" t="inlineStr">
        <is>
          <t>XL</t>
        </is>
      </c>
      <c r="I3622" s="0">
        <v>52.99</v>
      </c>
      <c r="J3622" s="0">
        <v>0</v>
      </c>
    </row>
    <row r="3623" spans="1:10" customHeight="0">
      <c r="A3623" s="0">
        <f>HYPERLINK("https://dl.dropboxusercontent.com/scl/fi/001d2f4nan22f3nzuhmqf/112958-af.jpg?rlkey=goxphqhzbx502v5hxa0xsgxjj&amp;dl=0","Click to download Image")</f>
      </c>
      <c r="B3623" s="0">
        <f>HYPERLINK("https://dl.dropboxusercontent.com/scl/fi/zt6rr4s1v877c13bb8u07/womens-hoodie-and-sweatshirt-size-chartstierney.jpg?rlkey=wo8zuxni1v0x7sd9039xez75j&amp;dl=0","Click to download SizeChart")</f>
      </c>
      <c r="C3623" s="0" t="inlineStr">
        <is>
          <t>Tierney Women's Hoodie</t>
        </is>
      </c>
      <c r="D3623" s="0" t="inlineStr">
        <is>
          <t>'112958</t>
        </is>
      </c>
      <c r="E3623" s="0" t="inlineStr">
        <is>
          <t>ISU TIERNEY W GOLD STRIPES:112958E-2XL</t>
        </is>
      </c>
      <c r="F3623" s="0" t="inlineStr">
        <is>
          <t>'801112958087</t>
        </is>
      </c>
      <c r="G3623" s="0" t="inlineStr">
        <is>
          <t>WOMENS</t>
        </is>
      </c>
      <c r="H3623" s="0" t="inlineStr">
        <is>
          <t>2XL</t>
        </is>
      </c>
      <c r="I3623" s="0">
        <v>54.99</v>
      </c>
      <c r="J3623" s="0">
        <v>0</v>
      </c>
    </row>
    <row r="3624" spans="1:10" customHeight="0">
      <c r="A3624" s="0">
        <f>HYPERLINK("https://dl.dropboxusercontent.com/scl/fi/001d2f4nan22f3nzuhmqf/112958-af.jpg?rlkey=goxphqhzbx502v5hxa0xsgxjj&amp;dl=0","Click to download Image")</f>
      </c>
      <c r="B3624" s="0">
        <f>HYPERLINK("https://dl.dropboxusercontent.com/scl/fi/zt6rr4s1v877c13bb8u07/womens-hoodie-and-sweatshirt-size-chartstierney.jpg?rlkey=wo8zuxni1v0x7sd9039xez75j&amp;dl=0","Click to download SizeChart")</f>
      </c>
      <c r="C3624" s="0" t="inlineStr">
        <is>
          <t>Tierney Women's Hoodie</t>
        </is>
      </c>
      <c r="D3624" s="0" t="inlineStr">
        <is>
          <t>'112958</t>
        </is>
      </c>
      <c r="E3624" s="0" t="inlineStr">
        <is>
          <t>ISU TIERNEY W GOLD STRIPES:112958F-3XL</t>
        </is>
      </c>
      <c r="F3624" s="0" t="inlineStr">
        <is>
          <t>'801112958094</t>
        </is>
      </c>
      <c r="G3624" s="0" t="inlineStr">
        <is>
          <t>WOMENS</t>
        </is>
      </c>
      <c r="H3624" s="0" t="inlineStr">
        <is>
          <t>3XL</t>
        </is>
      </c>
      <c r="I3624" s="0">
        <v>54.99</v>
      </c>
      <c r="J3624" s="0">
        <v>8</v>
      </c>
    </row>
    <row r="3625" spans="1:10" customHeight="0">
      <c r="A3625" s="0">
        <f>HYPERLINK("https://dl.dropboxusercontent.com/scl/fi/001d2f4nan22f3nzuhmqf/112958-af.jpg?rlkey=goxphqhzbx502v5hxa0xsgxjj&amp;dl=0","Click to download Image")</f>
      </c>
      <c r="B3625" s="0">
        <f>HYPERLINK("https://dl.dropboxusercontent.com/scl/fi/zt6rr4s1v877c13bb8u07/womens-hoodie-and-sweatshirt-size-chartstierney.jpg?rlkey=wo8zuxni1v0x7sd9039xez75j&amp;dl=0","Click to download SizeChart")</f>
      </c>
      <c r="C3625" s="0" t="inlineStr">
        <is>
          <t>Tierney Women's Hoodie</t>
        </is>
      </c>
      <c r="D3625" s="0" t="inlineStr">
        <is>
          <t>'112958</t>
        </is>
      </c>
      <c r="E3625" s="0" t="inlineStr">
        <is>
          <t>ISU TIERNEY W GOLD STRIPES 12 PACK:112958Z-12PK</t>
        </is>
      </c>
      <c r="F3625" s="0" t="inlineStr">
        <is>
          <t>'801112958995</t>
        </is>
      </c>
      <c r="G3625" s="0" t="inlineStr">
        <is>
          <t>WOMENS</t>
        </is>
      </c>
      <c r="H3625" s="0" t="inlineStr">
        <is>
          <t>12 PACK</t>
        </is>
      </c>
      <c r="I3625" s="0">
        <v>611.88</v>
      </c>
      <c r="J3625" s="0">
        <v>0</v>
      </c>
    </row>
    <row r="3626" spans="1:10" customHeight="0">
      <c r="A3626" s="0">
        <f>HYPERLINK("https://dl.dropboxusercontent.com/scl/fi/tops5cuygw5j4sia8vvyo/114917-af.jpg?rlkey=oih9uzz8jjj9vqa6vl3jhrqnn&amp;dl=0","Click to download Image")</f>
      </c>
      <c r="B3626" s="0">
        <f>HYPERLINK("https://dl.dropboxusercontent.com/scl/fi/zt6rr4s1v877c13bb8u07/womens-hoodie-and-sweatshirt-size-chartstierney.jpg?rlkey=wo8zuxni1v0x7sd9039xez75j&amp;dl=0","Click to download SizeChart")</f>
      </c>
      <c r="C3626" s="0" t="inlineStr">
        <is>
          <t>Tierney Women's Hoodie</t>
        </is>
      </c>
      <c r="D3626" s="0" t="inlineStr">
        <is>
          <t>'114917</t>
        </is>
      </c>
      <c r="E3626" s="0" t="inlineStr">
        <is>
          <t>KSU TIERNEY W PURPLE:114917A-S</t>
        </is>
      </c>
      <c r="F3626" s="0" t="inlineStr">
        <is>
          <t>'805114917042</t>
        </is>
      </c>
      <c r="G3626" s="0" t="inlineStr">
        <is>
          <t>WOMENS</t>
        </is>
      </c>
      <c r="H3626" s="0" t="inlineStr">
        <is>
          <t>S</t>
        </is>
      </c>
      <c r="I3626" s="0">
        <v>52.99</v>
      </c>
      <c r="J3626" s="0">
        <v>2</v>
      </c>
    </row>
    <row r="3627" spans="1:10" customHeight="0">
      <c r="A3627" s="0">
        <f>HYPERLINK("https://dl.dropboxusercontent.com/scl/fi/tops5cuygw5j4sia8vvyo/114917-af.jpg?rlkey=oih9uzz8jjj9vqa6vl3jhrqnn&amp;dl=0","Click to download Image")</f>
      </c>
      <c r="B3627" s="0">
        <f>HYPERLINK("https://dl.dropboxusercontent.com/scl/fi/zt6rr4s1v877c13bb8u07/womens-hoodie-and-sweatshirt-size-chartstierney.jpg?rlkey=wo8zuxni1v0x7sd9039xez75j&amp;dl=0","Click to download SizeChart")</f>
      </c>
      <c r="C3627" s="0" t="inlineStr">
        <is>
          <t>Tierney Women's Hoodie</t>
        </is>
      </c>
      <c r="D3627" s="0" t="inlineStr">
        <is>
          <t>'114917</t>
        </is>
      </c>
      <c r="E3627" s="0" t="inlineStr">
        <is>
          <t>KSU TIERNEY W PURPLE:114917B-M</t>
        </is>
      </c>
      <c r="F3627" s="0" t="inlineStr">
        <is>
          <t>'805114917059</t>
        </is>
      </c>
      <c r="G3627" s="0" t="inlineStr">
        <is>
          <t>WOMENS</t>
        </is>
      </c>
      <c r="H3627" s="0" t="inlineStr">
        <is>
          <t>M</t>
        </is>
      </c>
      <c r="I3627" s="0">
        <v>52.99</v>
      </c>
      <c r="J3627" s="0">
        <v>8</v>
      </c>
    </row>
    <row r="3628" spans="1:10" customHeight="0">
      <c r="A3628" s="0">
        <f>HYPERLINK("https://dl.dropboxusercontent.com/scl/fi/tops5cuygw5j4sia8vvyo/114917-af.jpg?rlkey=oih9uzz8jjj9vqa6vl3jhrqnn&amp;dl=0","Click to download Image")</f>
      </c>
      <c r="B3628" s="0">
        <f>HYPERLINK("https://dl.dropboxusercontent.com/scl/fi/zt6rr4s1v877c13bb8u07/womens-hoodie-and-sweatshirt-size-chartstierney.jpg?rlkey=wo8zuxni1v0x7sd9039xez75j&amp;dl=0","Click to download SizeChart")</f>
      </c>
      <c r="C3628" s="0" t="inlineStr">
        <is>
          <t>Tierney Women's Hoodie</t>
        </is>
      </c>
      <c r="D3628" s="0" t="inlineStr">
        <is>
          <t>'114917</t>
        </is>
      </c>
      <c r="E3628" s="0" t="inlineStr">
        <is>
          <t>KSU TIERNEY W PURPLE:114917C-L</t>
        </is>
      </c>
      <c r="F3628" s="0" t="inlineStr">
        <is>
          <t>'805114917066</t>
        </is>
      </c>
      <c r="G3628" s="0" t="inlineStr">
        <is>
          <t>WOMENS</t>
        </is>
      </c>
      <c r="H3628" s="0" t="inlineStr">
        <is>
          <t>L</t>
        </is>
      </c>
      <c r="I3628" s="0">
        <v>52.99</v>
      </c>
      <c r="J3628" s="0">
        <v>10</v>
      </c>
    </row>
    <row r="3629" spans="1:10" customHeight="0">
      <c r="A3629" s="0">
        <f>HYPERLINK("https://dl.dropboxusercontent.com/scl/fi/tops5cuygw5j4sia8vvyo/114917-af.jpg?rlkey=oih9uzz8jjj9vqa6vl3jhrqnn&amp;dl=0","Click to download Image")</f>
      </c>
      <c r="B3629" s="0">
        <f>HYPERLINK("https://dl.dropboxusercontent.com/scl/fi/zt6rr4s1v877c13bb8u07/womens-hoodie-and-sweatshirt-size-chartstierney.jpg?rlkey=wo8zuxni1v0x7sd9039xez75j&amp;dl=0","Click to download SizeChart")</f>
      </c>
      <c r="C3629" s="0" t="inlineStr">
        <is>
          <t>Tierney Women's Hoodie</t>
        </is>
      </c>
      <c r="D3629" s="0" t="inlineStr">
        <is>
          <t>'114917</t>
        </is>
      </c>
      <c r="E3629" s="0" t="inlineStr">
        <is>
          <t>KSU TIERNEY W PURPLE:114917D-XL</t>
        </is>
      </c>
      <c r="F3629" s="0" t="inlineStr">
        <is>
          <t>'805114917073</t>
        </is>
      </c>
      <c r="G3629" s="0" t="inlineStr">
        <is>
          <t>WOMENS</t>
        </is>
      </c>
      <c r="H3629" s="0" t="inlineStr">
        <is>
          <t>XL</t>
        </is>
      </c>
      <c r="I3629" s="0">
        <v>52.99</v>
      </c>
      <c r="J3629" s="0">
        <v>3</v>
      </c>
    </row>
    <row r="3630" spans="1:10" customHeight="0">
      <c r="A3630" s="0">
        <f>HYPERLINK("https://dl.dropboxusercontent.com/scl/fi/tops5cuygw5j4sia8vvyo/114917-af.jpg?rlkey=oih9uzz8jjj9vqa6vl3jhrqnn&amp;dl=0","Click to download Image")</f>
      </c>
      <c r="B3630" s="0">
        <f>HYPERLINK("https://dl.dropboxusercontent.com/scl/fi/zt6rr4s1v877c13bb8u07/womens-hoodie-and-sweatshirt-size-chartstierney.jpg?rlkey=wo8zuxni1v0x7sd9039xez75j&amp;dl=0","Click to download SizeChart")</f>
      </c>
      <c r="C3630" s="0" t="inlineStr">
        <is>
          <t>Tierney Women's Hoodie</t>
        </is>
      </c>
      <c r="D3630" s="0" t="inlineStr">
        <is>
          <t>'114917</t>
        </is>
      </c>
      <c r="E3630" s="0" t="inlineStr">
        <is>
          <t>KSU TIERNEY W PURPLE:114917E-2XL</t>
        </is>
      </c>
      <c r="F3630" s="0" t="inlineStr">
        <is>
          <t>'805114917080</t>
        </is>
      </c>
      <c r="G3630" s="0" t="inlineStr">
        <is>
          <t>WOMENS</t>
        </is>
      </c>
      <c r="H3630" s="0" t="inlineStr">
        <is>
          <t>2XL</t>
        </is>
      </c>
      <c r="I3630" s="0">
        <v>54.99</v>
      </c>
      <c r="J3630" s="0">
        <v>0</v>
      </c>
    </row>
    <row r="3631" spans="1:10" customHeight="0">
      <c r="A3631" s="0">
        <f>HYPERLINK("https://dl.dropboxusercontent.com/scl/fi/tops5cuygw5j4sia8vvyo/114917-af.jpg?rlkey=oih9uzz8jjj9vqa6vl3jhrqnn&amp;dl=0","Click to download Image")</f>
      </c>
      <c r="B3631" s="0">
        <f>HYPERLINK("https://dl.dropboxusercontent.com/scl/fi/zt6rr4s1v877c13bb8u07/womens-hoodie-and-sweatshirt-size-chartstierney.jpg?rlkey=wo8zuxni1v0x7sd9039xez75j&amp;dl=0","Click to download SizeChart")</f>
      </c>
      <c r="C3631" s="0" t="inlineStr">
        <is>
          <t>Tierney Women's Hoodie</t>
        </is>
      </c>
      <c r="D3631" s="0" t="inlineStr">
        <is>
          <t>'114917</t>
        </is>
      </c>
      <c r="E3631" s="0" t="inlineStr">
        <is>
          <t>KSU TIERNEY W PURPLE:114917F-3XL</t>
        </is>
      </c>
      <c r="F3631" s="0" t="inlineStr">
        <is>
          <t>'805114917097</t>
        </is>
      </c>
      <c r="G3631" s="0" t="inlineStr">
        <is>
          <t>WOMENS</t>
        </is>
      </c>
      <c r="H3631" s="0" t="inlineStr">
        <is>
          <t>3XL</t>
        </is>
      </c>
      <c r="I3631" s="0">
        <v>54.99</v>
      </c>
      <c r="J3631" s="0">
        <v>0</v>
      </c>
    </row>
    <row r="3632" spans="1:10" customHeight="0">
      <c r="A3632" s="0">
        <f>HYPERLINK("https://dl.dropboxusercontent.com/scl/fi/tops5cuygw5j4sia8vvyo/114917-af.jpg?rlkey=oih9uzz8jjj9vqa6vl3jhrqnn&amp;dl=0","Click to download Image")</f>
      </c>
      <c r="B3632" s="0">
        <f>HYPERLINK("https://dl.dropboxusercontent.com/scl/fi/zt6rr4s1v877c13bb8u07/womens-hoodie-and-sweatshirt-size-chartstierney.jpg?rlkey=wo8zuxni1v0x7sd9039xez75j&amp;dl=0","Click to download SizeChart")</f>
      </c>
      <c r="C3632" s="0" t="inlineStr">
        <is>
          <t>Tierney Women's Hoodie</t>
        </is>
      </c>
      <c r="D3632" s="0" t="inlineStr">
        <is>
          <t>'114917</t>
        </is>
      </c>
      <c r="E3632" s="0" t="inlineStr">
        <is>
          <t>KSU TIERNEY W PURPLE 12 PACK:114917Z-12PK</t>
        </is>
      </c>
      <c r="F3632" s="0" t="inlineStr">
        <is>
          <t>'805114917998</t>
        </is>
      </c>
      <c r="G3632" s="0" t="inlineStr">
        <is>
          <t>WOMENS</t>
        </is>
      </c>
      <c r="H3632" s="0" t="inlineStr">
        <is>
          <t>12 PACK</t>
        </is>
      </c>
      <c r="I3632" s="0">
        <v>611.88</v>
      </c>
      <c r="J3632" s="0">
        <v>0</v>
      </c>
    </row>
    <row r="3633" spans="1:10" customHeight="0">
      <c r="A3633" s="0">
        <f>HYPERLINK("https://dl.dropboxusercontent.com/scl/fi/xujmsjvpcu3vwmjtgti1j/114916-af.jpg?rlkey=1jba12xk1pgwh1zbpeakjg2is&amp;dl=0","Click to download Image")</f>
      </c>
      <c r="B3633" s="0">
        <f>HYPERLINK("https://dl.dropboxusercontent.com/scl/fi/zt6rr4s1v877c13bb8u07/womens-hoodie-and-sweatshirt-size-chartstierney.jpg?rlkey=wo8zuxni1v0x7sd9039xez75j&amp;dl=0","Click to download SizeChart")</f>
      </c>
      <c r="C3633" s="0" t="inlineStr">
        <is>
          <t>Tierney Women's Hoodie</t>
        </is>
      </c>
      <c r="D3633" s="0" t="inlineStr">
        <is>
          <t>'114916</t>
        </is>
      </c>
      <c r="E3633" s="0" t="inlineStr">
        <is>
          <t>MU TIERNEY W BLACK:114916A-S</t>
        </is>
      </c>
      <c r="F3633" s="0" t="inlineStr">
        <is>
          <t>'803114916041</t>
        </is>
      </c>
      <c r="G3633" s="0" t="inlineStr">
        <is>
          <t>WOMENS</t>
        </is>
      </c>
      <c r="H3633" s="0" t="inlineStr">
        <is>
          <t>S</t>
        </is>
      </c>
      <c r="I3633" s="0">
        <v>52.99</v>
      </c>
      <c r="J3633" s="0">
        <v>3</v>
      </c>
    </row>
    <row r="3634" spans="1:10" customHeight="0">
      <c r="A3634" s="0">
        <f>HYPERLINK("https://dl.dropboxusercontent.com/scl/fi/xujmsjvpcu3vwmjtgti1j/114916-af.jpg?rlkey=1jba12xk1pgwh1zbpeakjg2is&amp;dl=0","Click to download Image")</f>
      </c>
      <c r="B3634" s="0">
        <f>HYPERLINK("https://dl.dropboxusercontent.com/scl/fi/zt6rr4s1v877c13bb8u07/womens-hoodie-and-sweatshirt-size-chartstierney.jpg?rlkey=wo8zuxni1v0x7sd9039xez75j&amp;dl=0","Click to download SizeChart")</f>
      </c>
      <c r="C3634" s="0" t="inlineStr">
        <is>
          <t>Tierney Women's Hoodie</t>
        </is>
      </c>
      <c r="D3634" s="0" t="inlineStr">
        <is>
          <t>'114916</t>
        </is>
      </c>
      <c r="E3634" s="0" t="inlineStr">
        <is>
          <t>MU TIERNEY W BLACK:114916B-M</t>
        </is>
      </c>
      <c r="F3634" s="0" t="inlineStr">
        <is>
          <t>'803114916058</t>
        </is>
      </c>
      <c r="G3634" s="0" t="inlineStr">
        <is>
          <t>WOMENS</t>
        </is>
      </c>
      <c r="H3634" s="0" t="inlineStr">
        <is>
          <t>M</t>
        </is>
      </c>
      <c r="I3634" s="0">
        <v>52.99</v>
      </c>
      <c r="J3634" s="0">
        <v>5</v>
      </c>
    </row>
    <row r="3635" spans="1:10" customHeight="0">
      <c r="A3635" s="0">
        <f>HYPERLINK("https://dl.dropboxusercontent.com/scl/fi/xujmsjvpcu3vwmjtgti1j/114916-af.jpg?rlkey=1jba12xk1pgwh1zbpeakjg2is&amp;dl=0","Click to download Image")</f>
      </c>
      <c r="B3635" s="0">
        <f>HYPERLINK("https://dl.dropboxusercontent.com/scl/fi/zt6rr4s1v877c13bb8u07/womens-hoodie-and-sweatshirt-size-chartstierney.jpg?rlkey=wo8zuxni1v0x7sd9039xez75j&amp;dl=0","Click to download SizeChart")</f>
      </c>
      <c r="C3635" s="0" t="inlineStr">
        <is>
          <t>Tierney Women's Hoodie</t>
        </is>
      </c>
      <c r="D3635" s="0" t="inlineStr">
        <is>
          <t>'114916</t>
        </is>
      </c>
      <c r="E3635" s="0" t="inlineStr">
        <is>
          <t>MU TIERNEY W BLACK:114916C-L</t>
        </is>
      </c>
      <c r="F3635" s="0" t="inlineStr">
        <is>
          <t>'803114916065</t>
        </is>
      </c>
      <c r="G3635" s="0" t="inlineStr">
        <is>
          <t>WOMENS</t>
        </is>
      </c>
      <c r="H3635" s="0" t="inlineStr">
        <is>
          <t>L</t>
        </is>
      </c>
      <c r="I3635" s="0">
        <v>52.99</v>
      </c>
      <c r="J3635" s="0">
        <v>4</v>
      </c>
    </row>
    <row r="3636" spans="1:10" customHeight="0">
      <c r="A3636" s="0">
        <f>HYPERLINK("https://dl.dropboxusercontent.com/scl/fi/xujmsjvpcu3vwmjtgti1j/114916-af.jpg?rlkey=1jba12xk1pgwh1zbpeakjg2is&amp;dl=0","Click to download Image")</f>
      </c>
      <c r="B3636" s="0">
        <f>HYPERLINK("https://dl.dropboxusercontent.com/scl/fi/zt6rr4s1v877c13bb8u07/womens-hoodie-and-sweatshirt-size-chartstierney.jpg?rlkey=wo8zuxni1v0x7sd9039xez75j&amp;dl=0","Click to download SizeChart")</f>
      </c>
      <c r="C3636" s="0" t="inlineStr">
        <is>
          <t>Tierney Women's Hoodie</t>
        </is>
      </c>
      <c r="D3636" s="0" t="inlineStr">
        <is>
          <t>'114916</t>
        </is>
      </c>
      <c r="E3636" s="0" t="inlineStr">
        <is>
          <t>MU TIERNEY W BLACK:114916D-XL</t>
        </is>
      </c>
      <c r="F3636" s="0" t="inlineStr">
        <is>
          <t>'803114916072</t>
        </is>
      </c>
      <c r="G3636" s="0" t="inlineStr">
        <is>
          <t>WOMENS</t>
        </is>
      </c>
      <c r="H3636" s="0" t="inlineStr">
        <is>
          <t>XL</t>
        </is>
      </c>
      <c r="I3636" s="0">
        <v>52.99</v>
      </c>
      <c r="J3636" s="0">
        <v>4</v>
      </c>
    </row>
    <row r="3637" spans="1:10" customHeight="0">
      <c r="A3637" s="0">
        <f>HYPERLINK("https://dl.dropboxusercontent.com/scl/fi/xujmsjvpcu3vwmjtgti1j/114916-af.jpg?rlkey=1jba12xk1pgwh1zbpeakjg2is&amp;dl=0","Click to download Image")</f>
      </c>
      <c r="B3637" s="0">
        <f>HYPERLINK("https://dl.dropboxusercontent.com/scl/fi/zt6rr4s1v877c13bb8u07/womens-hoodie-and-sweatshirt-size-chartstierney.jpg?rlkey=wo8zuxni1v0x7sd9039xez75j&amp;dl=0","Click to download SizeChart")</f>
      </c>
      <c r="C3637" s="0" t="inlineStr">
        <is>
          <t>Tierney Women's Hoodie</t>
        </is>
      </c>
      <c r="D3637" s="0" t="inlineStr">
        <is>
          <t>'114916</t>
        </is>
      </c>
      <c r="E3637" s="0" t="inlineStr">
        <is>
          <t>MU TIERNEY W BLACK:114916E-2XL</t>
        </is>
      </c>
      <c r="F3637" s="0" t="inlineStr">
        <is>
          <t>'803114916089</t>
        </is>
      </c>
      <c r="G3637" s="0" t="inlineStr">
        <is>
          <t>WOMENS</t>
        </is>
      </c>
      <c r="H3637" s="0" t="inlineStr">
        <is>
          <t>2XL</t>
        </is>
      </c>
      <c r="I3637" s="0">
        <v>54.99</v>
      </c>
      <c r="J3637" s="0">
        <v>3</v>
      </c>
    </row>
    <row r="3638" spans="1:10" customHeight="0">
      <c r="A3638" s="0">
        <f>HYPERLINK("https://dl.dropboxusercontent.com/scl/fi/xujmsjvpcu3vwmjtgti1j/114916-af.jpg?rlkey=1jba12xk1pgwh1zbpeakjg2is&amp;dl=0","Click to download Image")</f>
      </c>
      <c r="B3638" s="0">
        <f>HYPERLINK("https://dl.dropboxusercontent.com/scl/fi/zt6rr4s1v877c13bb8u07/womens-hoodie-and-sweatshirt-size-chartstierney.jpg?rlkey=wo8zuxni1v0x7sd9039xez75j&amp;dl=0","Click to download SizeChart")</f>
      </c>
      <c r="C3638" s="0" t="inlineStr">
        <is>
          <t>Tierney Women's Hoodie</t>
        </is>
      </c>
      <c r="D3638" s="0" t="inlineStr">
        <is>
          <t>'114916</t>
        </is>
      </c>
      <c r="E3638" s="0" t="inlineStr">
        <is>
          <t>MU TIERNEY W BLACK:114916F-3XL</t>
        </is>
      </c>
      <c r="F3638" s="0" t="inlineStr">
        <is>
          <t>'803114916096</t>
        </is>
      </c>
      <c r="G3638" s="0" t="inlineStr">
        <is>
          <t>WOMENS</t>
        </is>
      </c>
      <c r="H3638" s="0" t="inlineStr">
        <is>
          <t>3XL</t>
        </is>
      </c>
      <c r="I3638" s="0">
        <v>54.99</v>
      </c>
      <c r="J3638" s="0">
        <v>3</v>
      </c>
    </row>
    <row r="3639" spans="1:10" customHeight="0">
      <c r="A3639" s="0">
        <f>HYPERLINK("https://dl.dropboxusercontent.com/scl/fi/xujmsjvpcu3vwmjtgti1j/114916-af.jpg?rlkey=1jba12xk1pgwh1zbpeakjg2is&amp;dl=0","Click to download Image")</f>
      </c>
      <c r="B3639" s="0">
        <f>HYPERLINK("https://dl.dropboxusercontent.com/scl/fi/zt6rr4s1v877c13bb8u07/womens-hoodie-and-sweatshirt-size-chartstierney.jpg?rlkey=wo8zuxni1v0x7sd9039xez75j&amp;dl=0","Click to download SizeChart")</f>
      </c>
      <c r="C3639" s="0" t="inlineStr">
        <is>
          <t>Tierney Women's Hoodie</t>
        </is>
      </c>
      <c r="D3639" s="0" t="inlineStr">
        <is>
          <t>'114916</t>
        </is>
      </c>
      <c r="E3639" s="0" t="inlineStr">
        <is>
          <t>MU TIERNEY W BLACK 12 PACK:114916Z-12PK</t>
        </is>
      </c>
      <c r="F3639" s="0" t="inlineStr">
        <is>
          <t>'803114916997</t>
        </is>
      </c>
      <c r="G3639" s="0" t="inlineStr">
        <is>
          <t>WOMENS</t>
        </is>
      </c>
      <c r="H3639" s="0" t="inlineStr">
        <is>
          <t>12 PACK</t>
        </is>
      </c>
      <c r="I3639" s="0">
        <v>611.88</v>
      </c>
      <c r="J3639" s="0">
        <v>0</v>
      </c>
    </row>
    <row r="3640" spans="1:10" customHeight="0">
      <c r="A3640" s="0">
        <f>HYPERLINK("https://dl.dropboxusercontent.com/scl/fi/p8qjrpomuf4e8ixpgp5m0/114914-af.jpg?rlkey=oofc8zfp026u19k4xn1bpdhsb&amp;dl=0","Click to download Image")</f>
      </c>
      <c r="B3640" s="0">
        <f>HYPERLINK("https://dl.dropboxusercontent.com/scl/fi/zt6rr4s1v877c13bb8u07/womens-hoodie-and-sweatshirt-size-chartstierney.jpg?rlkey=wo8zuxni1v0x7sd9039xez75j&amp;dl=0","Click to download SizeChart")</f>
      </c>
      <c r="C3640" s="0" t="inlineStr">
        <is>
          <t>Tierney Women's Hoodie</t>
        </is>
      </c>
      <c r="D3640" s="0" t="inlineStr">
        <is>
          <t>'114914</t>
        </is>
      </c>
      <c r="E3640" s="0" t="inlineStr">
        <is>
          <t>PURDUE TIERNEY W BLACK:114914A-S</t>
        </is>
      </c>
      <c r="F3640" s="0" t="inlineStr">
        <is>
          <t>'804114914044</t>
        </is>
      </c>
      <c r="G3640" s="0" t="inlineStr">
        <is>
          <t>WOMENS</t>
        </is>
      </c>
      <c r="H3640" s="0" t="inlineStr">
        <is>
          <t>S</t>
        </is>
      </c>
      <c r="I3640" s="0">
        <v>52.99</v>
      </c>
      <c r="J3640" s="0">
        <v>1</v>
      </c>
    </row>
    <row r="3641" spans="1:10" customHeight="0">
      <c r="A3641" s="0">
        <f>HYPERLINK("https://dl.dropboxusercontent.com/scl/fi/p8qjrpomuf4e8ixpgp5m0/114914-af.jpg?rlkey=oofc8zfp026u19k4xn1bpdhsb&amp;dl=0","Click to download Image")</f>
      </c>
      <c r="B3641" s="0">
        <f>HYPERLINK("https://dl.dropboxusercontent.com/scl/fi/zt6rr4s1v877c13bb8u07/womens-hoodie-and-sweatshirt-size-chartstierney.jpg?rlkey=wo8zuxni1v0x7sd9039xez75j&amp;dl=0","Click to download SizeChart")</f>
      </c>
      <c r="C3641" s="0" t="inlineStr">
        <is>
          <t>Tierney Women's Hoodie</t>
        </is>
      </c>
      <c r="D3641" s="0" t="inlineStr">
        <is>
          <t>'114914</t>
        </is>
      </c>
      <c r="E3641" s="0" t="inlineStr">
        <is>
          <t>PURDUE TIERNEY W BLACK:114914B-M</t>
        </is>
      </c>
      <c r="F3641" s="0" t="inlineStr">
        <is>
          <t>'804114914051</t>
        </is>
      </c>
      <c r="G3641" s="0" t="inlineStr">
        <is>
          <t>WOMENS</t>
        </is>
      </c>
      <c r="H3641" s="0" t="inlineStr">
        <is>
          <t>M</t>
        </is>
      </c>
      <c r="I3641" s="0">
        <v>52.99</v>
      </c>
      <c r="J3641" s="0">
        <v>8</v>
      </c>
    </row>
    <row r="3642" spans="1:10" customHeight="0">
      <c r="A3642" s="0">
        <f>HYPERLINK("https://dl.dropboxusercontent.com/scl/fi/p8qjrpomuf4e8ixpgp5m0/114914-af.jpg?rlkey=oofc8zfp026u19k4xn1bpdhsb&amp;dl=0","Click to download Image")</f>
      </c>
      <c r="B3642" s="0">
        <f>HYPERLINK("https://dl.dropboxusercontent.com/scl/fi/zt6rr4s1v877c13bb8u07/womens-hoodie-and-sweatshirt-size-chartstierney.jpg?rlkey=wo8zuxni1v0x7sd9039xez75j&amp;dl=0","Click to download SizeChart")</f>
      </c>
      <c r="C3642" s="0" t="inlineStr">
        <is>
          <t>Tierney Women's Hoodie</t>
        </is>
      </c>
      <c r="D3642" s="0" t="inlineStr">
        <is>
          <t>'114914</t>
        </is>
      </c>
      <c r="E3642" s="0" t="inlineStr">
        <is>
          <t>PURDUE TIERNEY W BLACK:114914C-L</t>
        </is>
      </c>
      <c r="F3642" s="0" t="inlineStr">
        <is>
          <t>'804114914068</t>
        </is>
      </c>
      <c r="G3642" s="0" t="inlineStr">
        <is>
          <t>WOMENS</t>
        </is>
      </c>
      <c r="H3642" s="0" t="inlineStr">
        <is>
          <t>L</t>
        </is>
      </c>
      <c r="I3642" s="0">
        <v>52.99</v>
      </c>
      <c r="J3642" s="0">
        <v>6</v>
      </c>
    </row>
    <row r="3643" spans="1:10" customHeight="0">
      <c r="A3643" s="0">
        <f>HYPERLINK("https://dl.dropboxusercontent.com/scl/fi/p8qjrpomuf4e8ixpgp5m0/114914-af.jpg?rlkey=oofc8zfp026u19k4xn1bpdhsb&amp;dl=0","Click to download Image")</f>
      </c>
      <c r="B3643" s="0">
        <f>HYPERLINK("https://dl.dropboxusercontent.com/scl/fi/zt6rr4s1v877c13bb8u07/womens-hoodie-and-sweatshirt-size-chartstierney.jpg?rlkey=wo8zuxni1v0x7sd9039xez75j&amp;dl=0","Click to download SizeChart")</f>
      </c>
      <c r="C3643" s="0" t="inlineStr">
        <is>
          <t>Tierney Women's Hoodie</t>
        </is>
      </c>
      <c r="D3643" s="0" t="inlineStr">
        <is>
          <t>'114914</t>
        </is>
      </c>
      <c r="E3643" s="0" t="inlineStr">
        <is>
          <t>PURDUE TIERNEY W BLACK:114914D-XL</t>
        </is>
      </c>
      <c r="F3643" s="0" t="inlineStr">
        <is>
          <t>'804114914075</t>
        </is>
      </c>
      <c r="G3643" s="0" t="inlineStr">
        <is>
          <t>WOMENS</t>
        </is>
      </c>
      <c r="H3643" s="0" t="inlineStr">
        <is>
          <t>XL</t>
        </is>
      </c>
      <c r="I3643" s="0">
        <v>52.99</v>
      </c>
      <c r="J3643" s="0">
        <v>1</v>
      </c>
    </row>
    <row r="3644" spans="1:10" customHeight="0">
      <c r="A3644" s="0">
        <f>HYPERLINK("https://dl.dropboxusercontent.com/scl/fi/p8qjrpomuf4e8ixpgp5m0/114914-af.jpg?rlkey=oofc8zfp026u19k4xn1bpdhsb&amp;dl=0","Click to download Image")</f>
      </c>
      <c r="B3644" s="0">
        <f>HYPERLINK("https://dl.dropboxusercontent.com/scl/fi/zt6rr4s1v877c13bb8u07/womens-hoodie-and-sweatshirt-size-chartstierney.jpg?rlkey=wo8zuxni1v0x7sd9039xez75j&amp;dl=0","Click to download SizeChart")</f>
      </c>
      <c r="C3644" s="0" t="inlineStr">
        <is>
          <t>Tierney Women's Hoodie</t>
        </is>
      </c>
      <c r="D3644" s="0" t="inlineStr">
        <is>
          <t>'114914</t>
        </is>
      </c>
      <c r="E3644" s="0" t="inlineStr">
        <is>
          <t>PURDUE TIERNEY W BLACK:114914E-2XL</t>
        </is>
      </c>
      <c r="F3644" s="0" t="inlineStr">
        <is>
          <t>'804114914082</t>
        </is>
      </c>
      <c r="G3644" s="0" t="inlineStr">
        <is>
          <t>WOMENS</t>
        </is>
      </c>
      <c r="H3644" s="0" t="inlineStr">
        <is>
          <t>2XL</t>
        </is>
      </c>
      <c r="I3644" s="0">
        <v>54.99</v>
      </c>
      <c r="J3644" s="0">
        <v>4</v>
      </c>
    </row>
    <row r="3645" spans="1:10" customHeight="0">
      <c r="A3645" s="0">
        <f>HYPERLINK("https://dl.dropboxusercontent.com/scl/fi/p8qjrpomuf4e8ixpgp5m0/114914-af.jpg?rlkey=oofc8zfp026u19k4xn1bpdhsb&amp;dl=0","Click to download Image")</f>
      </c>
      <c r="B3645" s="0">
        <f>HYPERLINK("https://dl.dropboxusercontent.com/scl/fi/zt6rr4s1v877c13bb8u07/womens-hoodie-and-sweatshirt-size-chartstierney.jpg?rlkey=wo8zuxni1v0x7sd9039xez75j&amp;dl=0","Click to download SizeChart")</f>
      </c>
      <c r="C3645" s="0" t="inlineStr">
        <is>
          <t>Tierney Women's Hoodie</t>
        </is>
      </c>
      <c r="D3645" s="0" t="inlineStr">
        <is>
          <t>'114914</t>
        </is>
      </c>
      <c r="E3645" s="0" t="inlineStr">
        <is>
          <t>PURDUE TIERNEY W BLACK:114914F-3XL</t>
        </is>
      </c>
      <c r="F3645" s="0" t="inlineStr">
        <is>
          <t>'804114914099</t>
        </is>
      </c>
      <c r="G3645" s="0" t="inlineStr">
        <is>
          <t>WOMENS</t>
        </is>
      </c>
      <c r="H3645" s="0" t="inlineStr">
        <is>
          <t>3XL</t>
        </is>
      </c>
      <c r="I3645" s="0">
        <v>54.99</v>
      </c>
      <c r="J3645" s="0">
        <v>2</v>
      </c>
    </row>
    <row r="3646" spans="1:10" customHeight="0">
      <c r="A3646" s="0">
        <f>HYPERLINK("https://dl.dropboxusercontent.com/scl/fi/p8qjrpomuf4e8ixpgp5m0/114914-af.jpg?rlkey=oofc8zfp026u19k4xn1bpdhsb&amp;dl=0","Click to download Image")</f>
      </c>
      <c r="B3646" s="0">
        <f>HYPERLINK("https://dl.dropboxusercontent.com/scl/fi/zt6rr4s1v877c13bb8u07/womens-hoodie-and-sweatshirt-size-chartstierney.jpg?rlkey=wo8zuxni1v0x7sd9039xez75j&amp;dl=0","Click to download SizeChart")</f>
      </c>
      <c r="C3646" s="0" t="inlineStr">
        <is>
          <t>Tierney Women's Hoodie</t>
        </is>
      </c>
      <c r="D3646" s="0" t="inlineStr">
        <is>
          <t>'114914</t>
        </is>
      </c>
      <c r="E3646" s="0" t="inlineStr">
        <is>
          <t>PURDUE TIERNEY W BLACK 12 PACK:114914Z-12PK</t>
        </is>
      </c>
      <c r="F3646" s="0" t="inlineStr">
        <is>
          <t>'804114914990</t>
        </is>
      </c>
      <c r="G3646" s="0" t="inlineStr">
        <is>
          <t>WOMENS</t>
        </is>
      </c>
      <c r="H3646" s="0" t="inlineStr">
        <is>
          <t>12 PACK</t>
        </is>
      </c>
      <c r="I3646" s="0">
        <v>611.88</v>
      </c>
      <c r="J3646" s="0">
        <v>0</v>
      </c>
    </row>
    <row r="3647" spans="1:10" customHeight="0">
      <c r="A3647" s="0">
        <f>HYPERLINK("https://dl.dropboxusercontent.com/scl/fi/2aiodkq0dz0kp4umif6u6/122401-af.jpg?rlkey=i6yzmmdthjki5d0p9pcdflyu2&amp;dl=0","Click to download Image")</f>
      </c>
      <c r="B3647" s="0">
        <f>HYPERLINK("https://dl.dropboxusercontent.com/scl/fi/zt6rr4s1v877c13bb8u07/womens-hoodie-and-sweatshirt-size-chartstierney.jpg?rlkey=wo8zuxni1v0x7sd9039xez75j&amp;dl=0","Click to download SizeChart")</f>
      </c>
      <c r="C3647" s="0" t="inlineStr">
        <is>
          <t>Tierney Women's Hoodie</t>
        </is>
      </c>
      <c r="D3647" s="0" t="inlineStr">
        <is>
          <t>'122401</t>
        </is>
      </c>
      <c r="E3647" s="0" t="inlineStr">
        <is>
          <t>NDSU W TIERNE GY:122401A - S</t>
        </is>
      </c>
      <c r="F3647" s="0" t="inlineStr">
        <is>
          <t>'813122401040</t>
        </is>
      </c>
      <c r="G3647" s="0" t="inlineStr">
        <is>
          <t>WOMENS</t>
        </is>
      </c>
      <c r="H3647" s="0" t="inlineStr">
        <is>
          <t>S</t>
        </is>
      </c>
      <c r="I3647" s="0">
        <v>52.99</v>
      </c>
      <c r="J3647" s="0">
        <v>4</v>
      </c>
    </row>
    <row r="3648" spans="1:10" customHeight="0">
      <c r="A3648" s="0">
        <f>HYPERLINK("https://dl.dropboxusercontent.com/scl/fi/2aiodkq0dz0kp4umif6u6/122401-af.jpg?rlkey=i6yzmmdthjki5d0p9pcdflyu2&amp;dl=0","Click to download Image")</f>
      </c>
      <c r="B3648" s="0">
        <f>HYPERLINK("https://dl.dropboxusercontent.com/scl/fi/zt6rr4s1v877c13bb8u07/womens-hoodie-and-sweatshirt-size-chartstierney.jpg?rlkey=wo8zuxni1v0x7sd9039xez75j&amp;dl=0","Click to download SizeChart")</f>
      </c>
      <c r="C3648" s="0" t="inlineStr">
        <is>
          <t>Tierney Women's Hoodie</t>
        </is>
      </c>
      <c r="D3648" s="0" t="inlineStr">
        <is>
          <t>'122401</t>
        </is>
      </c>
      <c r="E3648" s="0" t="inlineStr">
        <is>
          <t>NDSU W TIERNE GY:122401B - M</t>
        </is>
      </c>
      <c r="F3648" s="0" t="inlineStr">
        <is>
          <t>'813122401057</t>
        </is>
      </c>
      <c r="G3648" s="0" t="inlineStr">
        <is>
          <t>WOMENS</t>
        </is>
      </c>
      <c r="H3648" s="0" t="inlineStr">
        <is>
          <t>M</t>
        </is>
      </c>
      <c r="I3648" s="0">
        <v>52.99</v>
      </c>
      <c r="J3648" s="0">
        <v>5</v>
      </c>
    </row>
    <row r="3649" spans="1:10" customHeight="0">
      <c r="A3649" s="0">
        <f>HYPERLINK("https://dl.dropboxusercontent.com/scl/fi/2aiodkq0dz0kp4umif6u6/122401-af.jpg?rlkey=i6yzmmdthjki5d0p9pcdflyu2&amp;dl=0","Click to download Image")</f>
      </c>
      <c r="B3649" s="0">
        <f>HYPERLINK("https://dl.dropboxusercontent.com/scl/fi/zt6rr4s1v877c13bb8u07/womens-hoodie-and-sweatshirt-size-chartstierney.jpg?rlkey=wo8zuxni1v0x7sd9039xez75j&amp;dl=0","Click to download SizeChart")</f>
      </c>
      <c r="C3649" s="0" t="inlineStr">
        <is>
          <t>Tierney Women's Hoodie</t>
        </is>
      </c>
      <c r="D3649" s="0" t="inlineStr">
        <is>
          <t>'122401</t>
        </is>
      </c>
      <c r="E3649" s="0" t="inlineStr">
        <is>
          <t>NDSU W TIERNE GY:122401C - L</t>
        </is>
      </c>
      <c r="F3649" s="0" t="inlineStr">
        <is>
          <t>'813122401064</t>
        </is>
      </c>
      <c r="G3649" s="0" t="inlineStr">
        <is>
          <t>WOMENS</t>
        </is>
      </c>
      <c r="H3649" s="0" t="inlineStr">
        <is>
          <t>L</t>
        </is>
      </c>
      <c r="I3649" s="0">
        <v>52.99</v>
      </c>
      <c r="J3649" s="0">
        <v>6</v>
      </c>
    </row>
    <row r="3650" spans="1:10" customHeight="0">
      <c r="A3650" s="0">
        <f>HYPERLINK("https://dl.dropboxusercontent.com/scl/fi/2aiodkq0dz0kp4umif6u6/122401-af.jpg?rlkey=i6yzmmdthjki5d0p9pcdflyu2&amp;dl=0","Click to download Image")</f>
      </c>
      <c r="B3650" s="0">
        <f>HYPERLINK("https://dl.dropboxusercontent.com/scl/fi/zt6rr4s1v877c13bb8u07/womens-hoodie-and-sweatshirt-size-chartstierney.jpg?rlkey=wo8zuxni1v0x7sd9039xez75j&amp;dl=0","Click to download SizeChart")</f>
      </c>
      <c r="C3650" s="0" t="inlineStr">
        <is>
          <t>Tierney Women's Hoodie</t>
        </is>
      </c>
      <c r="D3650" s="0" t="inlineStr">
        <is>
          <t>'122401</t>
        </is>
      </c>
      <c r="E3650" s="0" t="inlineStr">
        <is>
          <t>NDSU W TIERNE GY:122401D - XL</t>
        </is>
      </c>
      <c r="F3650" s="0" t="inlineStr">
        <is>
          <t>'813122401071</t>
        </is>
      </c>
      <c r="G3650" s="0" t="inlineStr">
        <is>
          <t>WOMENS</t>
        </is>
      </c>
      <c r="H3650" s="0" t="inlineStr">
        <is>
          <t>XL</t>
        </is>
      </c>
      <c r="I3650" s="0">
        <v>52.99</v>
      </c>
      <c r="J3650" s="0">
        <v>4</v>
      </c>
    </row>
    <row r="3651" spans="1:10" customHeight="0">
      <c r="A3651" s="0">
        <f>HYPERLINK("https://dl.dropboxusercontent.com/scl/fi/2aiodkq0dz0kp4umif6u6/122401-af.jpg?rlkey=i6yzmmdthjki5d0p9pcdflyu2&amp;dl=0","Click to download Image")</f>
      </c>
      <c r="B3651" s="0">
        <f>HYPERLINK("https://dl.dropboxusercontent.com/scl/fi/zt6rr4s1v877c13bb8u07/womens-hoodie-and-sweatshirt-size-chartstierney.jpg?rlkey=wo8zuxni1v0x7sd9039xez75j&amp;dl=0","Click to download SizeChart")</f>
      </c>
      <c r="C3651" s="0" t="inlineStr">
        <is>
          <t>Tierney Women's Hoodie</t>
        </is>
      </c>
      <c r="D3651" s="0" t="inlineStr">
        <is>
          <t>'122401</t>
        </is>
      </c>
      <c r="F3651" s="0" t="inlineStr">
        <is>
          <t>'000000000000</t>
        </is>
      </c>
      <c r="G3651" s="0" t="inlineStr">
        <is>
          <t>WOMENS</t>
        </is>
      </c>
      <c r="H3651" s="0" t="inlineStr">
        <is>
          <t>2XL</t>
        </is>
      </c>
      <c r="I3651" s="0">
        <v>52.99</v>
      </c>
      <c r="J3651" s="0">
        <v>0</v>
      </c>
    </row>
    <row r="3652" spans="1:10" customHeight="0">
      <c r="A3652" s="0">
        <f>HYPERLINK("https://dl.dropboxusercontent.com/scl/fi/2aiodkq0dz0kp4umif6u6/122401-af.jpg?rlkey=i6yzmmdthjki5d0p9pcdflyu2&amp;dl=0","Click to download Image")</f>
      </c>
      <c r="B3652" s="0">
        <f>HYPERLINK("https://dl.dropboxusercontent.com/scl/fi/zt6rr4s1v877c13bb8u07/womens-hoodie-and-sweatshirt-size-chartstierney.jpg?rlkey=wo8zuxni1v0x7sd9039xez75j&amp;dl=0","Click to download SizeChart")</f>
      </c>
      <c r="C3652" s="0" t="inlineStr">
        <is>
          <t>Tierney Women's Hoodie</t>
        </is>
      </c>
      <c r="D3652" s="0" t="inlineStr">
        <is>
          <t>'122401</t>
        </is>
      </c>
      <c r="F3652" s="0" t="inlineStr">
        <is>
          <t>'000000000000</t>
        </is>
      </c>
      <c r="G3652" s="0" t="inlineStr">
        <is>
          <t>WOMENS</t>
        </is>
      </c>
      <c r="H3652" s="0" t="inlineStr">
        <is>
          <t>3XL</t>
        </is>
      </c>
      <c r="I3652" s="0">
        <v>52.99</v>
      </c>
      <c r="J3652" s="0">
        <v>0</v>
      </c>
    </row>
    <row r="3653" spans="1:10" customHeight="0">
      <c r="A3653" s="0">
        <f>HYPERLINK("https://dl.dropboxusercontent.com/scl/fi/snc8qg3q2zyve58xrge6w/114566-af.jpg?rlkey=8t889kmgoxyn28hai7lmn1vb8&amp;dl=0","Click to download Image")</f>
      </c>
      <c r="B3653" s="0">
        <f>HYPERLINK("https://dl.dropboxusercontent.com/scl/fi/j6u7dskuhl9egl3q7dr7y/womens-hoodie-and-sweatshirt-size-chartstula.jpg?rlkey=z2yfdq1kmqd7i9ylmqp0e4jpo&amp;dl=0","Click to download SizeChart")</f>
      </c>
      <c r="C3653" s="0" t="inlineStr">
        <is>
          <t>Tula Women's Cowl Neck Hoodie</t>
        </is>
      </c>
      <c r="D3653" s="0" t="inlineStr">
        <is>
          <t>'114566</t>
        </is>
      </c>
      <c r="E3653" s="0" t="inlineStr">
        <is>
          <t>INDIANA TULA W GREY:114566A-S</t>
        </is>
      </c>
      <c r="F3653" s="0" t="inlineStr">
        <is>
          <t>'806114566049</t>
        </is>
      </c>
      <c r="G3653" s="0" t="inlineStr">
        <is>
          <t>WOMENS</t>
        </is>
      </c>
      <c r="H3653" s="0" t="inlineStr">
        <is>
          <t>S</t>
        </is>
      </c>
      <c r="I3653" s="0">
        <v>42.99</v>
      </c>
      <c r="J3653" s="0">
        <v>2</v>
      </c>
    </row>
    <row r="3654" spans="1:10" customHeight="0">
      <c r="A3654" s="0">
        <f>HYPERLINK("https://dl.dropboxusercontent.com/scl/fi/snc8qg3q2zyve58xrge6w/114566-af.jpg?rlkey=8t889kmgoxyn28hai7lmn1vb8&amp;dl=0","Click to download Image")</f>
      </c>
      <c r="B3654" s="0">
        <f>HYPERLINK("https://dl.dropboxusercontent.com/scl/fi/j6u7dskuhl9egl3q7dr7y/womens-hoodie-and-sweatshirt-size-chartstula.jpg?rlkey=z2yfdq1kmqd7i9ylmqp0e4jpo&amp;dl=0","Click to download SizeChart")</f>
      </c>
      <c r="C3654" s="0" t="inlineStr">
        <is>
          <t>Tula Women's Cowl Neck Hoodie</t>
        </is>
      </c>
      <c r="D3654" s="0" t="inlineStr">
        <is>
          <t>'114566</t>
        </is>
      </c>
      <c r="E3654" s="0" t="inlineStr">
        <is>
          <t>INDIANA TULA W GREY:114566B-M</t>
        </is>
      </c>
      <c r="F3654" s="0" t="inlineStr">
        <is>
          <t>'806114566056</t>
        </is>
      </c>
      <c r="G3654" s="0" t="inlineStr">
        <is>
          <t>WOMENS</t>
        </is>
      </c>
      <c r="H3654" s="0" t="inlineStr">
        <is>
          <t>M</t>
        </is>
      </c>
      <c r="I3654" s="0">
        <v>42.99</v>
      </c>
      <c r="J3654" s="0">
        <v>6</v>
      </c>
    </row>
    <row r="3655" spans="1:10" customHeight="0">
      <c r="A3655" s="0">
        <f>HYPERLINK("https://dl.dropboxusercontent.com/scl/fi/snc8qg3q2zyve58xrge6w/114566-af.jpg?rlkey=8t889kmgoxyn28hai7lmn1vb8&amp;dl=0","Click to download Image")</f>
      </c>
      <c r="B3655" s="0">
        <f>HYPERLINK("https://dl.dropboxusercontent.com/scl/fi/j6u7dskuhl9egl3q7dr7y/womens-hoodie-and-sweatshirt-size-chartstula.jpg?rlkey=z2yfdq1kmqd7i9ylmqp0e4jpo&amp;dl=0","Click to download SizeChart")</f>
      </c>
      <c r="C3655" s="0" t="inlineStr">
        <is>
          <t>Tula Women's Cowl Neck Hoodie</t>
        </is>
      </c>
      <c r="D3655" s="0" t="inlineStr">
        <is>
          <t>'114566</t>
        </is>
      </c>
      <c r="E3655" s="0" t="inlineStr">
        <is>
          <t>INDIANA TULA W GREY:114566C-L</t>
        </is>
      </c>
      <c r="F3655" s="0" t="inlineStr">
        <is>
          <t>'806114566063</t>
        </is>
      </c>
      <c r="G3655" s="0" t="inlineStr">
        <is>
          <t>WOMENS</t>
        </is>
      </c>
      <c r="H3655" s="0" t="inlineStr">
        <is>
          <t>L</t>
        </is>
      </c>
      <c r="I3655" s="0">
        <v>42.99</v>
      </c>
      <c r="J3655" s="0">
        <v>8</v>
      </c>
    </row>
    <row r="3656" spans="1:10" customHeight="0">
      <c r="A3656" s="0">
        <f>HYPERLINK("https://dl.dropboxusercontent.com/scl/fi/snc8qg3q2zyve58xrge6w/114566-af.jpg?rlkey=8t889kmgoxyn28hai7lmn1vb8&amp;dl=0","Click to download Image")</f>
      </c>
      <c r="B3656" s="0">
        <f>HYPERLINK("https://dl.dropboxusercontent.com/scl/fi/j6u7dskuhl9egl3q7dr7y/womens-hoodie-and-sweatshirt-size-chartstula.jpg?rlkey=z2yfdq1kmqd7i9ylmqp0e4jpo&amp;dl=0","Click to download SizeChart")</f>
      </c>
      <c r="C3656" s="0" t="inlineStr">
        <is>
          <t>Tula Women's Cowl Neck Hoodie</t>
        </is>
      </c>
      <c r="D3656" s="0" t="inlineStr">
        <is>
          <t>'114566</t>
        </is>
      </c>
      <c r="E3656" s="0" t="inlineStr">
        <is>
          <t>INDIANA TULA W GREY:114566D-XL</t>
        </is>
      </c>
      <c r="F3656" s="0" t="inlineStr">
        <is>
          <t>'806114566070</t>
        </is>
      </c>
      <c r="G3656" s="0" t="inlineStr">
        <is>
          <t>WOMENS</t>
        </is>
      </c>
      <c r="H3656" s="0" t="inlineStr">
        <is>
          <t>XL</t>
        </is>
      </c>
      <c r="I3656" s="0">
        <v>42.99</v>
      </c>
      <c r="J3656" s="0">
        <v>3</v>
      </c>
    </row>
    <row r="3657" spans="1:10" customHeight="0">
      <c r="A3657" s="0">
        <f>HYPERLINK("https://dl.dropboxusercontent.com/scl/fi/snc8qg3q2zyve58xrge6w/114566-af.jpg?rlkey=8t889kmgoxyn28hai7lmn1vb8&amp;dl=0","Click to download Image")</f>
      </c>
      <c r="B3657" s="0">
        <f>HYPERLINK("https://dl.dropboxusercontent.com/scl/fi/j6u7dskuhl9egl3q7dr7y/womens-hoodie-and-sweatshirt-size-chartstula.jpg?rlkey=z2yfdq1kmqd7i9ylmqp0e4jpo&amp;dl=0","Click to download SizeChart")</f>
      </c>
      <c r="C3657" s="0" t="inlineStr">
        <is>
          <t>Tula Women's Cowl Neck Hoodie</t>
        </is>
      </c>
      <c r="D3657" s="0" t="inlineStr">
        <is>
          <t>'114566</t>
        </is>
      </c>
      <c r="E3657" s="0" t="inlineStr">
        <is>
          <t>INDIANA TULA W GREY:114566E-2XL</t>
        </is>
      </c>
      <c r="F3657" s="0" t="inlineStr">
        <is>
          <t>'806114566087</t>
        </is>
      </c>
      <c r="G3657" s="0" t="inlineStr">
        <is>
          <t>WOMENS</t>
        </is>
      </c>
      <c r="H3657" s="0" t="inlineStr">
        <is>
          <t>2XL</t>
        </is>
      </c>
      <c r="I3657" s="0">
        <v>44.99</v>
      </c>
      <c r="J3657" s="0">
        <v>3</v>
      </c>
    </row>
    <row r="3658" spans="1:10" customHeight="0">
      <c r="A3658" s="0">
        <f>HYPERLINK("https://dl.dropboxusercontent.com/scl/fi/snc8qg3q2zyve58xrge6w/114566-af.jpg?rlkey=8t889kmgoxyn28hai7lmn1vb8&amp;dl=0","Click to download Image")</f>
      </c>
      <c r="B3658" s="0">
        <f>HYPERLINK("https://dl.dropboxusercontent.com/scl/fi/j6u7dskuhl9egl3q7dr7y/womens-hoodie-and-sweatshirt-size-chartstula.jpg?rlkey=z2yfdq1kmqd7i9ylmqp0e4jpo&amp;dl=0","Click to download SizeChart")</f>
      </c>
      <c r="C3658" s="0" t="inlineStr">
        <is>
          <t>Tula Women's Cowl Neck Hoodie</t>
        </is>
      </c>
      <c r="D3658" s="0" t="inlineStr">
        <is>
          <t>'114566</t>
        </is>
      </c>
      <c r="E3658" s="0" t="inlineStr">
        <is>
          <t>INDIANA TULA W GREY:114566F-3XL</t>
        </is>
      </c>
      <c r="F3658" s="0" t="inlineStr">
        <is>
          <t>'806114566094</t>
        </is>
      </c>
      <c r="G3658" s="0" t="inlineStr">
        <is>
          <t>WOMENS</t>
        </is>
      </c>
      <c r="H3658" s="0" t="inlineStr">
        <is>
          <t>3XL</t>
        </is>
      </c>
      <c r="I3658" s="0">
        <v>44.99</v>
      </c>
      <c r="J3658" s="0">
        <v>3</v>
      </c>
    </row>
    <row r="3659" spans="1:10" customHeight="0">
      <c r="A3659" s="0">
        <f>HYPERLINK("https://dl.dropboxusercontent.com/scl/fi/snc8qg3q2zyve58xrge6w/114566-af.jpg?rlkey=8t889kmgoxyn28hai7lmn1vb8&amp;dl=0","Click to download Image")</f>
      </c>
      <c r="B3659" s="0">
        <f>HYPERLINK("https://dl.dropboxusercontent.com/scl/fi/j6u7dskuhl9egl3q7dr7y/womens-hoodie-and-sweatshirt-size-chartstula.jpg?rlkey=z2yfdq1kmqd7i9ylmqp0e4jpo&amp;dl=0","Click to download SizeChart")</f>
      </c>
      <c r="C3659" s="0" t="inlineStr">
        <is>
          <t>Tula Women's Cowl Neck Hoodie</t>
        </is>
      </c>
      <c r="D3659" s="0" t="inlineStr">
        <is>
          <t>'114566</t>
        </is>
      </c>
      <c r="E3659" s="0" t="inlineStr">
        <is>
          <t>INDIANA TULA W GREY 12 PACK:114566Z-12PK</t>
        </is>
      </c>
      <c r="F3659" s="0" t="inlineStr">
        <is>
          <t>'806114566995</t>
        </is>
      </c>
      <c r="G3659" s="0" t="inlineStr">
        <is>
          <t>WOMENS</t>
        </is>
      </c>
      <c r="H3659" s="0" t="inlineStr">
        <is>
          <t>12 PACK</t>
        </is>
      </c>
      <c r="I3659" s="0">
        <v>491.88</v>
      </c>
      <c r="J3659" s="0">
        <v>0</v>
      </c>
    </row>
    <row r="3660" spans="1:10" customHeight="0">
      <c r="A3660" s="0">
        <f>HYPERLINK("https://dl.dropboxusercontent.com/scl/fi/bukz1fmlh3kv9llq4ybrx/114564-af.jpg?rlkey=s1cywgcosx871ymwhfktkssz8&amp;dl=0","Click to download Image")</f>
      </c>
      <c r="B3660" s="0">
        <f>HYPERLINK("https://dl.dropboxusercontent.com/scl/fi/j6u7dskuhl9egl3q7dr7y/womens-hoodie-and-sweatshirt-size-chartstula.jpg?rlkey=z2yfdq1kmqd7i9ylmqp0e4jpo&amp;dl=0","Click to download SizeChart")</f>
      </c>
      <c r="C3660" s="0" t="inlineStr">
        <is>
          <t>Tula Women's Cowl Neck Hoodie</t>
        </is>
      </c>
      <c r="D3660" s="0" t="inlineStr">
        <is>
          <t>'114564</t>
        </is>
      </c>
      <c r="E3660" s="0" t="inlineStr">
        <is>
          <t>UNI TULA W GREY:114564A-S</t>
        </is>
      </c>
      <c r="F3660" s="0" t="inlineStr">
        <is>
          <t>'802114564047</t>
        </is>
      </c>
      <c r="G3660" s="0" t="inlineStr">
        <is>
          <t>WOMENS</t>
        </is>
      </c>
      <c r="H3660" s="0" t="inlineStr">
        <is>
          <t>S</t>
        </is>
      </c>
      <c r="I3660" s="0">
        <v>42.99</v>
      </c>
      <c r="J3660" s="0">
        <v>4</v>
      </c>
    </row>
    <row r="3661" spans="1:10" customHeight="0">
      <c r="A3661" s="0">
        <f>HYPERLINK("https://dl.dropboxusercontent.com/scl/fi/bukz1fmlh3kv9llq4ybrx/114564-af.jpg?rlkey=s1cywgcosx871ymwhfktkssz8&amp;dl=0","Click to download Image")</f>
      </c>
      <c r="B3661" s="0">
        <f>HYPERLINK("https://dl.dropboxusercontent.com/scl/fi/j6u7dskuhl9egl3q7dr7y/womens-hoodie-and-sweatshirt-size-chartstula.jpg?rlkey=z2yfdq1kmqd7i9ylmqp0e4jpo&amp;dl=0","Click to download SizeChart")</f>
      </c>
      <c r="C3661" s="0" t="inlineStr">
        <is>
          <t>Tula Women's Cowl Neck Hoodie</t>
        </is>
      </c>
      <c r="D3661" s="0" t="inlineStr">
        <is>
          <t>'114564</t>
        </is>
      </c>
      <c r="E3661" s="0" t="inlineStr">
        <is>
          <t>UNI TULA W GREY:114564B-M</t>
        </is>
      </c>
      <c r="F3661" s="0" t="inlineStr">
        <is>
          <t>'802114564054</t>
        </is>
      </c>
      <c r="G3661" s="0" t="inlineStr">
        <is>
          <t>WOMENS</t>
        </is>
      </c>
      <c r="H3661" s="0" t="inlineStr">
        <is>
          <t>M</t>
        </is>
      </c>
      <c r="I3661" s="0">
        <v>42.99</v>
      </c>
      <c r="J3661" s="0">
        <v>11</v>
      </c>
    </row>
    <row r="3662" spans="1:10" customHeight="0">
      <c r="A3662" s="0">
        <f>HYPERLINK("https://dl.dropboxusercontent.com/scl/fi/bukz1fmlh3kv9llq4ybrx/114564-af.jpg?rlkey=s1cywgcosx871ymwhfktkssz8&amp;dl=0","Click to download Image")</f>
      </c>
      <c r="B3662" s="0">
        <f>HYPERLINK("https://dl.dropboxusercontent.com/scl/fi/j6u7dskuhl9egl3q7dr7y/womens-hoodie-and-sweatshirt-size-chartstula.jpg?rlkey=z2yfdq1kmqd7i9ylmqp0e4jpo&amp;dl=0","Click to download SizeChart")</f>
      </c>
      <c r="C3662" s="0" t="inlineStr">
        <is>
          <t>Tula Women's Cowl Neck Hoodie</t>
        </is>
      </c>
      <c r="D3662" s="0" t="inlineStr">
        <is>
          <t>'114564</t>
        </is>
      </c>
      <c r="E3662" s="0" t="inlineStr">
        <is>
          <t>UNI TULA W GREY:114564C-L</t>
        </is>
      </c>
      <c r="F3662" s="0" t="inlineStr">
        <is>
          <t>'802114564061</t>
        </is>
      </c>
      <c r="G3662" s="0" t="inlineStr">
        <is>
          <t>WOMENS</t>
        </is>
      </c>
      <c r="H3662" s="0" t="inlineStr">
        <is>
          <t>L</t>
        </is>
      </c>
      <c r="I3662" s="0">
        <v>42.99</v>
      </c>
      <c r="J3662" s="0">
        <v>9</v>
      </c>
    </row>
    <row r="3663" spans="1:10" customHeight="0">
      <c r="A3663" s="0">
        <f>HYPERLINK("https://dl.dropboxusercontent.com/scl/fi/bukz1fmlh3kv9llq4ybrx/114564-af.jpg?rlkey=s1cywgcosx871ymwhfktkssz8&amp;dl=0","Click to download Image")</f>
      </c>
      <c r="B3663" s="0">
        <f>HYPERLINK("https://dl.dropboxusercontent.com/scl/fi/j6u7dskuhl9egl3q7dr7y/womens-hoodie-and-sweatshirt-size-chartstula.jpg?rlkey=z2yfdq1kmqd7i9ylmqp0e4jpo&amp;dl=0","Click to download SizeChart")</f>
      </c>
      <c r="C3663" s="0" t="inlineStr">
        <is>
          <t>Tula Women's Cowl Neck Hoodie</t>
        </is>
      </c>
      <c r="D3663" s="0" t="inlineStr">
        <is>
          <t>'114564</t>
        </is>
      </c>
      <c r="E3663" s="0" t="inlineStr">
        <is>
          <t>UNI TULA W GREY:114564D-XL</t>
        </is>
      </c>
      <c r="F3663" s="0" t="inlineStr">
        <is>
          <t>'802114564078</t>
        </is>
      </c>
      <c r="G3663" s="0" t="inlineStr">
        <is>
          <t>WOMENS</t>
        </is>
      </c>
      <c r="H3663" s="0" t="inlineStr">
        <is>
          <t>XL</t>
        </is>
      </c>
      <c r="I3663" s="0">
        <v>42.99</v>
      </c>
      <c r="J3663" s="0">
        <v>0</v>
      </c>
    </row>
    <row r="3664" spans="1:10" customHeight="0">
      <c r="A3664" s="0">
        <f>HYPERLINK("https://dl.dropboxusercontent.com/scl/fi/bukz1fmlh3kv9llq4ybrx/114564-af.jpg?rlkey=s1cywgcosx871ymwhfktkssz8&amp;dl=0","Click to download Image")</f>
      </c>
      <c r="B3664" s="0">
        <f>HYPERLINK("https://dl.dropboxusercontent.com/scl/fi/j6u7dskuhl9egl3q7dr7y/womens-hoodie-and-sweatshirt-size-chartstula.jpg?rlkey=z2yfdq1kmqd7i9ylmqp0e4jpo&amp;dl=0","Click to download SizeChart")</f>
      </c>
      <c r="C3664" s="0" t="inlineStr">
        <is>
          <t>Tula Women's Cowl Neck Hoodie</t>
        </is>
      </c>
      <c r="D3664" s="0" t="inlineStr">
        <is>
          <t>'114564</t>
        </is>
      </c>
      <c r="E3664" s="0" t="inlineStr">
        <is>
          <t>UNI TULA W GREY:114564E-2XL</t>
        </is>
      </c>
      <c r="F3664" s="0" t="inlineStr">
        <is>
          <t>'802114564085</t>
        </is>
      </c>
      <c r="G3664" s="0" t="inlineStr">
        <is>
          <t>WOMENS</t>
        </is>
      </c>
      <c r="H3664" s="0" t="inlineStr">
        <is>
          <t>2XL</t>
        </is>
      </c>
      <c r="I3664" s="0">
        <v>44.99</v>
      </c>
      <c r="J3664" s="0">
        <v>1</v>
      </c>
    </row>
    <row r="3665" spans="1:10" customHeight="0">
      <c r="A3665" s="0">
        <f>HYPERLINK("https://dl.dropboxusercontent.com/scl/fi/bukz1fmlh3kv9llq4ybrx/114564-af.jpg?rlkey=s1cywgcosx871ymwhfktkssz8&amp;dl=0","Click to download Image")</f>
      </c>
      <c r="B3665" s="0">
        <f>HYPERLINK("https://dl.dropboxusercontent.com/scl/fi/j6u7dskuhl9egl3q7dr7y/womens-hoodie-and-sweatshirt-size-chartstula.jpg?rlkey=z2yfdq1kmqd7i9ylmqp0e4jpo&amp;dl=0","Click to download SizeChart")</f>
      </c>
      <c r="C3665" s="0" t="inlineStr">
        <is>
          <t>Tula Women's Cowl Neck Hoodie</t>
        </is>
      </c>
      <c r="D3665" s="0" t="inlineStr">
        <is>
          <t>'114564</t>
        </is>
      </c>
      <c r="E3665" s="0" t="inlineStr">
        <is>
          <t>UNI TULA W GREY:114564F-3XL</t>
        </is>
      </c>
      <c r="F3665" s="0" t="inlineStr">
        <is>
          <t>'802114564092</t>
        </is>
      </c>
      <c r="G3665" s="0" t="inlineStr">
        <is>
          <t>WOMENS</t>
        </is>
      </c>
      <c r="H3665" s="0" t="inlineStr">
        <is>
          <t>3XL</t>
        </is>
      </c>
      <c r="I3665" s="0">
        <v>44.99</v>
      </c>
      <c r="J3665" s="0">
        <v>0</v>
      </c>
    </row>
    <row r="3666" spans="1:10" customHeight="0">
      <c r="A3666" s="0">
        <f>HYPERLINK("https://dl.dropboxusercontent.com/scl/fi/bukz1fmlh3kv9llq4ybrx/114564-af.jpg?rlkey=s1cywgcosx871ymwhfktkssz8&amp;dl=0","Click to download Image")</f>
      </c>
      <c r="B3666" s="0">
        <f>HYPERLINK("https://dl.dropboxusercontent.com/scl/fi/j6u7dskuhl9egl3q7dr7y/womens-hoodie-and-sweatshirt-size-chartstula.jpg?rlkey=z2yfdq1kmqd7i9ylmqp0e4jpo&amp;dl=0","Click to download SizeChart")</f>
      </c>
      <c r="C3666" s="0" t="inlineStr">
        <is>
          <t>Tula Women's Cowl Neck Hoodie</t>
        </is>
      </c>
      <c r="D3666" s="0" t="inlineStr">
        <is>
          <t>'114564</t>
        </is>
      </c>
      <c r="E3666" s="0" t="inlineStr">
        <is>
          <t>UNI TULA W GREY 12 PACK:114564Z-12PK</t>
        </is>
      </c>
      <c r="F3666" s="0" t="inlineStr">
        <is>
          <t>'802114564993</t>
        </is>
      </c>
      <c r="G3666" s="0" t="inlineStr">
        <is>
          <t>WOMENS</t>
        </is>
      </c>
      <c r="H3666" s="0" t="inlineStr">
        <is>
          <t>12 PACK</t>
        </is>
      </c>
      <c r="I3666" s="0">
        <v>491.88</v>
      </c>
      <c r="J3666" s="0">
        <v>0</v>
      </c>
    </row>
    <row r="3667" spans="1:10" customHeight="0">
      <c r="A3667" s="0">
        <f>HYPERLINK("https://dl.dropboxusercontent.com/scl/fi/wb08z1dhvgg7rw0x6ijuk/104355-af.jpg?rlkey=59w3itqjnado93ukjufbn6ckt&amp;dl=0","Click to download Image")</f>
      </c>
      <c r="C3667" s="0" t="inlineStr">
        <is>
          <t>Myers Men's Cap</t>
        </is>
      </c>
      <c r="D3667" s="0" t="inlineStr">
        <is>
          <t>'104355</t>
        </is>
      </c>
      <c r="E3667" s="0" t="inlineStr">
        <is>
          <t>MYERS:104355</t>
        </is>
      </c>
      <c r="F3667" s="0" t="inlineStr">
        <is>
          <t>'000000000000</t>
        </is>
      </c>
      <c r="G3667" s="0" t="inlineStr">
        <is>
          <t>MENS</t>
        </is>
      </c>
      <c r="H3667" s="0" t="inlineStr">
        <is>
          <t>STANDARD MENS</t>
        </is>
      </c>
      <c r="I3667" s="0">
        <v>21.99</v>
      </c>
      <c r="J3667" s="0">
        <v>107</v>
      </c>
    </row>
    <row r="3668" spans="1:10" customHeight="0">
      <c r="A3668" s="0">
        <f>HYPERLINK("https://dl.dropboxusercontent.com/scl/fi/z50mqg1vtdk2w6rthlrbr/104363-af.jpg?rlkey=ftwhclspuc37uyhf5x9u4vrvk&amp;dl=0","Click to download Image")</f>
      </c>
      <c r="C3668" s="0" t="inlineStr">
        <is>
          <t>Myers Men's Cap</t>
        </is>
      </c>
      <c r="D3668" s="0" t="inlineStr">
        <is>
          <t>'104363</t>
        </is>
      </c>
      <c r="E3668" s="0" t="inlineStr">
        <is>
          <t>MYERS:104363</t>
        </is>
      </c>
      <c r="F3668" s="0" t="inlineStr">
        <is>
          <t>'000000000000</t>
        </is>
      </c>
      <c r="G3668" s="0" t="inlineStr">
        <is>
          <t>MENS</t>
        </is>
      </c>
      <c r="H3668" s="0" t="inlineStr">
        <is>
          <t>STANDARD MENS</t>
        </is>
      </c>
      <c r="I3668" s="0">
        <v>21.99</v>
      </c>
      <c r="J3668" s="0">
        <v>141</v>
      </c>
    </row>
    <row r="3669" spans="1:10" customHeight="0">
      <c r="A3669" s="0">
        <f>HYPERLINK("https://dl.dropboxusercontent.com/scl/fi/93fhgbknh8hqeitm6tfss/104358-af.jpg?rlkey=b9ah75cvkm10582a0xip7sht1&amp;dl=0","Click to download Image")</f>
      </c>
      <c r="C3669" s="0" t="inlineStr">
        <is>
          <t>Myers Men's Cap</t>
        </is>
      </c>
      <c r="D3669" s="0" t="inlineStr">
        <is>
          <t>'104358</t>
        </is>
      </c>
      <c r="E3669" s="0" t="inlineStr">
        <is>
          <t>MYERS:104358</t>
        </is>
      </c>
      <c r="F3669" s="0" t="inlineStr">
        <is>
          <t>'700104358013</t>
        </is>
      </c>
      <c r="G3669" s="0" t="inlineStr">
        <is>
          <t>MENS</t>
        </is>
      </c>
      <c r="H3669" s="0" t="inlineStr">
        <is>
          <t>STANDARD MENS</t>
        </is>
      </c>
      <c r="I3669" s="0">
        <v>21.99</v>
      </c>
      <c r="J3669" s="0">
        <v>131</v>
      </c>
    </row>
    <row r="3670" spans="1:10" customHeight="0">
      <c r="A3670" s="0">
        <f>HYPERLINK("https://dl.dropboxusercontent.com/scl/fi/5qatrudpuptu6t9scnjyf/104359-af.jpg?rlkey=kxik9mjxxs26vg7ltuygfo8lr&amp;dl=0","Click to download Image")</f>
      </c>
      <c r="C3670" s="0" t="inlineStr">
        <is>
          <t>Myers Men's Cap</t>
        </is>
      </c>
      <c r="D3670" s="0" t="inlineStr">
        <is>
          <t>'104359</t>
        </is>
      </c>
      <c r="E3670" s="0" t="inlineStr">
        <is>
          <t>MYERS:104359</t>
        </is>
      </c>
      <c r="F3670" s="0" t="inlineStr">
        <is>
          <t>'000000000000</t>
        </is>
      </c>
      <c r="G3670" s="0" t="inlineStr">
        <is>
          <t>MENS</t>
        </is>
      </c>
      <c r="H3670" s="0" t="inlineStr">
        <is>
          <t>STANDARD MENS</t>
        </is>
      </c>
      <c r="I3670" s="0">
        <v>21.99</v>
      </c>
      <c r="J3670" s="0">
        <v>10</v>
      </c>
    </row>
    <row r="3671" spans="1:10" customHeight="0">
      <c r="A3671" s="0">
        <f>HYPERLINK("https://dl.dropboxusercontent.com/scl/fi/mexytl89li85mc0jx7ely/104357-af.jpg?rlkey=woyr6uiselnb8wddu0vecur05&amp;dl=0","Click to download Image")</f>
      </c>
      <c r="C3671" s="0" t="inlineStr">
        <is>
          <t>Myers Men's Cap</t>
        </is>
      </c>
      <c r="D3671" s="0" t="inlineStr">
        <is>
          <t>'104357</t>
        </is>
      </c>
      <c r="E3671" s="0" t="inlineStr">
        <is>
          <t>MYERS:104357</t>
        </is>
      </c>
      <c r="F3671" s="0" t="inlineStr">
        <is>
          <t>'000000000000</t>
        </is>
      </c>
      <c r="G3671" s="0" t="inlineStr">
        <is>
          <t>MENS</t>
        </is>
      </c>
      <c r="H3671" s="0" t="inlineStr">
        <is>
          <t>STANDARD MENS</t>
        </is>
      </c>
      <c r="I3671" s="0">
        <v>21.99</v>
      </c>
      <c r="J3671" s="0">
        <v>135</v>
      </c>
    </row>
    <row r="3672" spans="1:10" customHeight="0">
      <c r="A3672" s="0">
        <f>HYPERLINK("https://dl.dropboxusercontent.com/scl/fi/i240j0ak74n9ip67utm3i/104362af.jpg?rlkey=8o3vt1j8wg8zrzdfmycmxmz7c&amp;dl=0","Click to download Image")</f>
      </c>
      <c r="C3672" s="0" t="inlineStr">
        <is>
          <t>Myers Men's Cap</t>
        </is>
      </c>
      <c r="D3672" s="0" t="inlineStr">
        <is>
          <t>'104362</t>
        </is>
      </c>
      <c r="E3672" s="0" t="inlineStr">
        <is>
          <t>MYERS:104362</t>
        </is>
      </c>
      <c r="F3672" s="0" t="inlineStr">
        <is>
          <t>'000000000000</t>
        </is>
      </c>
      <c r="G3672" s="0" t="inlineStr">
        <is>
          <t>MENS</t>
        </is>
      </c>
      <c r="H3672" s="0" t="inlineStr">
        <is>
          <t>STANDARD MENS</t>
        </is>
      </c>
      <c r="I3672" s="0">
        <v>21.99</v>
      </c>
      <c r="J3672" s="0">
        <v>94</v>
      </c>
    </row>
    <row r="3673" spans="1:10" customHeight="0">
      <c r="A3673" s="0">
        <f>HYPERLINK("https://dl.dropboxusercontent.com/scl/fi/3eezkzh3hr4o7lbk9jfhn/104360-af.jpg?rlkey=ku2xo0o5bd3ws1gvre9u4hnt8&amp;dl=0","Click to download Image")</f>
      </c>
      <c r="C3673" s="0" t="inlineStr">
        <is>
          <t>Myers Men's Cap</t>
        </is>
      </c>
      <c r="D3673" s="0" t="inlineStr">
        <is>
          <t>'104360</t>
        </is>
      </c>
      <c r="E3673" s="0" t="inlineStr">
        <is>
          <t>MYERS:104360</t>
        </is>
      </c>
      <c r="F3673" s="0" t="inlineStr">
        <is>
          <t>'000000000000</t>
        </is>
      </c>
      <c r="G3673" s="0" t="inlineStr">
        <is>
          <t>MENS</t>
        </is>
      </c>
      <c r="H3673" s="0" t="inlineStr">
        <is>
          <t>STANDARD MENS</t>
        </is>
      </c>
      <c r="I3673" s="0">
        <v>21.99</v>
      </c>
      <c r="J3673" s="0">
        <v>144</v>
      </c>
    </row>
    <row r="3674" spans="1:10" customHeight="0">
      <c r="A3674" s="0">
        <f>HYPERLINK("https://dl.dropboxusercontent.com/scl/fi/ql9ab49c1q3cbxdgg3m1k/104361-af.jpg?rlkey=eyx2acxhoastdbs9d2jw0zx4m&amp;dl=0","Click to download Image")</f>
      </c>
      <c r="C3674" s="0" t="inlineStr">
        <is>
          <t>Myers Men's Cap</t>
        </is>
      </c>
      <c r="D3674" s="0" t="inlineStr">
        <is>
          <t>'104361</t>
        </is>
      </c>
      <c r="E3674" s="0" t="inlineStr">
        <is>
          <t>MYERS:104361</t>
        </is>
      </c>
      <c r="F3674" s="0" t="inlineStr">
        <is>
          <t>'000000000000</t>
        </is>
      </c>
      <c r="G3674" s="0" t="inlineStr">
        <is>
          <t>MENS</t>
        </is>
      </c>
      <c r="H3674" s="0" t="inlineStr">
        <is>
          <t>STANDARD MENS</t>
        </is>
      </c>
      <c r="I3674" s="0">
        <v>21.99</v>
      </c>
      <c r="J3674" s="0">
        <v>144</v>
      </c>
    </row>
    <row r="3675" spans="1:10" customHeight="0">
      <c r="A3675" s="0">
        <f>HYPERLINK("https://dl.dropboxusercontent.com/scl/fi/cgwzl3rqsn6dk7sg0jwc9/104356-af.jpg?rlkey=uj60bb565bboqldwd2uhk1w8n&amp;dl=0","Click to download Image")</f>
      </c>
      <c r="C3675" s="0" t="inlineStr">
        <is>
          <t>Myers Men's Cap</t>
        </is>
      </c>
      <c r="D3675" s="0" t="inlineStr">
        <is>
          <t>'104356</t>
        </is>
      </c>
      <c r="E3675" s="0" t="inlineStr">
        <is>
          <t>MYERS:104356</t>
        </is>
      </c>
      <c r="F3675" s="0" t="inlineStr">
        <is>
          <t>'000000000000</t>
        </is>
      </c>
      <c r="G3675" s="0" t="inlineStr">
        <is>
          <t>MENS</t>
        </is>
      </c>
      <c r="H3675" s="0" t="inlineStr">
        <is>
          <t>STANDARD MENS</t>
        </is>
      </c>
      <c r="I3675" s="0">
        <v>21.99</v>
      </c>
      <c r="J3675" s="0">
        <v>143</v>
      </c>
    </row>
    <row r="3676" spans="1:10" customHeight="0">
      <c r="A3676" s="0">
        <f>HYPERLINK("https://dl.dropboxusercontent.com/scl/fi/28m5n6ehg1b9hd0ce7zux/107082f.jpg?rlkey=fb3xebepk2xbuxl9t3q0vtfov&amp;dl=0","Click to download Image")</f>
      </c>
      <c r="B3676" s="0">
        <f>HYPERLINK("https://dl.dropboxusercontent.com/scl/fi/1ozq1wafyfrfta4g30mmo/graphic-update22022-infant.jpg?rlkey=xbh1uvsbo8sqj8u13t5n4t8nb&amp;dl=0","Click to download SizeChart")</f>
      </c>
      <c r="C3676" s="0" t="inlineStr">
        <is>
          <t>Virginia Infant Jumpsuit</t>
        </is>
      </c>
      <c r="D3676" s="0" t="inlineStr">
        <is>
          <t>'107082</t>
        </is>
      </c>
      <c r="E3676" s="0" t="inlineStr">
        <is>
          <t>IA VIRGINIA:107082A-0-3M</t>
        </is>
      </c>
      <c r="F3676" s="0" t="inlineStr">
        <is>
          <t>'800107082011</t>
        </is>
      </c>
      <c r="G3676" s="0" t="inlineStr">
        <is>
          <t>INFANT</t>
        </is>
      </c>
      <c r="H3676" s="0" t="inlineStr">
        <is>
          <t>0-3M</t>
        </is>
      </c>
      <c r="I3676" s="0">
        <v>32.99</v>
      </c>
      <c r="J3676" s="0">
        <v>5</v>
      </c>
    </row>
    <row r="3677" spans="1:10" customHeight="0">
      <c r="A3677" s="0">
        <f>HYPERLINK("https://dl.dropboxusercontent.com/scl/fi/28m5n6ehg1b9hd0ce7zux/107082f.jpg?rlkey=fb3xebepk2xbuxl9t3q0vtfov&amp;dl=0","Click to download Image")</f>
      </c>
      <c r="B3677" s="0">
        <f>HYPERLINK("https://dl.dropboxusercontent.com/scl/fi/1ozq1wafyfrfta4g30mmo/graphic-update22022-infant.jpg?rlkey=xbh1uvsbo8sqj8u13t5n4t8nb&amp;dl=0","Click to download SizeChart")</f>
      </c>
      <c r="C3677" s="0" t="inlineStr">
        <is>
          <t>Virginia Infant Jumpsuit</t>
        </is>
      </c>
      <c r="D3677" s="0" t="inlineStr">
        <is>
          <t>'107082</t>
        </is>
      </c>
      <c r="E3677" s="0" t="inlineStr">
        <is>
          <t>IA VIRGINIA:107082B-3-6M</t>
        </is>
      </c>
      <c r="F3677" s="0" t="inlineStr">
        <is>
          <t>'800107082028</t>
        </is>
      </c>
      <c r="G3677" s="0" t="inlineStr">
        <is>
          <t>INFANT</t>
        </is>
      </c>
      <c r="H3677" s="0" t="inlineStr">
        <is>
          <t>3-6M</t>
        </is>
      </c>
      <c r="I3677" s="0">
        <v>32.99</v>
      </c>
      <c r="J3677" s="0">
        <v>1</v>
      </c>
    </row>
    <row r="3678" spans="1:10" customHeight="0">
      <c r="A3678" s="0">
        <f>HYPERLINK("https://dl.dropboxusercontent.com/scl/fi/28m5n6ehg1b9hd0ce7zux/107082f.jpg?rlkey=fb3xebepk2xbuxl9t3q0vtfov&amp;dl=0","Click to download Image")</f>
      </c>
      <c r="B3678" s="0">
        <f>HYPERLINK("https://dl.dropboxusercontent.com/scl/fi/1ozq1wafyfrfta4g30mmo/graphic-update22022-infant.jpg?rlkey=xbh1uvsbo8sqj8u13t5n4t8nb&amp;dl=0","Click to download SizeChart")</f>
      </c>
      <c r="C3678" s="0" t="inlineStr">
        <is>
          <t>Virginia Infant Jumpsuit</t>
        </is>
      </c>
      <c r="D3678" s="0" t="inlineStr">
        <is>
          <t>'107082</t>
        </is>
      </c>
      <c r="E3678" s="0" t="inlineStr">
        <is>
          <t>IA VIRGINIA:107082C-6-9M</t>
        </is>
      </c>
      <c r="F3678" s="0" t="inlineStr">
        <is>
          <t>'800107082035</t>
        </is>
      </c>
      <c r="G3678" s="0" t="inlineStr">
        <is>
          <t>INFANT</t>
        </is>
      </c>
      <c r="H3678" s="0" t="inlineStr">
        <is>
          <t>6-9M</t>
        </is>
      </c>
      <c r="I3678" s="0">
        <v>32.99</v>
      </c>
      <c r="J3678" s="0">
        <v>4</v>
      </c>
    </row>
    <row r="3679" spans="1:10" customHeight="0">
      <c r="A3679" s="0">
        <f>HYPERLINK("https://dl.dropboxusercontent.com/scl/fi/28m5n6ehg1b9hd0ce7zux/107082f.jpg?rlkey=fb3xebepk2xbuxl9t3q0vtfov&amp;dl=0","Click to download Image")</f>
      </c>
      <c r="B3679" s="0">
        <f>HYPERLINK("https://dl.dropboxusercontent.com/scl/fi/1ozq1wafyfrfta4g30mmo/graphic-update22022-infant.jpg?rlkey=xbh1uvsbo8sqj8u13t5n4t8nb&amp;dl=0","Click to download SizeChart")</f>
      </c>
      <c r="C3679" s="0" t="inlineStr">
        <is>
          <t>Virginia Infant Jumpsuit</t>
        </is>
      </c>
      <c r="D3679" s="0" t="inlineStr">
        <is>
          <t>'107082</t>
        </is>
      </c>
      <c r="E3679" s="0" t="inlineStr">
        <is>
          <t>IA VIRGINIA:107082F-12M</t>
        </is>
      </c>
      <c r="F3679" s="0" t="inlineStr">
        <is>
          <t>'800107082042</t>
        </is>
      </c>
      <c r="G3679" s="0" t="inlineStr">
        <is>
          <t>INFANT</t>
        </is>
      </c>
      <c r="H3679" s="0" t="inlineStr">
        <is>
          <t>12M</t>
        </is>
      </c>
      <c r="I3679" s="0">
        <v>32.99</v>
      </c>
      <c r="J3679" s="0">
        <v>17</v>
      </c>
    </row>
    <row r="3680" spans="1:10" customHeight="0">
      <c r="A3680" s="0">
        <f>HYPERLINK("https://dl.dropboxusercontent.com/scl/fi/emuxieq56nfi5iddzi9x4/iasarablacktiedyet-shirt-1-0288186.jpg?rlkey=ehpl8eabdpr33ako9hf4jaajr&amp;dl=0","Click to download Image")</f>
      </c>
      <c r="B3680" s="0">
        <f>HYPERLINK("https://dl.dropboxusercontent.com/scl/fi/2pol68exgunibm9ybb3eo/womens-t-shirt-size-chartscason-sara.jpg?rlkey=bzx71711tyqfg0w572hv9y9n5&amp;dl=0","Click to download SizeChart")</f>
      </c>
      <c r="C3680" s="0" t="inlineStr">
        <is>
          <t>Sara Ladies Tie Dye T-Shirt</t>
        </is>
      </c>
      <c r="D3680" s="0" t="inlineStr">
        <is>
          <t>'126156</t>
        </is>
      </c>
      <c r="E3680" s="0" t="inlineStr">
        <is>
          <t>IOWA SARA W BK:126156D-XL</t>
        </is>
      </c>
      <c r="F3680" s="0" t="inlineStr">
        <is>
          <t>'800126156076</t>
        </is>
      </c>
      <c r="G3680" s="0" t="inlineStr">
        <is>
          <t>WOMENS</t>
        </is>
      </c>
      <c r="H3680" s="0" t="inlineStr">
        <is>
          <t>XL</t>
        </is>
      </c>
      <c r="I3680" s="0">
        <v>24.99</v>
      </c>
      <c r="J3680" s="0">
        <v>2</v>
      </c>
    </row>
    <row r="3681" spans="1:10" customHeight="0">
      <c r="A3681" s="0">
        <f>HYPERLINK("https://dl.dropboxusercontent.com/scl/fi/emuxieq56nfi5iddzi9x4/iasarablacktiedyet-shirt-1-0288186.jpg?rlkey=ehpl8eabdpr33ako9hf4jaajr&amp;dl=0","Click to download Image")</f>
      </c>
      <c r="B3681" s="0">
        <f>HYPERLINK("https://dl.dropboxusercontent.com/scl/fi/2pol68exgunibm9ybb3eo/womens-t-shirt-size-chartscason-sara.jpg?rlkey=bzx71711tyqfg0w572hv9y9n5&amp;dl=0","Click to download SizeChart")</f>
      </c>
      <c r="C3681" s="0" t="inlineStr">
        <is>
          <t>Sara Ladies Tie Dye T-Shirt</t>
        </is>
      </c>
      <c r="D3681" s="0" t="inlineStr">
        <is>
          <t>'126156</t>
        </is>
      </c>
      <c r="E3681" s="0" t="inlineStr">
        <is>
          <t>IOWA SARA W BK:126156E-2XL</t>
        </is>
      </c>
      <c r="F3681" s="0" t="inlineStr">
        <is>
          <t>'800126156083</t>
        </is>
      </c>
      <c r="G3681" s="0" t="inlineStr">
        <is>
          <t>WOMENS</t>
        </is>
      </c>
      <c r="H3681" s="0" t="inlineStr">
        <is>
          <t>2XL</t>
        </is>
      </c>
      <c r="I3681" s="0">
        <v>26.99</v>
      </c>
      <c r="J3681" s="0">
        <v>4</v>
      </c>
    </row>
    <row r="3682" spans="1:10" customHeight="0">
      <c r="A3682" s="0">
        <f>HYPERLINK("https://dl.dropboxusercontent.com/scl/fi/emuxieq56nfi5iddzi9x4/iasarablacktiedyet-shirt-1-0288186.jpg?rlkey=ehpl8eabdpr33ako9hf4jaajr&amp;dl=0","Click to download Image")</f>
      </c>
      <c r="B3682" s="0">
        <f>HYPERLINK("https://dl.dropboxusercontent.com/scl/fi/2pol68exgunibm9ybb3eo/womens-t-shirt-size-chartscason-sara.jpg?rlkey=bzx71711tyqfg0w572hv9y9n5&amp;dl=0","Click to download SizeChart")</f>
      </c>
      <c r="C3682" s="0" t="inlineStr">
        <is>
          <t>Sara Ladies Tie Dye T-Shirt</t>
        </is>
      </c>
      <c r="D3682" s="0" t="inlineStr">
        <is>
          <t>'126156</t>
        </is>
      </c>
      <c r="E3682" s="0" t="inlineStr">
        <is>
          <t>IOWA SARA W BK:126156F-3XL</t>
        </is>
      </c>
      <c r="F3682" s="0" t="inlineStr">
        <is>
          <t>'800126156090</t>
        </is>
      </c>
      <c r="G3682" s="0" t="inlineStr">
        <is>
          <t>WOMENS</t>
        </is>
      </c>
      <c r="H3682" s="0" t="inlineStr">
        <is>
          <t>3XL</t>
        </is>
      </c>
      <c r="I3682" s="0">
        <v>26.99</v>
      </c>
      <c r="J3682" s="0">
        <v>4</v>
      </c>
    </row>
    <row r="3683" spans="1:10" customHeight="0">
      <c r="A3683" s="0">
        <f>HYPERLINK("https://dl.dropboxusercontent.com/scl/fi/b96fuw7vy3yg8e623tpu0/ia.jpg?rlkey=id4fd3yb6kjlfgbxdudagj1z7&amp;dl=0","Click to download Image")</f>
      </c>
      <c r="B3683" s="0">
        <f>HYPERLINK("https://dl.dropboxusercontent.com/scl/fi/hp9azgxk1q9mhpm0a9m35/marta.jpg?rlkey=j01fx2qbmqwm1ou1jpch5anqd&amp;dl=0","Click to download SizeChart")</f>
      </c>
      <c r="C3683" s="0" t="inlineStr">
        <is>
          <t>Marta Womens Golf Polo</t>
        </is>
      </c>
      <c r="D3683" s="0" t="inlineStr">
        <is>
          <t>'113905</t>
        </is>
      </c>
      <c r="E3683" s="0" t="inlineStr">
        <is>
          <t>IOWA MARTA W BLACK:113905A-S</t>
        </is>
      </c>
      <c r="F3683" s="0" t="inlineStr">
        <is>
          <t>'800113905045</t>
        </is>
      </c>
      <c r="G3683" s="0" t="inlineStr">
        <is>
          <t>WOMENS</t>
        </is>
      </c>
      <c r="H3683" s="0" t="inlineStr">
        <is>
          <t>S</t>
        </is>
      </c>
      <c r="I3683" s="0">
        <v>40.98</v>
      </c>
      <c r="J3683" s="0">
        <v>9</v>
      </c>
    </row>
    <row r="3684" spans="1:10" customHeight="0">
      <c r="A3684" s="0">
        <f>HYPERLINK("https://dl.dropboxusercontent.com/scl/fi/b96fuw7vy3yg8e623tpu0/ia.jpg?rlkey=id4fd3yb6kjlfgbxdudagj1z7&amp;dl=0","Click to download Image")</f>
      </c>
      <c r="B3684" s="0">
        <f>HYPERLINK("https://dl.dropboxusercontent.com/scl/fi/hp9azgxk1q9mhpm0a9m35/marta.jpg?rlkey=j01fx2qbmqwm1ou1jpch5anqd&amp;dl=0","Click to download SizeChart")</f>
      </c>
      <c r="C3684" s="0" t="inlineStr">
        <is>
          <t>Marta Womens Golf Polo</t>
        </is>
      </c>
      <c r="D3684" s="0" t="inlineStr">
        <is>
          <t>'113905</t>
        </is>
      </c>
      <c r="E3684" s="0" t="inlineStr">
        <is>
          <t>IOWA MARTA W BLACK:113905B-M</t>
        </is>
      </c>
      <c r="F3684" s="0" t="inlineStr">
        <is>
          <t>'800113905052</t>
        </is>
      </c>
      <c r="G3684" s="0" t="inlineStr">
        <is>
          <t>WOMENS</t>
        </is>
      </c>
      <c r="H3684" s="0" t="inlineStr">
        <is>
          <t>M</t>
        </is>
      </c>
      <c r="I3684" s="0">
        <v>40.98</v>
      </c>
      <c r="J3684" s="0">
        <v>18</v>
      </c>
    </row>
    <row r="3685" spans="1:10" customHeight="0">
      <c r="A3685" s="0">
        <f>HYPERLINK("https://dl.dropboxusercontent.com/scl/fi/b96fuw7vy3yg8e623tpu0/ia.jpg?rlkey=id4fd3yb6kjlfgbxdudagj1z7&amp;dl=0","Click to download Image")</f>
      </c>
      <c r="B3685" s="0">
        <f>HYPERLINK("https://dl.dropboxusercontent.com/scl/fi/hp9azgxk1q9mhpm0a9m35/marta.jpg?rlkey=j01fx2qbmqwm1ou1jpch5anqd&amp;dl=0","Click to download SizeChart")</f>
      </c>
      <c r="C3685" s="0" t="inlineStr">
        <is>
          <t>Marta Womens Golf Polo</t>
        </is>
      </c>
      <c r="D3685" s="0" t="inlineStr">
        <is>
          <t>'113905</t>
        </is>
      </c>
      <c r="E3685" s="0" t="inlineStr">
        <is>
          <t>IOWA MARTA W BLACK:113905C-L</t>
        </is>
      </c>
      <c r="F3685" s="0" t="inlineStr">
        <is>
          <t>'800113905069</t>
        </is>
      </c>
      <c r="G3685" s="0" t="inlineStr">
        <is>
          <t>WOMENS</t>
        </is>
      </c>
      <c r="H3685" s="0" t="inlineStr">
        <is>
          <t>L</t>
        </is>
      </c>
      <c r="I3685" s="0">
        <v>40.98</v>
      </c>
      <c r="J3685" s="0">
        <v>10</v>
      </c>
    </row>
    <row r="3686" spans="1:10" customHeight="0">
      <c r="A3686" s="0">
        <f>HYPERLINK("https://dl.dropboxusercontent.com/scl/fi/b96fuw7vy3yg8e623tpu0/ia.jpg?rlkey=id4fd3yb6kjlfgbxdudagj1z7&amp;dl=0","Click to download Image")</f>
      </c>
      <c r="B3686" s="0">
        <f>HYPERLINK("https://dl.dropboxusercontent.com/scl/fi/hp9azgxk1q9mhpm0a9m35/marta.jpg?rlkey=j01fx2qbmqwm1ou1jpch5anqd&amp;dl=0","Click to download SizeChart")</f>
      </c>
      <c r="C3686" s="0" t="inlineStr">
        <is>
          <t>Marta Womens Golf Polo</t>
        </is>
      </c>
      <c r="D3686" s="0" t="inlineStr">
        <is>
          <t>'113905</t>
        </is>
      </c>
      <c r="E3686" s="0" t="inlineStr">
        <is>
          <t>IOWA MARTA W BLACK:113905D-XL</t>
        </is>
      </c>
      <c r="F3686" s="0" t="inlineStr">
        <is>
          <t>'800113905076</t>
        </is>
      </c>
      <c r="G3686" s="0" t="inlineStr">
        <is>
          <t>WOMENS</t>
        </is>
      </c>
      <c r="H3686" s="0" t="inlineStr">
        <is>
          <t>XL</t>
        </is>
      </c>
      <c r="I3686" s="0">
        <v>40.98</v>
      </c>
      <c r="J3686" s="0">
        <v>0</v>
      </c>
    </row>
    <row r="3687" spans="1:10" customHeight="0">
      <c r="A3687" s="0">
        <f>HYPERLINK("https://dl.dropboxusercontent.com/scl/fi/b96fuw7vy3yg8e623tpu0/ia.jpg?rlkey=id4fd3yb6kjlfgbxdudagj1z7&amp;dl=0","Click to download Image")</f>
      </c>
      <c r="B3687" s="0">
        <f>HYPERLINK("https://dl.dropboxusercontent.com/scl/fi/hp9azgxk1q9mhpm0a9m35/marta.jpg?rlkey=j01fx2qbmqwm1ou1jpch5anqd&amp;dl=0","Click to download SizeChart")</f>
      </c>
      <c r="C3687" s="0" t="inlineStr">
        <is>
          <t>Marta Womens Golf Polo</t>
        </is>
      </c>
      <c r="D3687" s="0" t="inlineStr">
        <is>
          <t>'113905</t>
        </is>
      </c>
      <c r="E3687" s="0" t="inlineStr">
        <is>
          <t>IOWA MARTA W BLACK:113905E-2XL</t>
        </is>
      </c>
      <c r="F3687" s="0" t="inlineStr">
        <is>
          <t>'800113905083</t>
        </is>
      </c>
      <c r="G3687" s="0" t="inlineStr">
        <is>
          <t>WOMENS</t>
        </is>
      </c>
      <c r="H3687" s="0" t="inlineStr">
        <is>
          <t>2XL</t>
        </is>
      </c>
      <c r="I3687" s="0">
        <v>42.98</v>
      </c>
      <c r="J3687" s="0">
        <v>0</v>
      </c>
    </row>
    <row r="3688" spans="1:10" customHeight="0">
      <c r="A3688" s="0">
        <f>HYPERLINK("https://dl.dropboxusercontent.com/scl/fi/b96fuw7vy3yg8e623tpu0/ia.jpg?rlkey=id4fd3yb6kjlfgbxdudagj1z7&amp;dl=0","Click to download Image")</f>
      </c>
      <c r="B3688" s="0">
        <f>HYPERLINK("https://dl.dropboxusercontent.com/scl/fi/hp9azgxk1q9mhpm0a9m35/marta.jpg?rlkey=j01fx2qbmqwm1ou1jpch5anqd&amp;dl=0","Click to download SizeChart")</f>
      </c>
      <c r="C3688" s="0" t="inlineStr">
        <is>
          <t>Marta Womens Golf Polo</t>
        </is>
      </c>
      <c r="D3688" s="0" t="inlineStr">
        <is>
          <t>'113905</t>
        </is>
      </c>
      <c r="E3688" s="0" t="inlineStr">
        <is>
          <t>IOWA MARTA W BLACK:113905F-3XL</t>
        </is>
      </c>
      <c r="F3688" s="0" t="inlineStr">
        <is>
          <t>'800113905090</t>
        </is>
      </c>
      <c r="G3688" s="0" t="inlineStr">
        <is>
          <t>WOMENS</t>
        </is>
      </c>
      <c r="H3688" s="0" t="inlineStr">
        <is>
          <t>3XL</t>
        </is>
      </c>
      <c r="I3688" s="0">
        <v>42.98</v>
      </c>
      <c r="J3688" s="0">
        <v>0</v>
      </c>
    </row>
    <row r="3689" spans="1:10" customHeight="0">
      <c r="A3689" s="0">
        <f>HYPERLINK("https://dl.dropboxusercontent.com/scl/fi/b96fuw7vy3yg8e623tpu0/ia.jpg?rlkey=id4fd3yb6kjlfgbxdudagj1z7&amp;dl=0","Click to download Image")</f>
      </c>
      <c r="B3689" s="0">
        <f>HYPERLINK("https://dl.dropboxusercontent.com/scl/fi/hp9azgxk1q9mhpm0a9m35/marta.jpg?rlkey=j01fx2qbmqwm1ou1jpch5anqd&amp;dl=0","Click to download SizeChart")</f>
      </c>
      <c r="C3689" s="0" t="inlineStr">
        <is>
          <t>Marta Womens Golf Polo</t>
        </is>
      </c>
      <c r="D3689" s="0" t="inlineStr">
        <is>
          <t>'113905</t>
        </is>
      </c>
      <c r="E3689" s="0" t="inlineStr">
        <is>
          <t>IOWA MARTA W BLACK 12 PACK:113905Z-12PK</t>
        </is>
      </c>
      <c r="F3689" s="0" t="inlineStr">
        <is>
          <t>'800113905991</t>
        </is>
      </c>
      <c r="G3689" s="0" t="inlineStr">
        <is>
          <t>WOMENS</t>
        </is>
      </c>
      <c r="H3689" s="0" t="inlineStr">
        <is>
          <t>12 PACK</t>
        </is>
      </c>
      <c r="I3689" s="0">
        <v>473.76</v>
      </c>
      <c r="J3689" s="0">
        <v>0</v>
      </c>
    </row>
    <row r="3690" spans="1:10" customHeight="0">
      <c r="A3690" s="0">
        <f>HYPERLINK("https://dl.dropboxusercontent.com/scl/fi/ojyvs7lqqsnklw49adzqw/uni.jpg?rlkey=ngbcsdo6cze1bts81hcvnulks&amp;dl=0","Click to download Image")</f>
      </c>
      <c r="B3690" s="0">
        <f>HYPERLINK("https://dl.dropboxusercontent.com/scl/fi/hp9azgxk1q9mhpm0a9m35/marta.jpg?rlkey=j01fx2qbmqwm1ou1jpch5anqd&amp;dl=0","Click to download SizeChart")</f>
      </c>
      <c r="C3690" s="0" t="inlineStr">
        <is>
          <t>Marta Womens Golf Polo</t>
        </is>
      </c>
      <c r="D3690" s="0" t="inlineStr">
        <is>
          <t>'113944</t>
        </is>
      </c>
      <c r="E3690" s="0" t="inlineStr">
        <is>
          <t>UNI MARTA WOMENS PURPLE:113944A-S</t>
        </is>
      </c>
      <c r="F3690" s="0" t="inlineStr">
        <is>
          <t>'802113944048</t>
        </is>
      </c>
      <c r="G3690" s="0" t="inlineStr">
        <is>
          <t>WOMENS</t>
        </is>
      </c>
      <c r="H3690" s="0" t="inlineStr">
        <is>
          <t>S</t>
        </is>
      </c>
      <c r="I3690" s="0">
        <v>40.98</v>
      </c>
      <c r="J3690" s="0">
        <v>4</v>
      </c>
    </row>
    <row r="3691" spans="1:10" customHeight="0">
      <c r="A3691" s="0">
        <f>HYPERLINK("https://dl.dropboxusercontent.com/scl/fi/ojyvs7lqqsnklw49adzqw/uni.jpg?rlkey=ngbcsdo6cze1bts81hcvnulks&amp;dl=0","Click to download Image")</f>
      </c>
      <c r="B3691" s="0">
        <f>HYPERLINK("https://dl.dropboxusercontent.com/scl/fi/hp9azgxk1q9mhpm0a9m35/marta.jpg?rlkey=j01fx2qbmqwm1ou1jpch5anqd&amp;dl=0","Click to download SizeChart")</f>
      </c>
      <c r="C3691" s="0" t="inlineStr">
        <is>
          <t>Marta Womens Golf Polo</t>
        </is>
      </c>
      <c r="D3691" s="0" t="inlineStr">
        <is>
          <t>'113944</t>
        </is>
      </c>
      <c r="E3691" s="0" t="inlineStr">
        <is>
          <t>UNI MARTA WOMENS PURPLE:113944B-M</t>
        </is>
      </c>
      <c r="F3691" s="0" t="inlineStr">
        <is>
          <t>'802113944055</t>
        </is>
      </c>
      <c r="G3691" s="0" t="inlineStr">
        <is>
          <t>WOMENS</t>
        </is>
      </c>
      <c r="H3691" s="0" t="inlineStr">
        <is>
          <t>M</t>
        </is>
      </c>
      <c r="I3691" s="0">
        <v>40.98</v>
      </c>
      <c r="J3691" s="0">
        <v>7</v>
      </c>
    </row>
    <row r="3692" spans="1:10" customHeight="0">
      <c r="A3692" s="0">
        <f>HYPERLINK("https://dl.dropboxusercontent.com/scl/fi/ojyvs7lqqsnklw49adzqw/uni.jpg?rlkey=ngbcsdo6cze1bts81hcvnulks&amp;dl=0","Click to download Image")</f>
      </c>
      <c r="B3692" s="0">
        <f>HYPERLINK("https://dl.dropboxusercontent.com/scl/fi/hp9azgxk1q9mhpm0a9m35/marta.jpg?rlkey=j01fx2qbmqwm1ou1jpch5anqd&amp;dl=0","Click to download SizeChart")</f>
      </c>
      <c r="C3692" s="0" t="inlineStr">
        <is>
          <t>Marta Womens Golf Polo</t>
        </is>
      </c>
      <c r="D3692" s="0" t="inlineStr">
        <is>
          <t>'113944</t>
        </is>
      </c>
      <c r="E3692" s="0" t="inlineStr">
        <is>
          <t>UNI MARTA WOMENS PURPLE:113944C-L</t>
        </is>
      </c>
      <c r="F3692" s="0" t="inlineStr">
        <is>
          <t>'802113944062</t>
        </is>
      </c>
      <c r="G3692" s="0" t="inlineStr">
        <is>
          <t>WOMENS</t>
        </is>
      </c>
      <c r="H3692" s="0" t="inlineStr">
        <is>
          <t>L</t>
        </is>
      </c>
      <c r="I3692" s="0">
        <v>40.98</v>
      </c>
      <c r="J3692" s="0">
        <v>8</v>
      </c>
    </row>
    <row r="3693" spans="1:10" customHeight="0">
      <c r="A3693" s="0">
        <f>HYPERLINK("https://dl.dropboxusercontent.com/scl/fi/ojyvs7lqqsnklw49adzqw/uni.jpg?rlkey=ngbcsdo6cze1bts81hcvnulks&amp;dl=0","Click to download Image")</f>
      </c>
      <c r="B3693" s="0">
        <f>HYPERLINK("https://dl.dropboxusercontent.com/scl/fi/hp9azgxk1q9mhpm0a9m35/marta.jpg?rlkey=j01fx2qbmqwm1ou1jpch5anqd&amp;dl=0","Click to download SizeChart")</f>
      </c>
      <c r="C3693" s="0" t="inlineStr">
        <is>
          <t>Marta Womens Golf Polo</t>
        </is>
      </c>
      <c r="D3693" s="0" t="inlineStr">
        <is>
          <t>'113944</t>
        </is>
      </c>
      <c r="E3693" s="0" t="inlineStr">
        <is>
          <t>UNI MARTA WOMENS PURPLE:113944D-XL</t>
        </is>
      </c>
      <c r="F3693" s="0" t="inlineStr">
        <is>
          <t>'802113944079</t>
        </is>
      </c>
      <c r="G3693" s="0" t="inlineStr">
        <is>
          <t>WOMENS</t>
        </is>
      </c>
      <c r="H3693" s="0" t="inlineStr">
        <is>
          <t>XL</t>
        </is>
      </c>
      <c r="I3693" s="0">
        <v>40.98</v>
      </c>
      <c r="J3693" s="0">
        <v>4</v>
      </c>
    </row>
    <row r="3694" spans="1:10" customHeight="0">
      <c r="A3694" s="0">
        <f>HYPERLINK("https://dl.dropboxusercontent.com/scl/fi/ojyvs7lqqsnklw49adzqw/uni.jpg?rlkey=ngbcsdo6cze1bts81hcvnulks&amp;dl=0","Click to download Image")</f>
      </c>
      <c r="B3694" s="0">
        <f>HYPERLINK("https://dl.dropboxusercontent.com/scl/fi/hp9azgxk1q9mhpm0a9m35/marta.jpg?rlkey=j01fx2qbmqwm1ou1jpch5anqd&amp;dl=0","Click to download SizeChart")</f>
      </c>
      <c r="C3694" s="0" t="inlineStr">
        <is>
          <t>Marta Womens Golf Polo</t>
        </is>
      </c>
      <c r="D3694" s="0" t="inlineStr">
        <is>
          <t>'113944</t>
        </is>
      </c>
      <c r="E3694" s="0" t="inlineStr">
        <is>
          <t>UNI MARTA WOMENS PURPLE:113944E-2XL</t>
        </is>
      </c>
      <c r="F3694" s="0" t="inlineStr">
        <is>
          <t>'802113944086</t>
        </is>
      </c>
      <c r="G3694" s="0" t="inlineStr">
        <is>
          <t>WOMENS</t>
        </is>
      </c>
      <c r="H3694" s="0" t="inlineStr">
        <is>
          <t>2XL</t>
        </is>
      </c>
      <c r="I3694" s="0">
        <v>42.98</v>
      </c>
      <c r="J3694" s="0">
        <v>1</v>
      </c>
    </row>
    <row r="3695" spans="1:10" customHeight="0">
      <c r="A3695" s="0">
        <f>HYPERLINK("https://dl.dropboxusercontent.com/scl/fi/ojyvs7lqqsnklw49adzqw/uni.jpg?rlkey=ngbcsdo6cze1bts81hcvnulks&amp;dl=0","Click to download Image")</f>
      </c>
      <c r="B3695" s="0">
        <f>HYPERLINK("https://dl.dropboxusercontent.com/scl/fi/hp9azgxk1q9mhpm0a9m35/marta.jpg?rlkey=j01fx2qbmqwm1ou1jpch5anqd&amp;dl=0","Click to download SizeChart")</f>
      </c>
      <c r="C3695" s="0" t="inlineStr">
        <is>
          <t>Marta Womens Golf Polo</t>
        </is>
      </c>
      <c r="D3695" s="0" t="inlineStr">
        <is>
          <t>'113944</t>
        </is>
      </c>
      <c r="E3695" s="0" t="inlineStr">
        <is>
          <t>UNI MARTA WOMENS PURPLE:113944F-3XL</t>
        </is>
      </c>
      <c r="F3695" s="0" t="inlineStr">
        <is>
          <t>'802113944093</t>
        </is>
      </c>
      <c r="G3695" s="0" t="inlineStr">
        <is>
          <t>WOMENS</t>
        </is>
      </c>
      <c r="H3695" s="0" t="inlineStr">
        <is>
          <t>3XL</t>
        </is>
      </c>
      <c r="I3695" s="0">
        <v>42.98</v>
      </c>
      <c r="J3695" s="0">
        <v>0</v>
      </c>
    </row>
    <row r="3696" spans="1:10" customHeight="0">
      <c r="A3696" s="0">
        <f>HYPERLINK("https://dl.dropboxusercontent.com/scl/fi/ojyvs7lqqsnklw49adzqw/uni.jpg?rlkey=ngbcsdo6cze1bts81hcvnulks&amp;dl=0","Click to download Image")</f>
      </c>
      <c r="B3696" s="0">
        <f>HYPERLINK("https://dl.dropboxusercontent.com/scl/fi/hp9azgxk1q9mhpm0a9m35/marta.jpg?rlkey=j01fx2qbmqwm1ou1jpch5anqd&amp;dl=0","Click to download SizeChart")</f>
      </c>
      <c r="C3696" s="0" t="inlineStr">
        <is>
          <t>Marta Womens Golf Polo</t>
        </is>
      </c>
      <c r="D3696" s="0" t="inlineStr">
        <is>
          <t>'113944</t>
        </is>
      </c>
      <c r="E3696" s="0" t="inlineStr">
        <is>
          <t>UNI MARTA WOMENS PURPLE 12 PACK:113944Z-12PK</t>
        </is>
      </c>
      <c r="F3696" s="0" t="inlineStr">
        <is>
          <t>'802113944994</t>
        </is>
      </c>
      <c r="G3696" s="0" t="inlineStr">
        <is>
          <t>WOMENS</t>
        </is>
      </c>
      <c r="H3696" s="0" t="inlineStr">
        <is>
          <t>12 PACK</t>
        </is>
      </c>
      <c r="I3696" s="0">
        <v>473.76</v>
      </c>
      <c r="J3696" s="0">
        <v>0</v>
      </c>
    </row>
    <row r="3697" spans="1:10" customHeight="0">
      <c r="A3697" s="0">
        <f>HYPERLINK("https://dl.dropboxusercontent.com/scl/fi/8vh57iw31ahjhkwuq2tjw/purdue.jpg?rlkey=gys2lmp58ujudvnqj154nlijg&amp;dl=0","Click to download Image")</f>
      </c>
      <c r="B3697" s="0">
        <f>HYPERLINK("https://dl.dropboxusercontent.com/scl/fi/hp9azgxk1q9mhpm0a9m35/marta.jpg?rlkey=j01fx2qbmqwm1ou1jpch5anqd&amp;dl=0","Click to download SizeChart")</f>
      </c>
      <c r="C3697" s="0" t="inlineStr">
        <is>
          <t>Marta Womens Golf Polo</t>
        </is>
      </c>
      <c r="D3697" s="0" t="inlineStr">
        <is>
          <t>'113965</t>
        </is>
      </c>
      <c r="E3697" s="0" t="inlineStr">
        <is>
          <t>PURDUE MARTA W BLACK:113965A-S</t>
        </is>
      </c>
      <c r="F3697" s="0" t="inlineStr">
        <is>
          <t>'804113965047</t>
        </is>
      </c>
      <c r="G3697" s="0" t="inlineStr">
        <is>
          <t>WOMENS</t>
        </is>
      </c>
      <c r="H3697" s="0" t="inlineStr">
        <is>
          <t>S</t>
        </is>
      </c>
      <c r="I3697" s="0">
        <v>40.98</v>
      </c>
      <c r="J3697" s="0">
        <v>3</v>
      </c>
    </row>
    <row r="3698" spans="1:10" customHeight="0">
      <c r="A3698" s="0">
        <f>HYPERLINK("https://dl.dropboxusercontent.com/scl/fi/8vh57iw31ahjhkwuq2tjw/purdue.jpg?rlkey=gys2lmp58ujudvnqj154nlijg&amp;dl=0","Click to download Image")</f>
      </c>
      <c r="B3698" s="0">
        <f>HYPERLINK("https://dl.dropboxusercontent.com/scl/fi/hp9azgxk1q9mhpm0a9m35/marta.jpg?rlkey=j01fx2qbmqwm1ou1jpch5anqd&amp;dl=0","Click to download SizeChart")</f>
      </c>
      <c r="C3698" s="0" t="inlineStr">
        <is>
          <t>Marta Womens Golf Polo</t>
        </is>
      </c>
      <c r="D3698" s="0" t="inlineStr">
        <is>
          <t>'113965</t>
        </is>
      </c>
      <c r="E3698" s="0" t="inlineStr">
        <is>
          <t>PURDUE MARTA W BLACK:113965B-M</t>
        </is>
      </c>
      <c r="F3698" s="0" t="inlineStr">
        <is>
          <t>'804113965054</t>
        </is>
      </c>
      <c r="G3698" s="0" t="inlineStr">
        <is>
          <t>WOMENS</t>
        </is>
      </c>
      <c r="H3698" s="0" t="inlineStr">
        <is>
          <t>M</t>
        </is>
      </c>
      <c r="I3698" s="0">
        <v>40.98</v>
      </c>
      <c r="J3698" s="0">
        <v>8</v>
      </c>
    </row>
    <row r="3699" spans="1:10" customHeight="0">
      <c r="A3699" s="0">
        <f>HYPERLINK("https://dl.dropboxusercontent.com/scl/fi/8vh57iw31ahjhkwuq2tjw/purdue.jpg?rlkey=gys2lmp58ujudvnqj154nlijg&amp;dl=0","Click to download Image")</f>
      </c>
      <c r="B3699" s="0">
        <f>HYPERLINK("https://dl.dropboxusercontent.com/scl/fi/hp9azgxk1q9mhpm0a9m35/marta.jpg?rlkey=j01fx2qbmqwm1ou1jpch5anqd&amp;dl=0","Click to download SizeChart")</f>
      </c>
      <c r="C3699" s="0" t="inlineStr">
        <is>
          <t>Marta Womens Golf Polo</t>
        </is>
      </c>
      <c r="D3699" s="0" t="inlineStr">
        <is>
          <t>'113965</t>
        </is>
      </c>
      <c r="E3699" s="0" t="inlineStr">
        <is>
          <t>PURDUE MARTA W BLACK:113965C-L</t>
        </is>
      </c>
      <c r="F3699" s="0" t="inlineStr">
        <is>
          <t>'804113965061</t>
        </is>
      </c>
      <c r="G3699" s="0" t="inlineStr">
        <is>
          <t>WOMENS</t>
        </is>
      </c>
      <c r="H3699" s="0" t="inlineStr">
        <is>
          <t>L</t>
        </is>
      </c>
      <c r="I3699" s="0">
        <v>40.98</v>
      </c>
      <c r="J3699" s="0">
        <v>5</v>
      </c>
    </row>
    <row r="3700" spans="1:10" customHeight="0">
      <c r="A3700" s="0">
        <f>HYPERLINK("https://dl.dropboxusercontent.com/scl/fi/8vh57iw31ahjhkwuq2tjw/purdue.jpg?rlkey=gys2lmp58ujudvnqj154nlijg&amp;dl=0","Click to download Image")</f>
      </c>
      <c r="B3700" s="0">
        <f>HYPERLINK("https://dl.dropboxusercontent.com/scl/fi/hp9azgxk1q9mhpm0a9m35/marta.jpg?rlkey=j01fx2qbmqwm1ou1jpch5anqd&amp;dl=0","Click to download SizeChart")</f>
      </c>
      <c r="C3700" s="0" t="inlineStr">
        <is>
          <t>Marta Womens Golf Polo</t>
        </is>
      </c>
      <c r="D3700" s="0" t="inlineStr">
        <is>
          <t>'113965</t>
        </is>
      </c>
      <c r="E3700" s="0" t="inlineStr">
        <is>
          <t>PURDUE MARTA W BLACK:113965D-XL</t>
        </is>
      </c>
      <c r="F3700" s="0" t="inlineStr">
        <is>
          <t>'804113965078</t>
        </is>
      </c>
      <c r="G3700" s="0" t="inlineStr">
        <is>
          <t>WOMENS</t>
        </is>
      </c>
      <c r="H3700" s="0" t="inlineStr">
        <is>
          <t>XL</t>
        </is>
      </c>
      <c r="I3700" s="0">
        <v>40.98</v>
      </c>
      <c r="J3700" s="0">
        <v>0</v>
      </c>
    </row>
    <row r="3701" spans="1:10" customHeight="0">
      <c r="A3701" s="0">
        <f>HYPERLINK("https://dl.dropboxusercontent.com/scl/fi/8vh57iw31ahjhkwuq2tjw/purdue.jpg?rlkey=gys2lmp58ujudvnqj154nlijg&amp;dl=0","Click to download Image")</f>
      </c>
      <c r="B3701" s="0">
        <f>HYPERLINK("https://dl.dropboxusercontent.com/scl/fi/hp9azgxk1q9mhpm0a9m35/marta.jpg?rlkey=j01fx2qbmqwm1ou1jpch5anqd&amp;dl=0","Click to download SizeChart")</f>
      </c>
      <c r="C3701" s="0" t="inlineStr">
        <is>
          <t>Marta Womens Golf Polo</t>
        </is>
      </c>
      <c r="D3701" s="0" t="inlineStr">
        <is>
          <t>'113965</t>
        </is>
      </c>
      <c r="E3701" s="0" t="inlineStr">
        <is>
          <t>PURDUE MARTA W BLACK:113965E-2XL</t>
        </is>
      </c>
      <c r="F3701" s="0" t="inlineStr">
        <is>
          <t>'804113965085</t>
        </is>
      </c>
      <c r="G3701" s="0" t="inlineStr">
        <is>
          <t>WOMENS</t>
        </is>
      </c>
      <c r="H3701" s="0" t="inlineStr">
        <is>
          <t>2XL</t>
        </is>
      </c>
      <c r="I3701" s="0">
        <v>42.98</v>
      </c>
      <c r="J3701" s="0">
        <v>0</v>
      </c>
    </row>
    <row r="3702" spans="1:10" customHeight="0">
      <c r="A3702" s="0">
        <f>HYPERLINK("https://dl.dropboxusercontent.com/scl/fi/8vh57iw31ahjhkwuq2tjw/purdue.jpg?rlkey=gys2lmp58ujudvnqj154nlijg&amp;dl=0","Click to download Image")</f>
      </c>
      <c r="B3702" s="0">
        <f>HYPERLINK("https://dl.dropboxusercontent.com/scl/fi/hp9azgxk1q9mhpm0a9m35/marta.jpg?rlkey=j01fx2qbmqwm1ou1jpch5anqd&amp;dl=0","Click to download SizeChart")</f>
      </c>
      <c r="C3702" s="0" t="inlineStr">
        <is>
          <t>Marta Womens Golf Polo</t>
        </is>
      </c>
      <c r="D3702" s="0" t="inlineStr">
        <is>
          <t>'113965</t>
        </is>
      </c>
      <c r="E3702" s="0" t="inlineStr">
        <is>
          <t>PURDUE MARTA W BLACK:113965F-3XL</t>
        </is>
      </c>
      <c r="F3702" s="0" t="inlineStr">
        <is>
          <t>'804113965092</t>
        </is>
      </c>
      <c r="G3702" s="0" t="inlineStr">
        <is>
          <t>WOMENS</t>
        </is>
      </c>
      <c r="H3702" s="0" t="inlineStr">
        <is>
          <t>3XL</t>
        </is>
      </c>
      <c r="I3702" s="0">
        <v>42.98</v>
      </c>
      <c r="J3702" s="0">
        <v>1</v>
      </c>
    </row>
    <row r="3703" spans="1:10" customHeight="0">
      <c r="A3703" s="0">
        <f>HYPERLINK("https://dl.dropboxusercontent.com/scl/fi/8vh57iw31ahjhkwuq2tjw/purdue.jpg?rlkey=gys2lmp58ujudvnqj154nlijg&amp;dl=0","Click to download Image")</f>
      </c>
      <c r="B3703" s="0">
        <f>HYPERLINK("https://dl.dropboxusercontent.com/scl/fi/hp9azgxk1q9mhpm0a9m35/marta.jpg?rlkey=j01fx2qbmqwm1ou1jpch5anqd&amp;dl=0","Click to download SizeChart")</f>
      </c>
      <c r="C3703" s="0" t="inlineStr">
        <is>
          <t>Marta Womens Golf Polo</t>
        </is>
      </c>
      <c r="D3703" s="0" t="inlineStr">
        <is>
          <t>'113965</t>
        </is>
      </c>
      <c r="E3703" s="0" t="inlineStr">
        <is>
          <t>PURDUE MARTA W BLACK 12 PACK:113965Z-12PK</t>
        </is>
      </c>
      <c r="F3703" s="0" t="inlineStr">
        <is>
          <t>'804113965993</t>
        </is>
      </c>
      <c r="G3703" s="0" t="inlineStr">
        <is>
          <t>WOMENS</t>
        </is>
      </c>
      <c r="H3703" s="0" t="inlineStr">
        <is>
          <t>12 PACK</t>
        </is>
      </c>
      <c r="I3703" s="0">
        <v>473.76</v>
      </c>
      <c r="J3703" s="0">
        <v>0</v>
      </c>
    </row>
    <row r="3704" spans="1:10" customHeight="0">
      <c r="A3704" s="0">
        <f>HYPERLINK("https://dl.dropboxusercontent.com/scl/fi/rxcn2fx4d9savx6ymcq1t/ku.jpg?rlkey=vgatw0qygtdttbnko6x6jlj5k&amp;dl=0","Click to download Image")</f>
      </c>
      <c r="B3704" s="0">
        <f>HYPERLINK("https://dl.dropboxusercontent.com/scl/fi/hp9azgxk1q9mhpm0a9m35/marta.jpg?rlkey=j01fx2qbmqwm1ou1jpch5anqd&amp;dl=0","Click to download SizeChart")</f>
      </c>
      <c r="C3704" s="0" t="inlineStr">
        <is>
          <t>Marta Womens Golf Polo</t>
        </is>
      </c>
      <c r="D3704" s="0" t="inlineStr">
        <is>
          <t>'113964</t>
        </is>
      </c>
      <c r="E3704" s="0" t="inlineStr">
        <is>
          <t>KSU MARTA W PURPLE:113964A-S</t>
        </is>
      </c>
      <c r="F3704" s="0" t="inlineStr">
        <is>
          <t>'805113964047</t>
        </is>
      </c>
      <c r="G3704" s="0" t="inlineStr">
        <is>
          <t>WOMENS</t>
        </is>
      </c>
      <c r="H3704" s="0" t="inlineStr">
        <is>
          <t>S</t>
        </is>
      </c>
      <c r="I3704" s="0">
        <v>40.98</v>
      </c>
      <c r="J3704" s="0">
        <v>12</v>
      </c>
    </row>
    <row r="3705" spans="1:10" customHeight="0">
      <c r="A3705" s="0">
        <f>HYPERLINK("https://dl.dropboxusercontent.com/scl/fi/rxcn2fx4d9savx6ymcq1t/ku.jpg?rlkey=vgatw0qygtdttbnko6x6jlj5k&amp;dl=0","Click to download Image")</f>
      </c>
      <c r="B3705" s="0">
        <f>HYPERLINK("https://dl.dropboxusercontent.com/scl/fi/hp9azgxk1q9mhpm0a9m35/marta.jpg?rlkey=j01fx2qbmqwm1ou1jpch5anqd&amp;dl=0","Click to download SizeChart")</f>
      </c>
      <c r="C3705" s="0" t="inlineStr">
        <is>
          <t>Marta Womens Golf Polo</t>
        </is>
      </c>
      <c r="D3705" s="0" t="inlineStr">
        <is>
          <t>'113964</t>
        </is>
      </c>
      <c r="E3705" s="0" t="inlineStr">
        <is>
          <t>KSU MARTA W PURPLE:113964B-M</t>
        </is>
      </c>
      <c r="F3705" s="0" t="inlineStr">
        <is>
          <t>'805113964054</t>
        </is>
      </c>
      <c r="G3705" s="0" t="inlineStr">
        <is>
          <t>WOMENS</t>
        </is>
      </c>
      <c r="H3705" s="0" t="inlineStr">
        <is>
          <t>M</t>
        </is>
      </c>
      <c r="I3705" s="0">
        <v>40.98</v>
      </c>
      <c r="J3705" s="0">
        <v>24</v>
      </c>
    </row>
    <row r="3706" spans="1:10" customHeight="0">
      <c r="A3706" s="0">
        <f>HYPERLINK("https://dl.dropboxusercontent.com/scl/fi/rxcn2fx4d9savx6ymcq1t/ku.jpg?rlkey=vgatw0qygtdttbnko6x6jlj5k&amp;dl=0","Click to download Image")</f>
      </c>
      <c r="B3706" s="0">
        <f>HYPERLINK("https://dl.dropboxusercontent.com/scl/fi/hp9azgxk1q9mhpm0a9m35/marta.jpg?rlkey=j01fx2qbmqwm1ou1jpch5anqd&amp;dl=0","Click to download SizeChart")</f>
      </c>
      <c r="C3706" s="0" t="inlineStr">
        <is>
          <t>Marta Womens Golf Polo</t>
        </is>
      </c>
      <c r="D3706" s="0" t="inlineStr">
        <is>
          <t>'113964</t>
        </is>
      </c>
      <c r="E3706" s="0" t="inlineStr">
        <is>
          <t>KSU MARTA W PURPLE:113964C-L</t>
        </is>
      </c>
      <c r="F3706" s="0" t="inlineStr">
        <is>
          <t>'805113964061</t>
        </is>
      </c>
      <c r="G3706" s="0" t="inlineStr">
        <is>
          <t>WOMENS</t>
        </is>
      </c>
      <c r="H3706" s="0" t="inlineStr">
        <is>
          <t>L</t>
        </is>
      </c>
      <c r="I3706" s="0">
        <v>40.98</v>
      </c>
      <c r="J3706" s="0">
        <v>24</v>
      </c>
    </row>
    <row r="3707" spans="1:10" customHeight="0">
      <c r="A3707" s="0">
        <f>HYPERLINK("https://dl.dropboxusercontent.com/scl/fi/rxcn2fx4d9savx6ymcq1t/ku.jpg?rlkey=vgatw0qygtdttbnko6x6jlj5k&amp;dl=0","Click to download Image")</f>
      </c>
      <c r="B3707" s="0">
        <f>HYPERLINK("https://dl.dropboxusercontent.com/scl/fi/hp9azgxk1q9mhpm0a9m35/marta.jpg?rlkey=j01fx2qbmqwm1ou1jpch5anqd&amp;dl=0","Click to download SizeChart")</f>
      </c>
      <c r="C3707" s="0" t="inlineStr">
        <is>
          <t>Marta Womens Golf Polo</t>
        </is>
      </c>
      <c r="D3707" s="0" t="inlineStr">
        <is>
          <t>'113964</t>
        </is>
      </c>
      <c r="E3707" s="0" t="inlineStr">
        <is>
          <t>KSU MARTA W PURPLE:113964D-XL</t>
        </is>
      </c>
      <c r="F3707" s="0" t="inlineStr">
        <is>
          <t>'805113964078</t>
        </is>
      </c>
      <c r="G3707" s="0" t="inlineStr">
        <is>
          <t>WOMENS</t>
        </is>
      </c>
      <c r="H3707" s="0" t="inlineStr">
        <is>
          <t>XL</t>
        </is>
      </c>
      <c r="I3707" s="0">
        <v>40.98</v>
      </c>
      <c r="J3707" s="0">
        <v>12</v>
      </c>
    </row>
    <row r="3708" spans="1:10" customHeight="0">
      <c r="A3708" s="0">
        <f>HYPERLINK("https://dl.dropboxusercontent.com/scl/fi/rxcn2fx4d9savx6ymcq1t/ku.jpg?rlkey=vgatw0qygtdttbnko6x6jlj5k&amp;dl=0","Click to download Image")</f>
      </c>
      <c r="B3708" s="0">
        <f>HYPERLINK("https://dl.dropboxusercontent.com/scl/fi/hp9azgxk1q9mhpm0a9m35/marta.jpg?rlkey=j01fx2qbmqwm1ou1jpch5anqd&amp;dl=0","Click to download SizeChart")</f>
      </c>
      <c r="C3708" s="0" t="inlineStr">
        <is>
          <t>Marta Womens Golf Polo</t>
        </is>
      </c>
      <c r="D3708" s="0" t="inlineStr">
        <is>
          <t>'113964</t>
        </is>
      </c>
      <c r="E3708" s="0" t="inlineStr">
        <is>
          <t>KSU MARTA W PURPLE:113964E-2XL</t>
        </is>
      </c>
      <c r="F3708" s="0" t="inlineStr">
        <is>
          <t>'805113964085</t>
        </is>
      </c>
      <c r="G3708" s="0" t="inlineStr">
        <is>
          <t>WOMENS</t>
        </is>
      </c>
      <c r="H3708" s="0" t="inlineStr">
        <is>
          <t>2XL</t>
        </is>
      </c>
      <c r="I3708" s="0">
        <v>42.98</v>
      </c>
      <c r="J3708" s="0">
        <v>4</v>
      </c>
    </row>
    <row r="3709" spans="1:10" customHeight="0">
      <c r="A3709" s="0">
        <f>HYPERLINK("https://dl.dropboxusercontent.com/scl/fi/rxcn2fx4d9savx6ymcq1t/ku.jpg?rlkey=vgatw0qygtdttbnko6x6jlj5k&amp;dl=0","Click to download Image")</f>
      </c>
      <c r="B3709" s="0">
        <f>HYPERLINK("https://dl.dropboxusercontent.com/scl/fi/hp9azgxk1q9mhpm0a9m35/marta.jpg?rlkey=j01fx2qbmqwm1ou1jpch5anqd&amp;dl=0","Click to download SizeChart")</f>
      </c>
      <c r="C3709" s="0" t="inlineStr">
        <is>
          <t>Marta Womens Golf Polo</t>
        </is>
      </c>
      <c r="D3709" s="0" t="inlineStr">
        <is>
          <t>'113964</t>
        </is>
      </c>
      <c r="E3709" s="0" t="inlineStr">
        <is>
          <t>KSU MARTA W PURPLE:113964F-3XL</t>
        </is>
      </c>
      <c r="F3709" s="0" t="inlineStr">
        <is>
          <t>'805113964092</t>
        </is>
      </c>
      <c r="G3709" s="0" t="inlineStr">
        <is>
          <t>WOMENS</t>
        </is>
      </c>
      <c r="H3709" s="0" t="inlineStr">
        <is>
          <t>3XL</t>
        </is>
      </c>
      <c r="I3709" s="0">
        <v>42.98</v>
      </c>
      <c r="J3709" s="0">
        <v>2</v>
      </c>
    </row>
    <row r="3710" spans="1:10" customHeight="0">
      <c r="A3710" s="0">
        <f>HYPERLINK("https://dl.dropboxusercontent.com/scl/fi/rxcn2fx4d9savx6ymcq1t/ku.jpg?rlkey=vgatw0qygtdttbnko6x6jlj5k&amp;dl=0","Click to download Image")</f>
      </c>
      <c r="B3710" s="0">
        <f>HYPERLINK("https://dl.dropboxusercontent.com/scl/fi/hp9azgxk1q9mhpm0a9m35/marta.jpg?rlkey=j01fx2qbmqwm1ou1jpch5anqd&amp;dl=0","Click to download SizeChart")</f>
      </c>
      <c r="C3710" s="0" t="inlineStr">
        <is>
          <t>Marta Womens Golf Polo</t>
        </is>
      </c>
      <c r="D3710" s="0" t="inlineStr">
        <is>
          <t>'113964</t>
        </is>
      </c>
      <c r="E3710" s="0" t="inlineStr">
        <is>
          <t>KSU MARTA W PURPLE 12 PACK:113964Z-12PK</t>
        </is>
      </c>
      <c r="F3710" s="0" t="inlineStr">
        <is>
          <t>'805113964993</t>
        </is>
      </c>
      <c r="G3710" s="0" t="inlineStr">
        <is>
          <t>WOMENS</t>
        </is>
      </c>
      <c r="H3710" s="0" t="inlineStr">
        <is>
          <t>12 PACK</t>
        </is>
      </c>
      <c r="I3710" s="0">
        <v>473.76</v>
      </c>
      <c r="J3710" s="0">
        <v>0</v>
      </c>
    </row>
    <row r="3711" spans="1:10" customHeight="0">
      <c r="A3711" s="0">
        <f>HYPERLINK("https://dl.dropboxusercontent.com/scl/fi/sba6vfzfxocez7niqg5ub/mu.jpg?rlkey=an4i8sjfhx174kz22dukhczl2&amp;dl=0","Click to download Image")</f>
      </c>
      <c r="B3711" s="0">
        <f>HYPERLINK("https://dl.dropboxusercontent.com/scl/fi/hp9azgxk1q9mhpm0a9m35/marta.jpg?rlkey=j01fx2qbmqwm1ou1jpch5anqd&amp;dl=0","Click to download SizeChart")</f>
      </c>
      <c r="C3711" s="0" t="inlineStr">
        <is>
          <t>Marta Womens Golf Polo</t>
        </is>
      </c>
      <c r="D3711" s="0" t="inlineStr">
        <is>
          <t>'113963</t>
        </is>
      </c>
      <c r="E3711" s="0" t="inlineStr">
        <is>
          <t>MU MARTA W BLACK:113963A-S</t>
        </is>
      </c>
      <c r="F3711" s="0" t="inlineStr">
        <is>
          <t>'803113963046</t>
        </is>
      </c>
      <c r="G3711" s="0" t="inlineStr">
        <is>
          <t>WOMENS</t>
        </is>
      </c>
      <c r="H3711" s="0" t="inlineStr">
        <is>
          <t>S</t>
        </is>
      </c>
      <c r="I3711" s="0">
        <v>40.98</v>
      </c>
      <c r="J3711" s="0">
        <v>6</v>
      </c>
    </row>
    <row r="3712" spans="1:10" customHeight="0">
      <c r="A3712" s="0">
        <f>HYPERLINK("https://dl.dropboxusercontent.com/scl/fi/sba6vfzfxocez7niqg5ub/mu.jpg?rlkey=an4i8sjfhx174kz22dukhczl2&amp;dl=0","Click to download Image")</f>
      </c>
      <c r="B3712" s="0">
        <f>HYPERLINK("https://dl.dropboxusercontent.com/scl/fi/hp9azgxk1q9mhpm0a9m35/marta.jpg?rlkey=j01fx2qbmqwm1ou1jpch5anqd&amp;dl=0","Click to download SizeChart")</f>
      </c>
      <c r="C3712" s="0" t="inlineStr">
        <is>
          <t>Marta Womens Golf Polo</t>
        </is>
      </c>
      <c r="D3712" s="0" t="inlineStr">
        <is>
          <t>'113963</t>
        </is>
      </c>
      <c r="E3712" s="0" t="inlineStr">
        <is>
          <t>MU MARTA W BLACK:113963B-M</t>
        </is>
      </c>
      <c r="F3712" s="0" t="inlineStr">
        <is>
          <t>'803113963053</t>
        </is>
      </c>
      <c r="G3712" s="0" t="inlineStr">
        <is>
          <t>WOMENS</t>
        </is>
      </c>
      <c r="H3712" s="0" t="inlineStr">
        <is>
          <t>M</t>
        </is>
      </c>
      <c r="I3712" s="0">
        <v>40.98</v>
      </c>
      <c r="J3712" s="0">
        <v>15</v>
      </c>
    </row>
    <row r="3713" spans="1:10" customHeight="0">
      <c r="A3713" s="0">
        <f>HYPERLINK("https://dl.dropboxusercontent.com/scl/fi/sba6vfzfxocez7niqg5ub/mu.jpg?rlkey=an4i8sjfhx174kz22dukhczl2&amp;dl=0","Click to download Image")</f>
      </c>
      <c r="B3713" s="0">
        <f>HYPERLINK("https://dl.dropboxusercontent.com/scl/fi/hp9azgxk1q9mhpm0a9m35/marta.jpg?rlkey=j01fx2qbmqwm1ou1jpch5anqd&amp;dl=0","Click to download SizeChart")</f>
      </c>
      <c r="C3713" s="0" t="inlineStr">
        <is>
          <t>Marta Womens Golf Polo</t>
        </is>
      </c>
      <c r="D3713" s="0" t="inlineStr">
        <is>
          <t>'113963</t>
        </is>
      </c>
      <c r="E3713" s="0" t="inlineStr">
        <is>
          <t>MU MARTA W BLACK:113963C-L</t>
        </is>
      </c>
      <c r="F3713" s="0" t="inlineStr">
        <is>
          <t>'803113963060</t>
        </is>
      </c>
      <c r="G3713" s="0" t="inlineStr">
        <is>
          <t>WOMENS</t>
        </is>
      </c>
      <c r="H3713" s="0" t="inlineStr">
        <is>
          <t>L</t>
        </is>
      </c>
      <c r="I3713" s="0">
        <v>40.98</v>
      </c>
      <c r="J3713" s="0">
        <v>8</v>
      </c>
    </row>
    <row r="3714" spans="1:10" customHeight="0">
      <c r="A3714" s="0">
        <f>HYPERLINK("https://dl.dropboxusercontent.com/scl/fi/sba6vfzfxocez7niqg5ub/mu.jpg?rlkey=an4i8sjfhx174kz22dukhczl2&amp;dl=0","Click to download Image")</f>
      </c>
      <c r="B3714" s="0">
        <f>HYPERLINK("https://dl.dropboxusercontent.com/scl/fi/hp9azgxk1q9mhpm0a9m35/marta.jpg?rlkey=j01fx2qbmqwm1ou1jpch5anqd&amp;dl=0","Click to download SizeChart")</f>
      </c>
      <c r="C3714" s="0" t="inlineStr">
        <is>
          <t>Marta Womens Golf Polo</t>
        </is>
      </c>
      <c r="D3714" s="0" t="inlineStr">
        <is>
          <t>'113963</t>
        </is>
      </c>
      <c r="E3714" s="0" t="inlineStr">
        <is>
          <t>MU MARTA W BLACK:113963D-XL</t>
        </is>
      </c>
      <c r="F3714" s="0" t="inlineStr">
        <is>
          <t>'803113963077</t>
        </is>
      </c>
      <c r="G3714" s="0" t="inlineStr">
        <is>
          <t>WOMENS</t>
        </is>
      </c>
      <c r="H3714" s="0" t="inlineStr">
        <is>
          <t>XL</t>
        </is>
      </c>
      <c r="I3714" s="0">
        <v>40.98</v>
      </c>
      <c r="J3714" s="0">
        <v>1</v>
      </c>
    </row>
    <row r="3715" spans="1:10" customHeight="0">
      <c r="A3715" s="0">
        <f>HYPERLINK("https://dl.dropboxusercontent.com/scl/fi/sba6vfzfxocez7niqg5ub/mu.jpg?rlkey=an4i8sjfhx174kz22dukhczl2&amp;dl=0","Click to download Image")</f>
      </c>
      <c r="B3715" s="0">
        <f>HYPERLINK("https://dl.dropboxusercontent.com/scl/fi/hp9azgxk1q9mhpm0a9m35/marta.jpg?rlkey=j01fx2qbmqwm1ou1jpch5anqd&amp;dl=0","Click to download SizeChart")</f>
      </c>
      <c r="C3715" s="0" t="inlineStr">
        <is>
          <t>Marta Womens Golf Polo</t>
        </is>
      </c>
      <c r="D3715" s="0" t="inlineStr">
        <is>
          <t>'113963</t>
        </is>
      </c>
      <c r="E3715" s="0" t="inlineStr">
        <is>
          <t>MU MARTA W BLACK:113963E-2XL</t>
        </is>
      </c>
      <c r="F3715" s="0" t="inlineStr">
        <is>
          <t>'803113963084</t>
        </is>
      </c>
      <c r="G3715" s="0" t="inlineStr">
        <is>
          <t>WOMENS</t>
        </is>
      </c>
      <c r="H3715" s="0" t="inlineStr">
        <is>
          <t>2XL</t>
        </is>
      </c>
      <c r="I3715" s="0">
        <v>42.98</v>
      </c>
      <c r="J3715" s="0">
        <v>2</v>
      </c>
    </row>
    <row r="3716" spans="1:10" customHeight="0">
      <c r="A3716" s="0">
        <f>HYPERLINK("https://dl.dropboxusercontent.com/scl/fi/sba6vfzfxocez7niqg5ub/mu.jpg?rlkey=an4i8sjfhx174kz22dukhczl2&amp;dl=0","Click to download Image")</f>
      </c>
      <c r="B3716" s="0">
        <f>HYPERLINK("https://dl.dropboxusercontent.com/scl/fi/hp9azgxk1q9mhpm0a9m35/marta.jpg?rlkey=j01fx2qbmqwm1ou1jpch5anqd&amp;dl=0","Click to download SizeChart")</f>
      </c>
      <c r="C3716" s="0" t="inlineStr">
        <is>
          <t>Marta Womens Golf Polo</t>
        </is>
      </c>
      <c r="D3716" s="0" t="inlineStr">
        <is>
          <t>'113963</t>
        </is>
      </c>
      <c r="E3716" s="0" t="inlineStr">
        <is>
          <t>MU MARTA W BLACK:113963F-3XL</t>
        </is>
      </c>
      <c r="F3716" s="0" t="inlineStr">
        <is>
          <t>'803113963091</t>
        </is>
      </c>
      <c r="G3716" s="0" t="inlineStr">
        <is>
          <t>WOMENS</t>
        </is>
      </c>
      <c r="H3716" s="0" t="inlineStr">
        <is>
          <t>3XL</t>
        </is>
      </c>
      <c r="I3716" s="0">
        <v>42.98</v>
      </c>
      <c r="J3716" s="0">
        <v>2</v>
      </c>
    </row>
    <row r="3717" spans="1:10" customHeight="0">
      <c r="A3717" s="0">
        <f>HYPERLINK("https://dl.dropboxusercontent.com/scl/fi/sba6vfzfxocez7niqg5ub/mu.jpg?rlkey=an4i8sjfhx174kz22dukhczl2&amp;dl=0","Click to download Image")</f>
      </c>
      <c r="B3717" s="0">
        <f>HYPERLINK("https://dl.dropboxusercontent.com/scl/fi/hp9azgxk1q9mhpm0a9m35/marta.jpg?rlkey=j01fx2qbmqwm1ou1jpch5anqd&amp;dl=0","Click to download SizeChart")</f>
      </c>
      <c r="C3717" s="0" t="inlineStr">
        <is>
          <t>Marta Womens Golf Polo</t>
        </is>
      </c>
      <c r="D3717" s="0" t="inlineStr">
        <is>
          <t>'113963</t>
        </is>
      </c>
      <c r="E3717" s="0" t="inlineStr">
        <is>
          <t>MU MARTA W BLACK 12 PACK:113963Z-12PK</t>
        </is>
      </c>
      <c r="F3717" s="0" t="inlineStr">
        <is>
          <t>'803113963992</t>
        </is>
      </c>
      <c r="G3717" s="0" t="inlineStr">
        <is>
          <t>WOMENS</t>
        </is>
      </c>
      <c r="H3717" s="0" t="inlineStr">
        <is>
          <t>12 PACK</t>
        </is>
      </c>
      <c r="I3717" s="0">
        <v>473.76</v>
      </c>
      <c r="J3717" s="0">
        <v>0</v>
      </c>
    </row>
    <row r="3718" spans="1:10" customHeight="0">
      <c r="A3718" s="0">
        <f>HYPERLINK("https://dl.dropboxusercontent.com/scl/fi/h3lshsdwb6lzyamzrw6un/ndsu.jpg?rlkey=j6a7w4u5ngg7bok84siwzasp5&amp;dl=0","Click to download Image")</f>
      </c>
      <c r="B3718" s="0">
        <f>HYPERLINK("https://dl.dropboxusercontent.com/scl/fi/hp9azgxk1q9mhpm0a9m35/marta.jpg?rlkey=j01fx2qbmqwm1ou1jpch5anqd&amp;dl=0","Click to download SizeChart")</f>
      </c>
      <c r="C3718" s="0" t="inlineStr">
        <is>
          <t>Marta Womens Golf Polo</t>
        </is>
      </c>
      <c r="D3718" s="0" t="inlineStr">
        <is>
          <t>'128716</t>
        </is>
      </c>
      <c r="E3718" s="0" t="inlineStr">
        <is>
          <t>NDSU MARTA W BK:128716A-S</t>
        </is>
      </c>
      <c r="F3718" s="0" t="inlineStr">
        <is>
          <t>'813128716049</t>
        </is>
      </c>
      <c r="G3718" s="0" t="inlineStr">
        <is>
          <t>WOMENS</t>
        </is>
      </c>
      <c r="H3718" s="0" t="inlineStr">
        <is>
          <t>S</t>
        </is>
      </c>
      <c r="I3718" s="0">
        <v>40.98</v>
      </c>
      <c r="J3718" s="0">
        <v>5</v>
      </c>
    </row>
    <row r="3719" spans="1:10" customHeight="0">
      <c r="A3719" s="0">
        <f>HYPERLINK("https://dl.dropboxusercontent.com/scl/fi/h3lshsdwb6lzyamzrw6un/ndsu.jpg?rlkey=j6a7w4u5ngg7bok84siwzasp5&amp;dl=0","Click to download Image")</f>
      </c>
      <c r="B3719" s="0">
        <f>HYPERLINK("https://dl.dropboxusercontent.com/scl/fi/hp9azgxk1q9mhpm0a9m35/marta.jpg?rlkey=j01fx2qbmqwm1ou1jpch5anqd&amp;dl=0","Click to download SizeChart")</f>
      </c>
      <c r="C3719" s="0" t="inlineStr">
        <is>
          <t>Marta Womens Golf Polo</t>
        </is>
      </c>
      <c r="D3719" s="0" t="inlineStr">
        <is>
          <t>'128716</t>
        </is>
      </c>
      <c r="E3719" s="0" t="inlineStr">
        <is>
          <t>NDSU MARTA W BK:128716B-M</t>
        </is>
      </c>
      <c r="F3719" s="0" t="inlineStr">
        <is>
          <t>'813128716056</t>
        </is>
      </c>
      <c r="G3719" s="0" t="inlineStr">
        <is>
          <t>WOMENS</t>
        </is>
      </c>
      <c r="H3719" s="0" t="inlineStr">
        <is>
          <t>M</t>
        </is>
      </c>
      <c r="I3719" s="0">
        <v>40.98</v>
      </c>
      <c r="J3719" s="0">
        <v>11</v>
      </c>
    </row>
    <row r="3720" spans="1:10" customHeight="0">
      <c r="A3720" s="0">
        <f>HYPERLINK("https://dl.dropboxusercontent.com/scl/fi/h3lshsdwb6lzyamzrw6un/ndsu.jpg?rlkey=j6a7w4u5ngg7bok84siwzasp5&amp;dl=0","Click to download Image")</f>
      </c>
      <c r="B3720" s="0">
        <f>HYPERLINK("https://dl.dropboxusercontent.com/scl/fi/hp9azgxk1q9mhpm0a9m35/marta.jpg?rlkey=j01fx2qbmqwm1ou1jpch5anqd&amp;dl=0","Click to download SizeChart")</f>
      </c>
      <c r="C3720" s="0" t="inlineStr">
        <is>
          <t>Marta Womens Golf Polo</t>
        </is>
      </c>
      <c r="D3720" s="0" t="inlineStr">
        <is>
          <t>'128716</t>
        </is>
      </c>
      <c r="E3720" s="0" t="inlineStr">
        <is>
          <t>NDSU MARTA W BK:128716C-L</t>
        </is>
      </c>
      <c r="F3720" s="0" t="inlineStr">
        <is>
          <t>'813128716063</t>
        </is>
      </c>
      <c r="G3720" s="0" t="inlineStr">
        <is>
          <t>WOMENS</t>
        </is>
      </c>
      <c r="H3720" s="0" t="inlineStr">
        <is>
          <t>L</t>
        </is>
      </c>
      <c r="I3720" s="0">
        <v>40.98</v>
      </c>
      <c r="J3720" s="0">
        <v>12</v>
      </c>
    </row>
    <row r="3721" spans="1:10" customHeight="0">
      <c r="A3721" s="0">
        <f>HYPERLINK("https://dl.dropboxusercontent.com/scl/fi/h3lshsdwb6lzyamzrw6un/ndsu.jpg?rlkey=j6a7w4u5ngg7bok84siwzasp5&amp;dl=0","Click to download Image")</f>
      </c>
      <c r="B3721" s="0">
        <f>HYPERLINK("https://dl.dropboxusercontent.com/scl/fi/hp9azgxk1q9mhpm0a9m35/marta.jpg?rlkey=j01fx2qbmqwm1ou1jpch5anqd&amp;dl=0","Click to download SizeChart")</f>
      </c>
      <c r="C3721" s="0" t="inlineStr">
        <is>
          <t>Marta Womens Golf Polo</t>
        </is>
      </c>
      <c r="D3721" s="0" t="inlineStr">
        <is>
          <t>'128716</t>
        </is>
      </c>
      <c r="E3721" s="0" t="inlineStr">
        <is>
          <t>NDSU MARTA W BK:128716D-XL</t>
        </is>
      </c>
      <c r="F3721" s="0" t="inlineStr">
        <is>
          <t>'813128716070</t>
        </is>
      </c>
      <c r="G3721" s="0" t="inlineStr">
        <is>
          <t>WOMENS</t>
        </is>
      </c>
      <c r="H3721" s="0" t="inlineStr">
        <is>
          <t>XL</t>
        </is>
      </c>
      <c r="I3721" s="0">
        <v>40.98</v>
      </c>
      <c r="J3721" s="0">
        <v>5</v>
      </c>
    </row>
    <row r="3722" spans="1:10" customHeight="0">
      <c r="A3722" s="0">
        <f>HYPERLINK("https://dl.dropboxusercontent.com/scl/fi/h3lshsdwb6lzyamzrw6un/ndsu.jpg?rlkey=j6a7w4u5ngg7bok84siwzasp5&amp;dl=0","Click to download Image")</f>
      </c>
      <c r="B3722" s="0">
        <f>HYPERLINK("https://dl.dropboxusercontent.com/scl/fi/hp9azgxk1q9mhpm0a9m35/marta.jpg?rlkey=j01fx2qbmqwm1ou1jpch5anqd&amp;dl=0","Click to download SizeChart")</f>
      </c>
      <c r="C3722" s="0" t="inlineStr">
        <is>
          <t>Marta Womens Golf Polo</t>
        </is>
      </c>
      <c r="D3722" s="0" t="inlineStr">
        <is>
          <t>'128716</t>
        </is>
      </c>
      <c r="E3722" s="0" t="inlineStr">
        <is>
          <t>NDSU MARTA W BK:128716E-2XL</t>
        </is>
      </c>
      <c r="F3722" s="0" t="inlineStr">
        <is>
          <t>'813128716087</t>
        </is>
      </c>
      <c r="G3722" s="0" t="inlineStr">
        <is>
          <t>WOMENS</t>
        </is>
      </c>
      <c r="H3722" s="0" t="inlineStr">
        <is>
          <t>2XL</t>
        </is>
      </c>
      <c r="I3722" s="0">
        <v>42.98</v>
      </c>
      <c r="J3722" s="0">
        <v>3</v>
      </c>
    </row>
    <row r="3723" spans="1:10" customHeight="0">
      <c r="A3723" s="0">
        <f>HYPERLINK("https://dl.dropboxusercontent.com/scl/fi/h3lshsdwb6lzyamzrw6un/ndsu.jpg?rlkey=j6a7w4u5ngg7bok84siwzasp5&amp;dl=0","Click to download Image")</f>
      </c>
      <c r="B3723" s="0">
        <f>HYPERLINK("https://dl.dropboxusercontent.com/scl/fi/hp9azgxk1q9mhpm0a9m35/marta.jpg?rlkey=j01fx2qbmqwm1ou1jpch5anqd&amp;dl=0","Click to download SizeChart")</f>
      </c>
      <c r="C3723" s="0" t="inlineStr">
        <is>
          <t>Marta Womens Golf Polo</t>
        </is>
      </c>
      <c r="D3723" s="0" t="inlineStr">
        <is>
          <t>'128716</t>
        </is>
      </c>
      <c r="E3723" s="0" t="inlineStr">
        <is>
          <t>NDSU MARTA W BK:128716F-3XL</t>
        </is>
      </c>
      <c r="F3723" s="0" t="inlineStr">
        <is>
          <t>'813128716094</t>
        </is>
      </c>
      <c r="G3723" s="0" t="inlineStr">
        <is>
          <t>WOMENS</t>
        </is>
      </c>
      <c r="H3723" s="0" t="inlineStr">
        <is>
          <t>3XL</t>
        </is>
      </c>
      <c r="I3723" s="0">
        <v>42.98</v>
      </c>
      <c r="J3723" s="0">
        <v>0</v>
      </c>
    </row>
    <row r="3724" spans="1:10" customHeight="0">
      <c r="A3724" s="0">
        <f>HYPERLINK("https://dl.dropboxusercontent.com/scl/fi/paoaoozzosh7b7mrpssqc/isu.jpg?rlkey=rqa926bejmzni3uelv0xtmt6u&amp;dl=0","Click to download Image")</f>
      </c>
      <c r="B3724" s="0">
        <f>HYPERLINK("https://dl.dropboxusercontent.com/scl/fi/hp9azgxk1q9mhpm0a9m35/marta.jpg?rlkey=j01fx2qbmqwm1ou1jpch5anqd&amp;dl=0","Click to download SizeChart")</f>
      </c>
      <c r="C3724" s="0" t="inlineStr">
        <is>
          <t>Marta Womens Golf Polo</t>
        </is>
      </c>
      <c r="D3724" s="0" t="inlineStr">
        <is>
          <t>'113962</t>
        </is>
      </c>
      <c r="E3724" s="0" t="inlineStr">
        <is>
          <t>ISU MARTA W CARDINAL:113962A-S</t>
        </is>
      </c>
      <c r="F3724" s="0" t="inlineStr">
        <is>
          <t>'801113962045</t>
        </is>
      </c>
      <c r="G3724" s="0" t="inlineStr">
        <is>
          <t>WOMENS</t>
        </is>
      </c>
      <c r="H3724" s="0" t="inlineStr">
        <is>
          <t>S</t>
        </is>
      </c>
      <c r="I3724" s="0">
        <v>40.98</v>
      </c>
      <c r="J3724" s="0">
        <v>5</v>
      </c>
    </row>
    <row r="3725" spans="1:10" customHeight="0">
      <c r="A3725" s="0">
        <f>HYPERLINK("https://dl.dropboxusercontent.com/scl/fi/paoaoozzosh7b7mrpssqc/isu.jpg?rlkey=rqa926bejmzni3uelv0xtmt6u&amp;dl=0","Click to download Image")</f>
      </c>
      <c r="B3725" s="0">
        <f>HYPERLINK("https://dl.dropboxusercontent.com/scl/fi/hp9azgxk1q9mhpm0a9m35/marta.jpg?rlkey=j01fx2qbmqwm1ou1jpch5anqd&amp;dl=0","Click to download SizeChart")</f>
      </c>
      <c r="C3725" s="0" t="inlineStr">
        <is>
          <t>Marta Womens Golf Polo</t>
        </is>
      </c>
      <c r="D3725" s="0" t="inlineStr">
        <is>
          <t>'113962</t>
        </is>
      </c>
      <c r="E3725" s="0" t="inlineStr">
        <is>
          <t>ISU MARTA W CARDINAL:113962B-M</t>
        </is>
      </c>
      <c r="F3725" s="0" t="inlineStr">
        <is>
          <t>'801113962052</t>
        </is>
      </c>
      <c r="G3725" s="0" t="inlineStr">
        <is>
          <t>WOMENS</t>
        </is>
      </c>
      <c r="H3725" s="0" t="inlineStr">
        <is>
          <t>M</t>
        </is>
      </c>
      <c r="I3725" s="0">
        <v>40.98</v>
      </c>
      <c r="J3725" s="0">
        <v>21</v>
      </c>
    </row>
    <row r="3726" spans="1:10" customHeight="0">
      <c r="A3726" s="0">
        <f>HYPERLINK("https://dl.dropboxusercontent.com/scl/fi/paoaoozzosh7b7mrpssqc/isu.jpg?rlkey=rqa926bejmzni3uelv0xtmt6u&amp;dl=0","Click to download Image")</f>
      </c>
      <c r="B3726" s="0">
        <f>HYPERLINK("https://dl.dropboxusercontent.com/scl/fi/hp9azgxk1q9mhpm0a9m35/marta.jpg?rlkey=j01fx2qbmqwm1ou1jpch5anqd&amp;dl=0","Click to download SizeChart")</f>
      </c>
      <c r="C3726" s="0" t="inlineStr">
        <is>
          <t>Marta Womens Golf Polo</t>
        </is>
      </c>
      <c r="D3726" s="0" t="inlineStr">
        <is>
          <t>'113962</t>
        </is>
      </c>
      <c r="E3726" s="0" t="inlineStr">
        <is>
          <t>ISU MARTA W CARDINAL:113962C-L</t>
        </is>
      </c>
      <c r="F3726" s="0" t="inlineStr">
        <is>
          <t>'801113962069</t>
        </is>
      </c>
      <c r="G3726" s="0" t="inlineStr">
        <is>
          <t>WOMENS</t>
        </is>
      </c>
      <c r="H3726" s="0" t="inlineStr">
        <is>
          <t>L</t>
        </is>
      </c>
      <c r="I3726" s="0">
        <v>40.98</v>
      </c>
      <c r="J3726" s="0">
        <v>20</v>
      </c>
    </row>
    <row r="3727" spans="1:10" customHeight="0">
      <c r="A3727" s="0">
        <f>HYPERLINK("https://dl.dropboxusercontent.com/scl/fi/paoaoozzosh7b7mrpssqc/isu.jpg?rlkey=rqa926bejmzni3uelv0xtmt6u&amp;dl=0","Click to download Image")</f>
      </c>
      <c r="B3727" s="0">
        <f>HYPERLINK("https://dl.dropboxusercontent.com/scl/fi/hp9azgxk1q9mhpm0a9m35/marta.jpg?rlkey=j01fx2qbmqwm1ou1jpch5anqd&amp;dl=0","Click to download SizeChart")</f>
      </c>
      <c r="C3727" s="0" t="inlineStr">
        <is>
          <t>Marta Womens Golf Polo</t>
        </is>
      </c>
      <c r="D3727" s="0" t="inlineStr">
        <is>
          <t>'113962</t>
        </is>
      </c>
      <c r="E3727" s="0" t="inlineStr">
        <is>
          <t>ISU MARTA W CARDINAL:113962D-XL</t>
        </is>
      </c>
      <c r="F3727" s="0" t="inlineStr">
        <is>
          <t>'801113962076</t>
        </is>
      </c>
      <c r="G3727" s="0" t="inlineStr">
        <is>
          <t>WOMENS</t>
        </is>
      </c>
      <c r="H3727" s="0" t="inlineStr">
        <is>
          <t>XL</t>
        </is>
      </c>
      <c r="I3727" s="0">
        <v>40.98</v>
      </c>
      <c r="J3727" s="0">
        <v>6</v>
      </c>
    </row>
    <row r="3728" spans="1:10" customHeight="0">
      <c r="A3728" s="0">
        <f>HYPERLINK("https://dl.dropboxusercontent.com/scl/fi/paoaoozzosh7b7mrpssqc/isu.jpg?rlkey=rqa926bejmzni3uelv0xtmt6u&amp;dl=0","Click to download Image")</f>
      </c>
      <c r="B3728" s="0">
        <f>HYPERLINK("https://dl.dropboxusercontent.com/scl/fi/hp9azgxk1q9mhpm0a9m35/marta.jpg?rlkey=j01fx2qbmqwm1ou1jpch5anqd&amp;dl=0","Click to download SizeChart")</f>
      </c>
      <c r="C3728" s="0" t="inlineStr">
        <is>
          <t>Marta Womens Golf Polo</t>
        </is>
      </c>
      <c r="D3728" s="0" t="inlineStr">
        <is>
          <t>'113962</t>
        </is>
      </c>
      <c r="E3728" s="0" t="inlineStr">
        <is>
          <t>ISU MARTA W CARDINAL:113962E-2XL</t>
        </is>
      </c>
      <c r="F3728" s="0" t="inlineStr">
        <is>
          <t>'801113962083</t>
        </is>
      </c>
      <c r="G3728" s="0" t="inlineStr">
        <is>
          <t>WOMENS</t>
        </is>
      </c>
      <c r="H3728" s="0" t="inlineStr">
        <is>
          <t>2XL</t>
        </is>
      </c>
      <c r="I3728" s="0">
        <v>42.98</v>
      </c>
      <c r="J3728" s="0">
        <v>0</v>
      </c>
    </row>
    <row r="3729" spans="1:10" customHeight="0">
      <c r="A3729" s="0">
        <f>HYPERLINK("https://dl.dropboxusercontent.com/scl/fi/paoaoozzosh7b7mrpssqc/isu.jpg?rlkey=rqa926bejmzni3uelv0xtmt6u&amp;dl=0","Click to download Image")</f>
      </c>
      <c r="B3729" s="0">
        <f>HYPERLINK("https://dl.dropboxusercontent.com/scl/fi/hp9azgxk1q9mhpm0a9m35/marta.jpg?rlkey=j01fx2qbmqwm1ou1jpch5anqd&amp;dl=0","Click to download SizeChart")</f>
      </c>
      <c r="C3729" s="0" t="inlineStr">
        <is>
          <t>Marta Womens Golf Polo</t>
        </is>
      </c>
      <c r="D3729" s="0" t="inlineStr">
        <is>
          <t>'113962</t>
        </is>
      </c>
      <c r="E3729" s="0" t="inlineStr">
        <is>
          <t>ISU MARTA W CARDINAL:113962F-3XL</t>
        </is>
      </c>
      <c r="F3729" s="0" t="inlineStr">
        <is>
          <t>'801113962090</t>
        </is>
      </c>
      <c r="G3729" s="0" t="inlineStr">
        <is>
          <t>WOMENS</t>
        </is>
      </c>
      <c r="H3729" s="0" t="inlineStr">
        <is>
          <t>3XL</t>
        </is>
      </c>
      <c r="I3729" s="0">
        <v>42.98</v>
      </c>
      <c r="J3729" s="0">
        <v>1</v>
      </c>
    </row>
    <row r="3730" spans="1:10" customHeight="0">
      <c r="A3730" s="0">
        <f>HYPERLINK("https://dl.dropboxusercontent.com/scl/fi/paoaoozzosh7b7mrpssqc/isu.jpg?rlkey=rqa926bejmzni3uelv0xtmt6u&amp;dl=0","Click to download Image")</f>
      </c>
      <c r="B3730" s="0">
        <f>HYPERLINK("https://dl.dropboxusercontent.com/scl/fi/hp9azgxk1q9mhpm0a9m35/marta.jpg?rlkey=j01fx2qbmqwm1ou1jpch5anqd&amp;dl=0","Click to download SizeChart")</f>
      </c>
      <c r="C3730" s="0" t="inlineStr">
        <is>
          <t>Marta Womens Golf Polo</t>
        </is>
      </c>
      <c r="D3730" s="0" t="inlineStr">
        <is>
          <t>'113962</t>
        </is>
      </c>
      <c r="E3730" s="0" t="inlineStr">
        <is>
          <t>ISU MARTA W CARDINAL 12 PACK:113962Z-12PK</t>
        </is>
      </c>
      <c r="F3730" s="0" t="inlineStr">
        <is>
          <t>'801113962991</t>
        </is>
      </c>
      <c r="G3730" s="0" t="inlineStr">
        <is>
          <t>WOMENS</t>
        </is>
      </c>
      <c r="H3730" s="0" t="inlineStr">
        <is>
          <t>12 PACK</t>
        </is>
      </c>
      <c r="I3730" s="0">
        <v>473.76</v>
      </c>
      <c r="J3730" s="0">
        <v>0</v>
      </c>
    </row>
    <row r="3731" spans="1:10" customHeight="0">
      <c r="A3731" s="0">
        <f>HYPERLINK("https://dl.dropboxusercontent.com/scl/fi/5mfn05rtqf45usinx71sy/iowavictor2.0poloaf63878.jpg?rlkey=fezlxngt4lumcb9fd3w0rg5lt&amp;dl=0","Click to download Image")</f>
      </c>
      <c r="B3731" s="0">
        <f>HYPERLINK("https://dl.dropboxusercontent.com/scl/fi/fbp8bvgw5g2i93grch2vd/mens-polo-size-chartsbrent.jpg?rlkey=rpxyawf7o9i3b2ri9qpnyfutr&amp;dl=0","Click to download SizeChart")</f>
      </c>
      <c r="C3731" s="0" t="inlineStr">
        <is>
          <t>Victor Mens Golf Polo</t>
        </is>
      </c>
      <c r="D3731" s="0" t="inlineStr">
        <is>
          <t>'138519</t>
        </is>
      </c>
      <c r="E3731" s="0" t="inlineStr">
        <is>
          <t>IOWA VIC2.0 M GY:138519A-S</t>
        </is>
      </c>
      <c r="F3731" s="0" t="inlineStr">
        <is>
          <t>'800138519043</t>
        </is>
      </c>
      <c r="G3731" s="0" t="inlineStr">
        <is>
          <t>MENS</t>
        </is>
      </c>
      <c r="H3731" s="0" t="inlineStr">
        <is>
          <t>S</t>
        </is>
      </c>
      <c r="I3731" s="0">
        <v>40.98</v>
      </c>
      <c r="J3731" s="0">
        <v>2</v>
      </c>
    </row>
    <row r="3732" spans="1:10" customHeight="0">
      <c r="A3732" s="0">
        <f>HYPERLINK("https://dl.dropboxusercontent.com/scl/fi/5mfn05rtqf45usinx71sy/iowavictor2.0poloaf63878.jpg?rlkey=fezlxngt4lumcb9fd3w0rg5lt&amp;dl=0","Click to download Image")</f>
      </c>
      <c r="B3732" s="0">
        <f>HYPERLINK("https://dl.dropboxusercontent.com/scl/fi/fbp8bvgw5g2i93grch2vd/mens-polo-size-chartsbrent.jpg?rlkey=rpxyawf7o9i3b2ri9qpnyfutr&amp;dl=0","Click to download SizeChart")</f>
      </c>
      <c r="C3732" s="0" t="inlineStr">
        <is>
          <t>Victor Mens Golf Polo</t>
        </is>
      </c>
      <c r="D3732" s="0" t="inlineStr">
        <is>
          <t>'138519</t>
        </is>
      </c>
      <c r="E3732" s="0" t="inlineStr">
        <is>
          <t>IOWA VIC2.0 M GY:138519B-M</t>
        </is>
      </c>
      <c r="F3732" s="0" t="inlineStr">
        <is>
          <t>'800138519050</t>
        </is>
      </c>
      <c r="G3732" s="0" t="inlineStr">
        <is>
          <t>MENS</t>
        </is>
      </c>
      <c r="H3732" s="0" t="inlineStr">
        <is>
          <t>M</t>
        </is>
      </c>
      <c r="I3732" s="0">
        <v>40.98</v>
      </c>
      <c r="J3732" s="0">
        <v>3</v>
      </c>
    </row>
    <row r="3733" spans="1:10" customHeight="0">
      <c r="A3733" s="0">
        <f>HYPERLINK("https://dl.dropboxusercontent.com/scl/fi/5mfn05rtqf45usinx71sy/iowavictor2.0poloaf63878.jpg?rlkey=fezlxngt4lumcb9fd3w0rg5lt&amp;dl=0","Click to download Image")</f>
      </c>
      <c r="B3733" s="0">
        <f>HYPERLINK("https://dl.dropboxusercontent.com/scl/fi/fbp8bvgw5g2i93grch2vd/mens-polo-size-chartsbrent.jpg?rlkey=rpxyawf7o9i3b2ri9qpnyfutr&amp;dl=0","Click to download SizeChart")</f>
      </c>
      <c r="C3733" s="0" t="inlineStr">
        <is>
          <t>Victor Mens Golf Polo</t>
        </is>
      </c>
      <c r="D3733" s="0" t="inlineStr">
        <is>
          <t>'138519</t>
        </is>
      </c>
      <c r="E3733" s="0" t="inlineStr">
        <is>
          <t>IOWA VIC2.0 M GY:138519C-L</t>
        </is>
      </c>
      <c r="F3733" s="0" t="inlineStr">
        <is>
          <t>'800138519067</t>
        </is>
      </c>
      <c r="G3733" s="0" t="inlineStr">
        <is>
          <t>MENS</t>
        </is>
      </c>
      <c r="H3733" s="0" t="inlineStr">
        <is>
          <t>L</t>
        </is>
      </c>
      <c r="I3733" s="0">
        <v>40.98</v>
      </c>
      <c r="J3733" s="0">
        <v>0</v>
      </c>
    </row>
    <row r="3734" spans="1:10" customHeight="0">
      <c r="A3734" s="0">
        <f>HYPERLINK("https://dl.dropboxusercontent.com/scl/fi/5mfn05rtqf45usinx71sy/iowavictor2.0poloaf63878.jpg?rlkey=fezlxngt4lumcb9fd3w0rg5lt&amp;dl=0","Click to download Image")</f>
      </c>
      <c r="B3734" s="0">
        <f>HYPERLINK("https://dl.dropboxusercontent.com/scl/fi/fbp8bvgw5g2i93grch2vd/mens-polo-size-chartsbrent.jpg?rlkey=rpxyawf7o9i3b2ri9qpnyfutr&amp;dl=0","Click to download SizeChart")</f>
      </c>
      <c r="C3734" s="0" t="inlineStr">
        <is>
          <t>Victor Mens Golf Polo</t>
        </is>
      </c>
      <c r="D3734" s="0" t="inlineStr">
        <is>
          <t>'138519</t>
        </is>
      </c>
      <c r="E3734" s="0" t="inlineStr">
        <is>
          <t>IOWA VIC2.0 M GY:138519D-XL</t>
        </is>
      </c>
      <c r="F3734" s="0" t="inlineStr">
        <is>
          <t>'800138519074</t>
        </is>
      </c>
      <c r="G3734" s="0" t="inlineStr">
        <is>
          <t>MENS</t>
        </is>
      </c>
      <c r="H3734" s="0" t="inlineStr">
        <is>
          <t>XL</t>
        </is>
      </c>
      <c r="I3734" s="0">
        <v>40.98</v>
      </c>
      <c r="J3734" s="0">
        <v>1</v>
      </c>
    </row>
    <row r="3735" spans="1:10" customHeight="0">
      <c r="A3735" s="0">
        <f>HYPERLINK("https://dl.dropboxusercontent.com/scl/fi/5mfn05rtqf45usinx71sy/iowavictor2.0poloaf63878.jpg?rlkey=fezlxngt4lumcb9fd3w0rg5lt&amp;dl=0","Click to download Image")</f>
      </c>
      <c r="B3735" s="0">
        <f>HYPERLINK("https://dl.dropboxusercontent.com/scl/fi/fbp8bvgw5g2i93grch2vd/mens-polo-size-chartsbrent.jpg?rlkey=rpxyawf7o9i3b2ri9qpnyfutr&amp;dl=0","Click to download SizeChart")</f>
      </c>
      <c r="C3735" s="0" t="inlineStr">
        <is>
          <t>Victor Mens Golf Polo</t>
        </is>
      </c>
      <c r="D3735" s="0" t="inlineStr">
        <is>
          <t>'138519</t>
        </is>
      </c>
      <c r="E3735" s="0" t="inlineStr">
        <is>
          <t>IOWA VIC2.0 M GY:138519E-2XL</t>
        </is>
      </c>
      <c r="F3735" s="0" t="inlineStr">
        <is>
          <t>'800138519081</t>
        </is>
      </c>
      <c r="G3735" s="0" t="inlineStr">
        <is>
          <t>MENS</t>
        </is>
      </c>
      <c r="H3735" s="0" t="inlineStr">
        <is>
          <t>2XL</t>
        </is>
      </c>
      <c r="I3735" s="0">
        <v>42.98</v>
      </c>
      <c r="J3735" s="0">
        <v>2</v>
      </c>
    </row>
    <row r="3736" spans="1:10" customHeight="0">
      <c r="A3736" s="0">
        <f>HYPERLINK("https://dl.dropboxusercontent.com/scl/fi/5mfn05rtqf45usinx71sy/iowavictor2.0poloaf63878.jpg?rlkey=fezlxngt4lumcb9fd3w0rg5lt&amp;dl=0","Click to download Image")</f>
      </c>
      <c r="B3736" s="0">
        <f>HYPERLINK("https://dl.dropboxusercontent.com/scl/fi/fbp8bvgw5g2i93grch2vd/mens-polo-size-chartsbrent.jpg?rlkey=rpxyawf7o9i3b2ri9qpnyfutr&amp;dl=0","Click to download SizeChart")</f>
      </c>
      <c r="C3736" s="0" t="inlineStr">
        <is>
          <t>Victor Mens Golf Polo</t>
        </is>
      </c>
      <c r="D3736" s="0" t="inlineStr">
        <is>
          <t>'138519</t>
        </is>
      </c>
      <c r="E3736" s="0" t="inlineStr">
        <is>
          <t>IOWA VIC2.0 M GY:138519F-3XL</t>
        </is>
      </c>
      <c r="F3736" s="0" t="inlineStr">
        <is>
          <t>'800138519098</t>
        </is>
      </c>
      <c r="G3736" s="0" t="inlineStr">
        <is>
          <t>MENS</t>
        </is>
      </c>
      <c r="H3736" s="0" t="inlineStr">
        <is>
          <t>3XL</t>
        </is>
      </c>
      <c r="I3736" s="0">
        <v>42.98</v>
      </c>
      <c r="J3736" s="0">
        <v>1</v>
      </c>
    </row>
    <row r="3737" spans="1:10" customHeight="0">
      <c r="A3737" s="0">
        <f>HYPERLINK("https://dl.dropboxusercontent.com/scl/fi/gbxprcyraets1wzj4jfu0/ksu.jpg?rlkey=vckg7kv113yavrcdkdkaz8hqi&amp;dl=0","Click to download Image")</f>
      </c>
      <c r="B3737" s="0">
        <f>HYPERLINK("https://dl.dropboxusercontent.com/scl/fi/fbp8bvgw5g2i93grch2vd/mens-polo-size-chartsbrent.jpg?rlkey=rpxyawf7o9i3b2ri9qpnyfutr&amp;dl=0","Click to download SizeChart")</f>
      </c>
      <c r="C3737" s="0" t="inlineStr">
        <is>
          <t>Victor Mens Golf Polo</t>
        </is>
      </c>
      <c r="D3737" s="0" t="inlineStr">
        <is>
          <t>'113956</t>
        </is>
      </c>
      <c r="E3737" s="0" t="inlineStr">
        <is>
          <t>KSU VICTOR M GREY:113956A-S</t>
        </is>
      </c>
      <c r="F3737" s="0" t="inlineStr">
        <is>
          <t>'805113956042</t>
        </is>
      </c>
      <c r="G3737" s="0" t="inlineStr">
        <is>
          <t>MENS</t>
        </is>
      </c>
      <c r="H3737" s="0" t="inlineStr">
        <is>
          <t>S</t>
        </is>
      </c>
      <c r="I3737" s="0">
        <v>40.98</v>
      </c>
      <c r="J3737" s="0">
        <v>6</v>
      </c>
    </row>
    <row r="3738" spans="1:10" customHeight="0">
      <c r="A3738" s="0">
        <f>HYPERLINK("https://dl.dropboxusercontent.com/scl/fi/gbxprcyraets1wzj4jfu0/ksu.jpg?rlkey=vckg7kv113yavrcdkdkaz8hqi&amp;dl=0","Click to download Image")</f>
      </c>
      <c r="B3738" s="0">
        <f>HYPERLINK("https://dl.dropboxusercontent.com/scl/fi/fbp8bvgw5g2i93grch2vd/mens-polo-size-chartsbrent.jpg?rlkey=rpxyawf7o9i3b2ri9qpnyfutr&amp;dl=0","Click to download SizeChart")</f>
      </c>
      <c r="C3738" s="0" t="inlineStr">
        <is>
          <t>Victor Mens Golf Polo</t>
        </is>
      </c>
      <c r="D3738" s="0" t="inlineStr">
        <is>
          <t>'113956</t>
        </is>
      </c>
      <c r="E3738" s="0" t="inlineStr">
        <is>
          <t>KSU VICTOR M GREY:113956B-M</t>
        </is>
      </c>
      <c r="F3738" s="0" t="inlineStr">
        <is>
          <t>'805113956059</t>
        </is>
      </c>
      <c r="G3738" s="0" t="inlineStr">
        <is>
          <t>MENS</t>
        </is>
      </c>
      <c r="H3738" s="0" t="inlineStr">
        <is>
          <t>M</t>
        </is>
      </c>
      <c r="I3738" s="0">
        <v>40.98</v>
      </c>
      <c r="J3738" s="0">
        <v>11</v>
      </c>
    </row>
    <row r="3739" spans="1:10" customHeight="0">
      <c r="A3739" s="0">
        <f>HYPERLINK("https://dl.dropboxusercontent.com/scl/fi/gbxprcyraets1wzj4jfu0/ksu.jpg?rlkey=vckg7kv113yavrcdkdkaz8hqi&amp;dl=0","Click to download Image")</f>
      </c>
      <c r="B3739" s="0">
        <f>HYPERLINK("https://dl.dropboxusercontent.com/scl/fi/fbp8bvgw5g2i93grch2vd/mens-polo-size-chartsbrent.jpg?rlkey=rpxyawf7o9i3b2ri9qpnyfutr&amp;dl=0","Click to download SizeChart")</f>
      </c>
      <c r="C3739" s="0" t="inlineStr">
        <is>
          <t>Victor Mens Golf Polo</t>
        </is>
      </c>
      <c r="D3739" s="0" t="inlineStr">
        <is>
          <t>'113956</t>
        </is>
      </c>
      <c r="E3739" s="0" t="inlineStr">
        <is>
          <t>KSU VICTOR M GREY:113956C-L</t>
        </is>
      </c>
      <c r="F3739" s="0" t="inlineStr">
        <is>
          <t>'805113956066</t>
        </is>
      </c>
      <c r="G3739" s="0" t="inlineStr">
        <is>
          <t>MENS</t>
        </is>
      </c>
      <c r="H3739" s="0" t="inlineStr">
        <is>
          <t>L</t>
        </is>
      </c>
      <c r="I3739" s="0">
        <v>40.98</v>
      </c>
      <c r="J3739" s="0">
        <v>7</v>
      </c>
    </row>
    <row r="3740" spans="1:10" customHeight="0">
      <c r="A3740" s="0">
        <f>HYPERLINK("https://dl.dropboxusercontent.com/scl/fi/gbxprcyraets1wzj4jfu0/ksu.jpg?rlkey=vckg7kv113yavrcdkdkaz8hqi&amp;dl=0","Click to download Image")</f>
      </c>
      <c r="B3740" s="0">
        <f>HYPERLINK("https://dl.dropboxusercontent.com/scl/fi/fbp8bvgw5g2i93grch2vd/mens-polo-size-chartsbrent.jpg?rlkey=rpxyawf7o9i3b2ri9qpnyfutr&amp;dl=0","Click to download SizeChart")</f>
      </c>
      <c r="C3740" s="0" t="inlineStr">
        <is>
          <t>Victor Mens Golf Polo</t>
        </is>
      </c>
      <c r="D3740" s="0" t="inlineStr">
        <is>
          <t>'113956</t>
        </is>
      </c>
      <c r="E3740" s="0" t="inlineStr">
        <is>
          <t>KSU VICTOR M GREY:113956D-XL</t>
        </is>
      </c>
      <c r="F3740" s="0" t="inlineStr">
        <is>
          <t>'805113956073</t>
        </is>
      </c>
      <c r="G3740" s="0" t="inlineStr">
        <is>
          <t>MENS</t>
        </is>
      </c>
      <c r="H3740" s="0" t="inlineStr">
        <is>
          <t>XL</t>
        </is>
      </c>
      <c r="I3740" s="0">
        <v>40.98</v>
      </c>
      <c r="J3740" s="0">
        <v>0</v>
      </c>
    </row>
    <row r="3741" spans="1:10" customHeight="0">
      <c r="A3741" s="0">
        <f>HYPERLINK("https://dl.dropboxusercontent.com/scl/fi/gbxprcyraets1wzj4jfu0/ksu.jpg?rlkey=vckg7kv113yavrcdkdkaz8hqi&amp;dl=0","Click to download Image")</f>
      </c>
      <c r="B3741" s="0">
        <f>HYPERLINK("https://dl.dropboxusercontent.com/scl/fi/fbp8bvgw5g2i93grch2vd/mens-polo-size-chartsbrent.jpg?rlkey=rpxyawf7o9i3b2ri9qpnyfutr&amp;dl=0","Click to download SizeChart")</f>
      </c>
      <c r="C3741" s="0" t="inlineStr">
        <is>
          <t>Victor Mens Golf Polo</t>
        </is>
      </c>
      <c r="D3741" s="0" t="inlineStr">
        <is>
          <t>'113956</t>
        </is>
      </c>
      <c r="E3741" s="0" t="inlineStr">
        <is>
          <t>KSU VICTOR M GREY:113956E-2XL</t>
        </is>
      </c>
      <c r="F3741" s="0" t="inlineStr">
        <is>
          <t>'805113956080</t>
        </is>
      </c>
      <c r="G3741" s="0" t="inlineStr">
        <is>
          <t>MENS</t>
        </is>
      </c>
      <c r="H3741" s="0" t="inlineStr">
        <is>
          <t>2XL</t>
        </is>
      </c>
      <c r="I3741" s="0">
        <v>42.98</v>
      </c>
      <c r="J3741" s="0">
        <v>5</v>
      </c>
    </row>
    <row r="3742" spans="1:10" customHeight="0">
      <c r="A3742" s="0">
        <f>HYPERLINK("https://dl.dropboxusercontent.com/scl/fi/gbxprcyraets1wzj4jfu0/ksu.jpg?rlkey=vckg7kv113yavrcdkdkaz8hqi&amp;dl=0","Click to download Image")</f>
      </c>
      <c r="B3742" s="0">
        <f>HYPERLINK("https://dl.dropboxusercontent.com/scl/fi/fbp8bvgw5g2i93grch2vd/mens-polo-size-chartsbrent.jpg?rlkey=rpxyawf7o9i3b2ri9qpnyfutr&amp;dl=0","Click to download SizeChart")</f>
      </c>
      <c r="C3742" s="0" t="inlineStr">
        <is>
          <t>Victor Mens Golf Polo</t>
        </is>
      </c>
      <c r="D3742" s="0" t="inlineStr">
        <is>
          <t>'113956</t>
        </is>
      </c>
      <c r="E3742" s="0" t="inlineStr">
        <is>
          <t>KSU VICTOR M GREY:113956F-3XL</t>
        </is>
      </c>
      <c r="F3742" s="0" t="inlineStr">
        <is>
          <t>'805113956097</t>
        </is>
      </c>
      <c r="G3742" s="0" t="inlineStr">
        <is>
          <t>MENS</t>
        </is>
      </c>
      <c r="H3742" s="0" t="inlineStr">
        <is>
          <t>3XL</t>
        </is>
      </c>
      <c r="I3742" s="0">
        <v>42.98</v>
      </c>
      <c r="J3742" s="0">
        <v>0</v>
      </c>
    </row>
    <row r="3743" spans="1:10" customHeight="0">
      <c r="A3743" s="0">
        <f>HYPERLINK("https://dl.dropboxusercontent.com/scl/fi/gbxprcyraets1wzj4jfu0/ksu.jpg?rlkey=vckg7kv113yavrcdkdkaz8hqi&amp;dl=0","Click to download Image")</f>
      </c>
      <c r="B3743" s="0">
        <f>HYPERLINK("https://dl.dropboxusercontent.com/scl/fi/fbp8bvgw5g2i93grch2vd/mens-polo-size-chartsbrent.jpg?rlkey=rpxyawf7o9i3b2ri9qpnyfutr&amp;dl=0","Click to download SizeChart")</f>
      </c>
      <c r="C3743" s="0" t="inlineStr">
        <is>
          <t>Victor Mens Golf Polo</t>
        </is>
      </c>
      <c r="D3743" s="0" t="inlineStr">
        <is>
          <t>'113956</t>
        </is>
      </c>
      <c r="E3743" s="0" t="inlineStr">
        <is>
          <t>KSU VICTOR M GREY 12 PACK:113956Z-12PK</t>
        </is>
      </c>
      <c r="F3743" s="0" t="inlineStr">
        <is>
          <t>'805113956998</t>
        </is>
      </c>
      <c r="G3743" s="0" t="inlineStr">
        <is>
          <t>MENS</t>
        </is>
      </c>
      <c r="H3743" s="0" t="inlineStr">
        <is>
          <t>12 PACK</t>
        </is>
      </c>
      <c r="I3743" s="0">
        <v>399.36</v>
      </c>
      <c r="J3743" s="0">
        <v>0</v>
      </c>
    </row>
    <row r="3744" spans="1:10" customHeight="0">
      <c r="A3744" s="0">
        <f>HYPERLINK("https://dl.dropboxusercontent.com/scl/fi/gzs52otshv6xp6csqunl3/uni.jpg?rlkey=rw19wcjw8sn5a203ehio4mhuz&amp;dl=0","Click to download Image")</f>
      </c>
      <c r="B3744" s="0">
        <f>HYPERLINK("https://dl.dropboxusercontent.com/scl/fi/fbp8bvgw5g2i93grch2vd/mens-polo-size-chartsbrent.jpg?rlkey=rpxyawf7o9i3b2ri9qpnyfutr&amp;dl=0","Click to download SizeChart")</f>
      </c>
      <c r="C3744" s="0" t="inlineStr">
        <is>
          <t>Victor Mens Golf Polo</t>
        </is>
      </c>
      <c r="D3744" s="0" t="inlineStr">
        <is>
          <t>'113953</t>
        </is>
      </c>
      <c r="E3744" s="0" t="inlineStr">
        <is>
          <t>UNI VICTOR M GREY:113953A-S</t>
        </is>
      </c>
      <c r="F3744" s="0" t="inlineStr">
        <is>
          <t>'802113953040</t>
        </is>
      </c>
      <c r="G3744" s="0" t="inlineStr">
        <is>
          <t>MENS</t>
        </is>
      </c>
      <c r="H3744" s="0" t="inlineStr">
        <is>
          <t>S</t>
        </is>
      </c>
      <c r="I3744" s="0">
        <v>40.98</v>
      </c>
      <c r="J3744" s="0">
        <v>3</v>
      </c>
    </row>
    <row r="3745" spans="1:10" customHeight="0">
      <c r="A3745" s="0">
        <f>HYPERLINK("https://dl.dropboxusercontent.com/scl/fi/gzs52otshv6xp6csqunl3/uni.jpg?rlkey=rw19wcjw8sn5a203ehio4mhuz&amp;dl=0","Click to download Image")</f>
      </c>
      <c r="B3745" s="0">
        <f>HYPERLINK("https://dl.dropboxusercontent.com/scl/fi/fbp8bvgw5g2i93grch2vd/mens-polo-size-chartsbrent.jpg?rlkey=rpxyawf7o9i3b2ri9qpnyfutr&amp;dl=0","Click to download SizeChart")</f>
      </c>
      <c r="C3745" s="0" t="inlineStr">
        <is>
          <t>Victor Mens Golf Polo</t>
        </is>
      </c>
      <c r="D3745" s="0" t="inlineStr">
        <is>
          <t>'113953</t>
        </is>
      </c>
      <c r="E3745" s="0" t="inlineStr">
        <is>
          <t>UNI VICTOR M GREY:113953B-M</t>
        </is>
      </c>
      <c r="F3745" s="0" t="inlineStr">
        <is>
          <t>'802113953057</t>
        </is>
      </c>
      <c r="G3745" s="0" t="inlineStr">
        <is>
          <t>MENS</t>
        </is>
      </c>
      <c r="H3745" s="0" t="inlineStr">
        <is>
          <t>M</t>
        </is>
      </c>
      <c r="I3745" s="0">
        <v>40.98</v>
      </c>
      <c r="J3745" s="0">
        <v>4</v>
      </c>
    </row>
    <row r="3746" spans="1:10" customHeight="0">
      <c r="A3746" s="0">
        <f>HYPERLINK("https://dl.dropboxusercontent.com/scl/fi/gzs52otshv6xp6csqunl3/uni.jpg?rlkey=rw19wcjw8sn5a203ehio4mhuz&amp;dl=0","Click to download Image")</f>
      </c>
      <c r="B3746" s="0">
        <f>HYPERLINK("https://dl.dropboxusercontent.com/scl/fi/fbp8bvgw5g2i93grch2vd/mens-polo-size-chartsbrent.jpg?rlkey=rpxyawf7o9i3b2ri9qpnyfutr&amp;dl=0","Click to download SizeChart")</f>
      </c>
      <c r="C3746" s="0" t="inlineStr">
        <is>
          <t>Victor Mens Golf Polo</t>
        </is>
      </c>
      <c r="D3746" s="0" t="inlineStr">
        <is>
          <t>'113953</t>
        </is>
      </c>
      <c r="E3746" s="0" t="inlineStr">
        <is>
          <t>UNI VICTOR M GREY:113953C-L</t>
        </is>
      </c>
      <c r="F3746" s="0" t="inlineStr">
        <is>
          <t>'802113953064</t>
        </is>
      </c>
      <c r="G3746" s="0" t="inlineStr">
        <is>
          <t>MENS</t>
        </is>
      </c>
      <c r="H3746" s="0" t="inlineStr">
        <is>
          <t>L</t>
        </is>
      </c>
      <c r="I3746" s="0">
        <v>40.98</v>
      </c>
      <c r="J3746" s="0">
        <v>4</v>
      </c>
    </row>
    <row r="3747" spans="1:10" customHeight="0">
      <c r="A3747" s="0">
        <f>HYPERLINK("https://dl.dropboxusercontent.com/scl/fi/gzs52otshv6xp6csqunl3/uni.jpg?rlkey=rw19wcjw8sn5a203ehio4mhuz&amp;dl=0","Click to download Image")</f>
      </c>
      <c r="B3747" s="0">
        <f>HYPERLINK("https://dl.dropboxusercontent.com/scl/fi/fbp8bvgw5g2i93grch2vd/mens-polo-size-chartsbrent.jpg?rlkey=rpxyawf7o9i3b2ri9qpnyfutr&amp;dl=0","Click to download SizeChart")</f>
      </c>
      <c r="C3747" s="0" t="inlineStr">
        <is>
          <t>Victor Mens Golf Polo</t>
        </is>
      </c>
      <c r="D3747" s="0" t="inlineStr">
        <is>
          <t>'113953</t>
        </is>
      </c>
      <c r="E3747" s="0" t="inlineStr">
        <is>
          <t>UNI VICTOR M GREY:113953D-XL</t>
        </is>
      </c>
      <c r="F3747" s="0" t="inlineStr">
        <is>
          <t>'802113953071</t>
        </is>
      </c>
      <c r="G3747" s="0" t="inlineStr">
        <is>
          <t>MENS</t>
        </is>
      </c>
      <c r="H3747" s="0" t="inlineStr">
        <is>
          <t>XL</t>
        </is>
      </c>
      <c r="I3747" s="0">
        <v>40.98</v>
      </c>
      <c r="J3747" s="0">
        <v>7</v>
      </c>
    </row>
    <row r="3748" spans="1:10" customHeight="0">
      <c r="A3748" s="0">
        <f>HYPERLINK("https://dl.dropboxusercontent.com/scl/fi/gzs52otshv6xp6csqunl3/uni.jpg?rlkey=rw19wcjw8sn5a203ehio4mhuz&amp;dl=0","Click to download Image")</f>
      </c>
      <c r="B3748" s="0">
        <f>HYPERLINK("https://dl.dropboxusercontent.com/scl/fi/fbp8bvgw5g2i93grch2vd/mens-polo-size-chartsbrent.jpg?rlkey=rpxyawf7o9i3b2ri9qpnyfutr&amp;dl=0","Click to download SizeChart")</f>
      </c>
      <c r="C3748" s="0" t="inlineStr">
        <is>
          <t>Victor Mens Golf Polo</t>
        </is>
      </c>
      <c r="D3748" s="0" t="inlineStr">
        <is>
          <t>'113953</t>
        </is>
      </c>
      <c r="E3748" s="0" t="inlineStr">
        <is>
          <t>UNI VICTOR M GREY:113953E-2XL</t>
        </is>
      </c>
      <c r="F3748" s="0" t="inlineStr">
        <is>
          <t>'802113953088</t>
        </is>
      </c>
      <c r="G3748" s="0" t="inlineStr">
        <is>
          <t>MENS</t>
        </is>
      </c>
      <c r="H3748" s="0" t="inlineStr">
        <is>
          <t>2XL</t>
        </is>
      </c>
      <c r="I3748" s="0">
        <v>42.98</v>
      </c>
      <c r="J3748" s="0">
        <v>3</v>
      </c>
    </row>
    <row r="3749" spans="1:10" customHeight="0">
      <c r="A3749" s="0">
        <f>HYPERLINK("https://dl.dropboxusercontent.com/scl/fi/gzs52otshv6xp6csqunl3/uni.jpg?rlkey=rw19wcjw8sn5a203ehio4mhuz&amp;dl=0","Click to download Image")</f>
      </c>
      <c r="B3749" s="0">
        <f>HYPERLINK("https://dl.dropboxusercontent.com/scl/fi/fbp8bvgw5g2i93grch2vd/mens-polo-size-chartsbrent.jpg?rlkey=rpxyawf7o9i3b2ri9qpnyfutr&amp;dl=0","Click to download SizeChart")</f>
      </c>
      <c r="C3749" s="0" t="inlineStr">
        <is>
          <t>Victor Mens Golf Polo</t>
        </is>
      </c>
      <c r="D3749" s="0" t="inlineStr">
        <is>
          <t>'113953</t>
        </is>
      </c>
      <c r="E3749" s="0" t="inlineStr">
        <is>
          <t>UNI VICTOR M GREY:113953F-3XL</t>
        </is>
      </c>
      <c r="F3749" s="0" t="inlineStr">
        <is>
          <t>'802113953095</t>
        </is>
      </c>
      <c r="G3749" s="0" t="inlineStr">
        <is>
          <t>MENS</t>
        </is>
      </c>
      <c r="H3749" s="0" t="inlineStr">
        <is>
          <t>3XL</t>
        </is>
      </c>
      <c r="I3749" s="0">
        <v>42.98</v>
      </c>
      <c r="J3749" s="0">
        <v>1</v>
      </c>
    </row>
    <row r="3750" spans="1:10" customHeight="0">
      <c r="A3750" s="0">
        <f>HYPERLINK("https://dl.dropboxusercontent.com/scl/fi/gzs52otshv6xp6csqunl3/uni.jpg?rlkey=rw19wcjw8sn5a203ehio4mhuz&amp;dl=0","Click to download Image")</f>
      </c>
      <c r="B3750" s="0">
        <f>HYPERLINK("https://dl.dropboxusercontent.com/scl/fi/fbp8bvgw5g2i93grch2vd/mens-polo-size-chartsbrent.jpg?rlkey=rpxyawf7o9i3b2ri9qpnyfutr&amp;dl=0","Click to download SizeChart")</f>
      </c>
      <c r="C3750" s="0" t="inlineStr">
        <is>
          <t>Victor Mens Golf Polo</t>
        </is>
      </c>
      <c r="D3750" s="0" t="inlineStr">
        <is>
          <t>'113953</t>
        </is>
      </c>
      <c r="E3750" s="0" t="inlineStr">
        <is>
          <t>UNI VICTOR M GREY 12 PACK:113953Z-12PK</t>
        </is>
      </c>
      <c r="F3750" s="0" t="inlineStr">
        <is>
          <t>'802113953996</t>
        </is>
      </c>
      <c r="G3750" s="0" t="inlineStr">
        <is>
          <t>MENS</t>
        </is>
      </c>
      <c r="H3750" s="0" t="inlineStr">
        <is>
          <t>12 PACK</t>
        </is>
      </c>
      <c r="I3750" s="0">
        <v>399.36</v>
      </c>
      <c r="J3750" s="0">
        <v>0</v>
      </c>
    </row>
    <row r="3751" spans="1:10" customHeight="0">
      <c r="A3751" s="0">
        <f>HYPERLINK("https://dl.dropboxusercontent.com/scl/fi/u4501qt8lljencmuggsi3/ndsu.jpg?rlkey=5wtpi0waxhopjwte4s2uow2xf&amp;dl=0","Click to download Image")</f>
      </c>
      <c r="B3751" s="0">
        <f>HYPERLINK("https://dl.dropboxusercontent.com/scl/fi/fbp8bvgw5g2i93grch2vd/mens-polo-size-chartsbrent.jpg?rlkey=rpxyawf7o9i3b2ri9qpnyfutr&amp;dl=0","Click to download SizeChart")</f>
      </c>
      <c r="C3751" s="0" t="inlineStr">
        <is>
          <t>Victor Mens Golf Polo</t>
        </is>
      </c>
      <c r="D3751" s="0" t="inlineStr">
        <is>
          <t>'128713</t>
        </is>
      </c>
      <c r="E3751" s="0" t="inlineStr">
        <is>
          <t>NDSU VICTOR M GY:128713A-S</t>
        </is>
      </c>
      <c r="F3751" s="0" t="inlineStr">
        <is>
          <t>'813128713048</t>
        </is>
      </c>
      <c r="G3751" s="0" t="inlineStr">
        <is>
          <t>MENS</t>
        </is>
      </c>
      <c r="H3751" s="0" t="inlineStr">
        <is>
          <t>S</t>
        </is>
      </c>
      <c r="I3751" s="0">
        <v>40.98</v>
      </c>
      <c r="J3751" s="0">
        <v>3</v>
      </c>
    </row>
    <row r="3752" spans="1:10" customHeight="0">
      <c r="A3752" s="0">
        <f>HYPERLINK("https://dl.dropboxusercontent.com/scl/fi/u4501qt8lljencmuggsi3/ndsu.jpg?rlkey=5wtpi0waxhopjwte4s2uow2xf&amp;dl=0","Click to download Image")</f>
      </c>
      <c r="B3752" s="0">
        <f>HYPERLINK("https://dl.dropboxusercontent.com/scl/fi/fbp8bvgw5g2i93grch2vd/mens-polo-size-chartsbrent.jpg?rlkey=rpxyawf7o9i3b2ri9qpnyfutr&amp;dl=0","Click to download SizeChart")</f>
      </c>
      <c r="C3752" s="0" t="inlineStr">
        <is>
          <t>Victor Mens Golf Polo</t>
        </is>
      </c>
      <c r="D3752" s="0" t="inlineStr">
        <is>
          <t>'128713</t>
        </is>
      </c>
      <c r="E3752" s="0" t="inlineStr">
        <is>
          <t>NDSU VICTOR M GY:128713B-M</t>
        </is>
      </c>
      <c r="F3752" s="0" t="inlineStr">
        <is>
          <t>'813128713055</t>
        </is>
      </c>
      <c r="G3752" s="0" t="inlineStr">
        <is>
          <t>MENS</t>
        </is>
      </c>
      <c r="H3752" s="0" t="inlineStr">
        <is>
          <t>M</t>
        </is>
      </c>
      <c r="I3752" s="0">
        <v>40.98</v>
      </c>
      <c r="J3752" s="0">
        <v>6</v>
      </c>
    </row>
    <row r="3753" spans="1:10" customHeight="0">
      <c r="A3753" s="0">
        <f>HYPERLINK("https://dl.dropboxusercontent.com/scl/fi/u4501qt8lljencmuggsi3/ndsu.jpg?rlkey=5wtpi0waxhopjwte4s2uow2xf&amp;dl=0","Click to download Image")</f>
      </c>
      <c r="B3753" s="0">
        <f>HYPERLINK("https://dl.dropboxusercontent.com/scl/fi/fbp8bvgw5g2i93grch2vd/mens-polo-size-chartsbrent.jpg?rlkey=rpxyawf7o9i3b2ri9qpnyfutr&amp;dl=0","Click to download SizeChart")</f>
      </c>
      <c r="C3753" s="0" t="inlineStr">
        <is>
          <t>Victor Mens Golf Polo</t>
        </is>
      </c>
      <c r="D3753" s="0" t="inlineStr">
        <is>
          <t>'128713</t>
        </is>
      </c>
      <c r="E3753" s="0" t="inlineStr">
        <is>
          <t>NDSU VICTOR M GY:128713C-L</t>
        </is>
      </c>
      <c r="F3753" s="0" t="inlineStr">
        <is>
          <t>'813128713062</t>
        </is>
      </c>
      <c r="G3753" s="0" t="inlineStr">
        <is>
          <t>MENS</t>
        </is>
      </c>
      <c r="H3753" s="0" t="inlineStr">
        <is>
          <t>L</t>
        </is>
      </c>
      <c r="I3753" s="0">
        <v>40.98</v>
      </c>
      <c r="J3753" s="0">
        <v>5</v>
      </c>
    </row>
    <row r="3754" spans="1:10" customHeight="0">
      <c r="A3754" s="0">
        <f>HYPERLINK("https://dl.dropboxusercontent.com/scl/fi/u4501qt8lljencmuggsi3/ndsu.jpg?rlkey=5wtpi0waxhopjwte4s2uow2xf&amp;dl=0","Click to download Image")</f>
      </c>
      <c r="B3754" s="0">
        <f>HYPERLINK("https://dl.dropboxusercontent.com/scl/fi/fbp8bvgw5g2i93grch2vd/mens-polo-size-chartsbrent.jpg?rlkey=rpxyawf7o9i3b2ri9qpnyfutr&amp;dl=0","Click to download SizeChart")</f>
      </c>
      <c r="C3754" s="0" t="inlineStr">
        <is>
          <t>Victor Mens Golf Polo</t>
        </is>
      </c>
      <c r="D3754" s="0" t="inlineStr">
        <is>
          <t>'128713</t>
        </is>
      </c>
      <c r="E3754" s="0" t="inlineStr">
        <is>
          <t>NDSU VICTOR M GY:128713D-XL</t>
        </is>
      </c>
      <c r="F3754" s="0" t="inlineStr">
        <is>
          <t>'813128713079</t>
        </is>
      </c>
      <c r="G3754" s="0" t="inlineStr">
        <is>
          <t>MENS</t>
        </is>
      </c>
      <c r="H3754" s="0" t="inlineStr">
        <is>
          <t>XL</t>
        </is>
      </c>
      <c r="I3754" s="0">
        <v>40.98</v>
      </c>
      <c r="J3754" s="0">
        <v>6</v>
      </c>
    </row>
    <row r="3755" spans="1:10" customHeight="0">
      <c r="A3755" s="0">
        <f>HYPERLINK("https://dl.dropboxusercontent.com/scl/fi/u4501qt8lljencmuggsi3/ndsu.jpg?rlkey=5wtpi0waxhopjwte4s2uow2xf&amp;dl=0","Click to download Image")</f>
      </c>
      <c r="B3755" s="0">
        <f>HYPERLINK("https://dl.dropboxusercontent.com/scl/fi/fbp8bvgw5g2i93grch2vd/mens-polo-size-chartsbrent.jpg?rlkey=rpxyawf7o9i3b2ri9qpnyfutr&amp;dl=0","Click to download SizeChart")</f>
      </c>
      <c r="C3755" s="0" t="inlineStr">
        <is>
          <t>Victor Mens Golf Polo</t>
        </is>
      </c>
      <c r="D3755" s="0" t="inlineStr">
        <is>
          <t>'128713</t>
        </is>
      </c>
      <c r="E3755" s="0" t="inlineStr">
        <is>
          <t>NDSU VICTOR M GY:128713E-2XL</t>
        </is>
      </c>
      <c r="F3755" s="0" t="inlineStr">
        <is>
          <t>'813128713086</t>
        </is>
      </c>
      <c r="G3755" s="0" t="inlineStr">
        <is>
          <t>MENS</t>
        </is>
      </c>
      <c r="H3755" s="0" t="inlineStr">
        <is>
          <t>2XL</t>
        </is>
      </c>
      <c r="I3755" s="0">
        <v>42.98</v>
      </c>
      <c r="J3755" s="0">
        <v>4</v>
      </c>
    </row>
    <row r="3756" spans="1:10" customHeight="0">
      <c r="A3756" s="0">
        <f>HYPERLINK("https://dl.dropboxusercontent.com/scl/fi/u4501qt8lljencmuggsi3/ndsu.jpg?rlkey=5wtpi0waxhopjwte4s2uow2xf&amp;dl=0","Click to download Image")</f>
      </c>
      <c r="B3756" s="0">
        <f>HYPERLINK("https://dl.dropboxusercontent.com/scl/fi/fbp8bvgw5g2i93grch2vd/mens-polo-size-chartsbrent.jpg?rlkey=rpxyawf7o9i3b2ri9qpnyfutr&amp;dl=0","Click to download SizeChart")</f>
      </c>
      <c r="C3756" s="0" t="inlineStr">
        <is>
          <t>Victor Mens Golf Polo</t>
        </is>
      </c>
      <c r="D3756" s="0" t="inlineStr">
        <is>
          <t>'128713</t>
        </is>
      </c>
      <c r="E3756" s="0" t="inlineStr">
        <is>
          <t>NDSU VICTOR M GY:128713F-3XL</t>
        </is>
      </c>
      <c r="F3756" s="0" t="inlineStr">
        <is>
          <t>'813128713093</t>
        </is>
      </c>
      <c r="G3756" s="0" t="inlineStr">
        <is>
          <t>MENS</t>
        </is>
      </c>
      <c r="H3756" s="0" t="inlineStr">
        <is>
          <t>3XL</t>
        </is>
      </c>
      <c r="I3756" s="0">
        <v>42.98</v>
      </c>
      <c r="J3756" s="0">
        <v>2</v>
      </c>
    </row>
    <row r="3757" spans="1:10" customHeight="0">
      <c r="A3757" s="0">
        <f>HYPERLINK("https://dl.dropboxusercontent.com/scl/fi/u4501qt8lljencmuggsi3/ndsu.jpg?rlkey=5wtpi0waxhopjwte4s2uow2xf&amp;dl=0","Click to download Image")</f>
      </c>
      <c r="B3757" s="0">
        <f>HYPERLINK("https://dl.dropboxusercontent.com/scl/fi/fbp8bvgw5g2i93grch2vd/mens-polo-size-chartsbrent.jpg?rlkey=rpxyawf7o9i3b2ri9qpnyfutr&amp;dl=0","Click to download SizeChart")</f>
      </c>
      <c r="C3757" s="0" t="inlineStr">
        <is>
          <t>Victor Mens Golf Polo</t>
        </is>
      </c>
      <c r="D3757" s="0" t="inlineStr">
        <is>
          <t>'128713</t>
        </is>
      </c>
      <c r="E3757" s="0" t="inlineStr">
        <is>
          <t>NDSU VICTOR M GY:128713Z-12PK</t>
        </is>
      </c>
      <c r="F3757" s="0" t="inlineStr">
        <is>
          <t>'813128713994</t>
        </is>
      </c>
      <c r="G3757" s="0" t="inlineStr">
        <is>
          <t>MENS</t>
        </is>
      </c>
      <c r="H3757" s="0" t="inlineStr">
        <is>
          <t>12 PACK</t>
        </is>
      </c>
      <c r="I3757" s="0">
        <v>399.36</v>
      </c>
      <c r="J3757" s="0">
        <v>0</v>
      </c>
    </row>
    <row r="3758" spans="1:10" customHeight="0">
      <c r="A3758" s="0">
        <f>HYPERLINK("https://dl.dropboxusercontent.com/scl/fi/6jwwbqah78y7xopli5mrc/111008-f.jpg?rlkey=1e0b5udf9x6lxal142ppn9ggq&amp;dl=0","Click to download Image")</f>
      </c>
      <c r="B3758" s="0">
        <f>HYPERLINK("https://dl.dropboxusercontent.com/scl/fi/i2vx4jxakqyodbbziil6e/mens-polo-size-chartsbrent.jpg?rlkey=39vc2b3fxbv03ycjkp4kcasvm&amp;dl=0","Click to download SizeChart")</f>
      </c>
      <c r="C3758" s="0" t="inlineStr">
        <is>
          <t>Evanston Mens Polo</t>
        </is>
      </c>
      <c r="D3758" s="0" t="inlineStr">
        <is>
          <t>'111008</t>
        </is>
      </c>
      <c r="E3758" s="0" t="inlineStr">
        <is>
          <t>UNI EVANSTON BLACK:111008A-S</t>
        </is>
      </c>
      <c r="F3758" s="0" t="inlineStr">
        <is>
          <t>'802111008049</t>
        </is>
      </c>
      <c r="G3758" s="0" t="inlineStr">
        <is>
          <t>MENS</t>
        </is>
      </c>
      <c r="H3758" s="0" t="inlineStr">
        <is>
          <t>S</t>
        </is>
      </c>
      <c r="I3758" s="0">
        <v>39.99</v>
      </c>
      <c r="J3758" s="0">
        <v>6</v>
      </c>
    </row>
    <row r="3759" spans="1:10" customHeight="0">
      <c r="A3759" s="0">
        <f>HYPERLINK("https://dl.dropboxusercontent.com/scl/fi/6jwwbqah78y7xopli5mrc/111008-f.jpg?rlkey=1e0b5udf9x6lxal142ppn9ggq&amp;dl=0","Click to download Image")</f>
      </c>
      <c r="B3759" s="0">
        <f>HYPERLINK("https://dl.dropboxusercontent.com/scl/fi/i2vx4jxakqyodbbziil6e/mens-polo-size-chartsbrent.jpg?rlkey=39vc2b3fxbv03ycjkp4kcasvm&amp;dl=0","Click to download SizeChart")</f>
      </c>
      <c r="C3759" s="0" t="inlineStr">
        <is>
          <t>Evanston Mens Polo</t>
        </is>
      </c>
      <c r="D3759" s="0" t="inlineStr">
        <is>
          <t>'111008</t>
        </is>
      </c>
      <c r="E3759" s="0" t="inlineStr">
        <is>
          <t>UNI EVANSTON BLACK:111008B-M</t>
        </is>
      </c>
      <c r="F3759" s="0" t="inlineStr">
        <is>
          <t>'802111008056</t>
        </is>
      </c>
      <c r="G3759" s="0" t="inlineStr">
        <is>
          <t>MENS</t>
        </is>
      </c>
      <c r="H3759" s="0" t="inlineStr">
        <is>
          <t>M</t>
        </is>
      </c>
      <c r="I3759" s="0">
        <v>39.99</v>
      </c>
      <c r="J3759" s="0">
        <v>10</v>
      </c>
    </row>
    <row r="3760" spans="1:10" customHeight="0">
      <c r="A3760" s="0">
        <f>HYPERLINK("https://dl.dropboxusercontent.com/scl/fi/6jwwbqah78y7xopli5mrc/111008-f.jpg?rlkey=1e0b5udf9x6lxal142ppn9ggq&amp;dl=0","Click to download Image")</f>
      </c>
      <c r="B3760" s="0">
        <f>HYPERLINK("https://dl.dropboxusercontent.com/scl/fi/i2vx4jxakqyodbbziil6e/mens-polo-size-chartsbrent.jpg?rlkey=39vc2b3fxbv03ycjkp4kcasvm&amp;dl=0","Click to download SizeChart")</f>
      </c>
      <c r="C3760" s="0" t="inlineStr">
        <is>
          <t>Evanston Mens Polo</t>
        </is>
      </c>
      <c r="D3760" s="0" t="inlineStr">
        <is>
          <t>'111008</t>
        </is>
      </c>
      <c r="E3760" s="0" t="inlineStr">
        <is>
          <t>UNI EVANSTON BLACK:111008C-L</t>
        </is>
      </c>
      <c r="F3760" s="0" t="inlineStr">
        <is>
          <t>'802111008063</t>
        </is>
      </c>
      <c r="G3760" s="0" t="inlineStr">
        <is>
          <t>MENS</t>
        </is>
      </c>
      <c r="H3760" s="0" t="inlineStr">
        <is>
          <t>L</t>
        </is>
      </c>
      <c r="I3760" s="0">
        <v>39.99</v>
      </c>
      <c r="J3760" s="0">
        <v>0</v>
      </c>
    </row>
    <row r="3761" spans="1:10" customHeight="0">
      <c r="A3761" s="0">
        <f>HYPERLINK("https://dl.dropboxusercontent.com/scl/fi/6jwwbqah78y7xopli5mrc/111008-f.jpg?rlkey=1e0b5udf9x6lxal142ppn9ggq&amp;dl=0","Click to download Image")</f>
      </c>
      <c r="B3761" s="0">
        <f>HYPERLINK("https://dl.dropboxusercontent.com/scl/fi/i2vx4jxakqyodbbziil6e/mens-polo-size-chartsbrent.jpg?rlkey=39vc2b3fxbv03ycjkp4kcasvm&amp;dl=0","Click to download SizeChart")</f>
      </c>
      <c r="C3761" s="0" t="inlineStr">
        <is>
          <t>Evanston Mens Polo</t>
        </is>
      </c>
      <c r="D3761" s="0" t="inlineStr">
        <is>
          <t>'111008</t>
        </is>
      </c>
      <c r="E3761" s="0" t="inlineStr">
        <is>
          <t>UNI EVANSTON BLACK:111008D-XL</t>
        </is>
      </c>
      <c r="F3761" s="0" t="inlineStr">
        <is>
          <t>'802111008070</t>
        </is>
      </c>
      <c r="G3761" s="0" t="inlineStr">
        <is>
          <t>MENS</t>
        </is>
      </c>
      <c r="H3761" s="0" t="inlineStr">
        <is>
          <t>XL</t>
        </is>
      </c>
      <c r="I3761" s="0">
        <v>39.99</v>
      </c>
      <c r="J3761" s="0">
        <v>0</v>
      </c>
    </row>
    <row r="3762" spans="1:10" customHeight="0">
      <c r="A3762" s="0">
        <f>HYPERLINK("https://dl.dropboxusercontent.com/scl/fi/6jwwbqah78y7xopli5mrc/111008-f.jpg?rlkey=1e0b5udf9x6lxal142ppn9ggq&amp;dl=0","Click to download Image")</f>
      </c>
      <c r="B3762" s="0">
        <f>HYPERLINK("https://dl.dropboxusercontent.com/scl/fi/i2vx4jxakqyodbbziil6e/mens-polo-size-chartsbrent.jpg?rlkey=39vc2b3fxbv03ycjkp4kcasvm&amp;dl=0","Click to download SizeChart")</f>
      </c>
      <c r="C3762" s="0" t="inlineStr">
        <is>
          <t>Evanston Mens Polo</t>
        </is>
      </c>
      <c r="D3762" s="0" t="inlineStr">
        <is>
          <t>'111008</t>
        </is>
      </c>
      <c r="E3762" s="0" t="inlineStr">
        <is>
          <t>UNI EVANSTON BLACK:111008E-2XL</t>
        </is>
      </c>
      <c r="F3762" s="0" t="inlineStr">
        <is>
          <t>'802111008087</t>
        </is>
      </c>
      <c r="G3762" s="0" t="inlineStr">
        <is>
          <t>MENS</t>
        </is>
      </c>
      <c r="H3762" s="0" t="inlineStr">
        <is>
          <t>2XL</t>
        </is>
      </c>
      <c r="I3762" s="0">
        <v>41.99</v>
      </c>
      <c r="J3762" s="0">
        <v>2</v>
      </c>
    </row>
    <row r="3763" spans="1:10" customHeight="0">
      <c r="A3763" s="0">
        <f>HYPERLINK("https://dl.dropboxusercontent.com/scl/fi/6jwwbqah78y7xopli5mrc/111008-f.jpg?rlkey=1e0b5udf9x6lxal142ppn9ggq&amp;dl=0","Click to download Image")</f>
      </c>
      <c r="B3763" s="0">
        <f>HYPERLINK("https://dl.dropboxusercontent.com/scl/fi/i2vx4jxakqyodbbziil6e/mens-polo-size-chartsbrent.jpg?rlkey=39vc2b3fxbv03ycjkp4kcasvm&amp;dl=0","Click to download SizeChart")</f>
      </c>
      <c r="C3763" s="0" t="inlineStr">
        <is>
          <t>Evanston Mens Polo</t>
        </is>
      </c>
      <c r="D3763" s="0" t="inlineStr">
        <is>
          <t>'111008</t>
        </is>
      </c>
      <c r="E3763" s="0" t="inlineStr">
        <is>
          <t>UNI EVANSTON BLACK:111008F-3XL</t>
        </is>
      </c>
      <c r="F3763" s="0" t="inlineStr">
        <is>
          <t>'802111008094</t>
        </is>
      </c>
      <c r="G3763" s="0" t="inlineStr">
        <is>
          <t>MENS</t>
        </is>
      </c>
      <c r="H3763" s="0" t="inlineStr">
        <is>
          <t>3XL</t>
        </is>
      </c>
      <c r="I3763" s="0">
        <v>41.99</v>
      </c>
      <c r="J3763" s="0">
        <v>3</v>
      </c>
    </row>
    <row r="3764" spans="1:10" customHeight="0">
      <c r="A3764" s="0">
        <f>HYPERLINK("https://dl.dropboxusercontent.com/scl/fi/6jwwbqah78y7xopli5mrc/111008-f.jpg?rlkey=1e0b5udf9x6lxal142ppn9ggq&amp;dl=0","Click to download Image")</f>
      </c>
      <c r="B3764" s="0">
        <f>HYPERLINK("https://dl.dropboxusercontent.com/scl/fi/i2vx4jxakqyodbbziil6e/mens-polo-size-chartsbrent.jpg?rlkey=39vc2b3fxbv03ycjkp4kcasvm&amp;dl=0","Click to download SizeChart")</f>
      </c>
      <c r="C3764" s="0" t="inlineStr">
        <is>
          <t>Evanston Mens Polo</t>
        </is>
      </c>
      <c r="D3764" s="0" t="inlineStr">
        <is>
          <t>'111008</t>
        </is>
      </c>
      <c r="E3764" s="0" t="inlineStr">
        <is>
          <t>UNI EVANSTON BLACK 12 PACK:111008Z-12PK</t>
        </is>
      </c>
      <c r="F3764" s="0" t="inlineStr">
        <is>
          <t>'802111008995</t>
        </is>
      </c>
      <c r="G3764" s="0" t="inlineStr">
        <is>
          <t>MENS</t>
        </is>
      </c>
      <c r="H3764" s="0" t="inlineStr">
        <is>
          <t>12 PACK</t>
        </is>
      </c>
      <c r="I3764" s="0">
        <v>461.88</v>
      </c>
      <c r="J3764" s="0">
        <v>0</v>
      </c>
    </row>
    <row r="3765" spans="1:10" customHeight="0">
      <c r="A3765" s="0">
        <f>HYPERLINK("https://dl.dropboxusercontent.com/scl/fi/bgk7kroepg8vcsalq2dxn/editdsc5232.jpg?rlkey=n9ezeagacgxsaxh8z4g06tynf&amp;dl=0","Click to download Image")</f>
      </c>
      <c r="B3765" s="0">
        <f>HYPERLINK("https://dl.dropboxusercontent.com/scl/fi/i2vx4jxakqyodbbziil6e/mens-polo-size-chartsbrent.jpg?rlkey=39vc2b3fxbv03ycjkp4kcasvm&amp;dl=0","Click to download SizeChart")</f>
      </c>
      <c r="C3765" s="0" t="inlineStr">
        <is>
          <t>Evanston Mens Polo</t>
        </is>
      </c>
      <c r="D3765" s="0" t="inlineStr">
        <is>
          <t>'109817</t>
        </is>
      </c>
      <c r="E3765" s="0" t="inlineStr">
        <is>
          <t>ISU EVANSTON:109817A-S</t>
        </is>
      </c>
      <c r="F3765" s="0" t="inlineStr">
        <is>
          <t>'800109817017</t>
        </is>
      </c>
      <c r="G3765" s="0" t="inlineStr">
        <is>
          <t>MENS</t>
        </is>
      </c>
      <c r="H3765" s="0" t="inlineStr">
        <is>
          <t>S</t>
        </is>
      </c>
      <c r="I3765" s="0">
        <v>39.99</v>
      </c>
      <c r="J3765" s="0">
        <v>0</v>
      </c>
    </row>
    <row r="3766" spans="1:10" customHeight="0">
      <c r="A3766" s="0">
        <f>HYPERLINK("https://dl.dropboxusercontent.com/scl/fi/bgk7kroepg8vcsalq2dxn/editdsc5232.jpg?rlkey=n9ezeagacgxsaxh8z4g06tynf&amp;dl=0","Click to download Image")</f>
      </c>
      <c r="B3766" s="0">
        <f>HYPERLINK("https://dl.dropboxusercontent.com/scl/fi/i2vx4jxakqyodbbziil6e/mens-polo-size-chartsbrent.jpg?rlkey=39vc2b3fxbv03ycjkp4kcasvm&amp;dl=0","Click to download SizeChart")</f>
      </c>
      <c r="C3766" s="0" t="inlineStr">
        <is>
          <t>Evanston Mens Polo</t>
        </is>
      </c>
      <c r="D3766" s="0" t="inlineStr">
        <is>
          <t>'109817</t>
        </is>
      </c>
      <c r="E3766" s="0" t="inlineStr">
        <is>
          <t>ISU EVANSTON:109817B-M</t>
        </is>
      </c>
      <c r="F3766" s="0" t="inlineStr">
        <is>
          <t>'800109817024</t>
        </is>
      </c>
      <c r="G3766" s="0" t="inlineStr">
        <is>
          <t>MENS</t>
        </is>
      </c>
      <c r="H3766" s="0" t="inlineStr">
        <is>
          <t>M</t>
        </is>
      </c>
      <c r="I3766" s="0">
        <v>39.99</v>
      </c>
      <c r="J3766" s="0">
        <v>5</v>
      </c>
    </row>
    <row r="3767" spans="1:10" customHeight="0">
      <c r="A3767" s="0">
        <f>HYPERLINK("https://dl.dropboxusercontent.com/scl/fi/bgk7kroepg8vcsalq2dxn/editdsc5232.jpg?rlkey=n9ezeagacgxsaxh8z4g06tynf&amp;dl=0","Click to download Image")</f>
      </c>
      <c r="B3767" s="0">
        <f>HYPERLINK("https://dl.dropboxusercontent.com/scl/fi/i2vx4jxakqyodbbziil6e/mens-polo-size-chartsbrent.jpg?rlkey=39vc2b3fxbv03ycjkp4kcasvm&amp;dl=0","Click to download SizeChart")</f>
      </c>
      <c r="C3767" s="0" t="inlineStr">
        <is>
          <t>Evanston Mens Polo</t>
        </is>
      </c>
      <c r="D3767" s="0" t="inlineStr">
        <is>
          <t>'109817</t>
        </is>
      </c>
      <c r="E3767" s="0" t="inlineStr">
        <is>
          <t>ISU EVANSTON:109817C-L</t>
        </is>
      </c>
      <c r="F3767" s="0" t="inlineStr">
        <is>
          <t>'800109817031</t>
        </is>
      </c>
      <c r="G3767" s="0" t="inlineStr">
        <is>
          <t>MENS</t>
        </is>
      </c>
      <c r="H3767" s="0" t="inlineStr">
        <is>
          <t>L</t>
        </is>
      </c>
      <c r="I3767" s="0">
        <v>39.99</v>
      </c>
      <c r="J3767" s="0">
        <v>0</v>
      </c>
    </row>
    <row r="3768" spans="1:10" customHeight="0">
      <c r="A3768" s="0">
        <f>HYPERLINK("https://dl.dropboxusercontent.com/scl/fi/bgk7kroepg8vcsalq2dxn/editdsc5232.jpg?rlkey=n9ezeagacgxsaxh8z4g06tynf&amp;dl=0","Click to download Image")</f>
      </c>
      <c r="B3768" s="0">
        <f>HYPERLINK("https://dl.dropboxusercontent.com/scl/fi/i2vx4jxakqyodbbziil6e/mens-polo-size-chartsbrent.jpg?rlkey=39vc2b3fxbv03ycjkp4kcasvm&amp;dl=0","Click to download SizeChart")</f>
      </c>
      <c r="C3768" s="0" t="inlineStr">
        <is>
          <t>Evanston Mens Polo</t>
        </is>
      </c>
      <c r="D3768" s="0" t="inlineStr">
        <is>
          <t>'109817</t>
        </is>
      </c>
      <c r="E3768" s="0" t="inlineStr">
        <is>
          <t>ISU EVANSTON:109817D-XL</t>
        </is>
      </c>
      <c r="F3768" s="0" t="inlineStr">
        <is>
          <t>'800109817048</t>
        </is>
      </c>
      <c r="G3768" s="0" t="inlineStr">
        <is>
          <t>MENS</t>
        </is>
      </c>
      <c r="H3768" s="0" t="inlineStr">
        <is>
          <t>XL</t>
        </is>
      </c>
      <c r="I3768" s="0">
        <v>39.99</v>
      </c>
      <c r="J3768" s="0">
        <v>0</v>
      </c>
    </row>
    <row r="3769" spans="1:10" customHeight="0">
      <c r="A3769" s="0">
        <f>HYPERLINK("https://dl.dropboxusercontent.com/scl/fi/bgk7kroepg8vcsalq2dxn/editdsc5232.jpg?rlkey=n9ezeagacgxsaxh8z4g06tynf&amp;dl=0","Click to download Image")</f>
      </c>
      <c r="B3769" s="0">
        <f>HYPERLINK("https://dl.dropboxusercontent.com/scl/fi/i2vx4jxakqyodbbziil6e/mens-polo-size-chartsbrent.jpg?rlkey=39vc2b3fxbv03ycjkp4kcasvm&amp;dl=0","Click to download SizeChart")</f>
      </c>
      <c r="C3769" s="0" t="inlineStr">
        <is>
          <t>Evanston Mens Polo</t>
        </is>
      </c>
      <c r="D3769" s="0" t="inlineStr">
        <is>
          <t>'109817</t>
        </is>
      </c>
      <c r="E3769" s="0" t="inlineStr">
        <is>
          <t>ISU EVANSTON:109817E-2XL</t>
        </is>
      </c>
      <c r="F3769" s="0" t="inlineStr">
        <is>
          <t>'800109817055</t>
        </is>
      </c>
      <c r="G3769" s="0" t="inlineStr">
        <is>
          <t>MENS</t>
        </is>
      </c>
      <c r="H3769" s="0" t="inlineStr">
        <is>
          <t>2XL</t>
        </is>
      </c>
      <c r="I3769" s="0">
        <v>41.99</v>
      </c>
      <c r="J3769" s="0">
        <v>1</v>
      </c>
    </row>
    <row r="3770" spans="1:10" customHeight="0">
      <c r="A3770" s="0">
        <f>HYPERLINK("https://dl.dropboxusercontent.com/scl/fi/bgk7kroepg8vcsalq2dxn/editdsc5232.jpg?rlkey=n9ezeagacgxsaxh8z4g06tynf&amp;dl=0","Click to download Image")</f>
      </c>
      <c r="B3770" s="0">
        <f>HYPERLINK("https://dl.dropboxusercontent.com/scl/fi/i2vx4jxakqyodbbziil6e/mens-polo-size-chartsbrent.jpg?rlkey=39vc2b3fxbv03ycjkp4kcasvm&amp;dl=0","Click to download SizeChart")</f>
      </c>
      <c r="C3770" s="0" t="inlineStr">
        <is>
          <t>Evanston Mens Polo</t>
        </is>
      </c>
      <c r="D3770" s="0" t="inlineStr">
        <is>
          <t>'109817</t>
        </is>
      </c>
      <c r="E3770" s="0" t="inlineStr">
        <is>
          <t>ISU EVANSTON:109817F-3XL</t>
        </is>
      </c>
      <c r="F3770" s="0" t="inlineStr">
        <is>
          <t>'800109817062</t>
        </is>
      </c>
      <c r="G3770" s="0" t="inlineStr">
        <is>
          <t>MENS</t>
        </is>
      </c>
      <c r="H3770" s="0" t="inlineStr">
        <is>
          <t>3XL</t>
        </is>
      </c>
      <c r="I3770" s="0">
        <v>41.99</v>
      </c>
      <c r="J3770" s="0">
        <v>2</v>
      </c>
    </row>
    <row r="3771" spans="1:10" customHeight="0">
      <c r="A3771" s="0">
        <f>HYPERLINK("https://dl.dropboxusercontent.com/scl/fi/bgk7kroepg8vcsalq2dxn/editdsc5232.jpg?rlkey=n9ezeagacgxsaxh8z4g06tynf&amp;dl=0","Click to download Image")</f>
      </c>
      <c r="B3771" s="0">
        <f>HYPERLINK("https://dl.dropboxusercontent.com/scl/fi/i2vx4jxakqyodbbziil6e/mens-polo-size-chartsbrent.jpg?rlkey=39vc2b3fxbv03ycjkp4kcasvm&amp;dl=0","Click to download SizeChart")</f>
      </c>
      <c r="C3771" s="0" t="inlineStr">
        <is>
          <t>Evanston Mens Polo</t>
        </is>
      </c>
      <c r="D3771" s="0" t="inlineStr">
        <is>
          <t>'109817</t>
        </is>
      </c>
      <c r="E3771" s="0" t="inlineStr">
        <is>
          <t>ISU EVANSTON 12 PACK:109817Z-12PK</t>
        </is>
      </c>
      <c r="F3771" s="0" t="inlineStr">
        <is>
          <t>'801109817991</t>
        </is>
      </c>
      <c r="G3771" s="0" t="inlineStr">
        <is>
          <t>MENS</t>
        </is>
      </c>
      <c r="H3771" s="0" t="inlineStr">
        <is>
          <t>12 PACK</t>
        </is>
      </c>
      <c r="I3771" s="0">
        <v>461.88</v>
      </c>
      <c r="J3771" s="0">
        <v>0</v>
      </c>
    </row>
    <row r="3772" spans="1:10" customHeight="0">
      <c r="A3772" s="0">
        <f>HYPERLINK("https://dl.dropboxusercontent.com/scl/fi/az4ufyj1idet8uj65lr6e/ndsuevanston-0111996.jpg?rlkey=6ccpvn7m0p09bsfmwuuw9baac&amp;dl=0","Click to download Image")</f>
      </c>
      <c r="B3772" s="0">
        <f>HYPERLINK("https://dl.dropboxusercontent.com/scl/fi/i2vx4jxakqyodbbziil6e/mens-polo-size-chartsbrent.jpg?rlkey=39vc2b3fxbv03ycjkp4kcasvm&amp;dl=0","Click to download SizeChart")</f>
      </c>
      <c r="C3772" s="0" t="inlineStr">
        <is>
          <t>Evanston Mens Polo</t>
        </is>
      </c>
      <c r="D3772" s="0" t="inlineStr">
        <is>
          <t>'128714</t>
        </is>
      </c>
      <c r="E3772" s="0" t="inlineStr">
        <is>
          <t>NDSU EVANST M BK:128714A-S</t>
        </is>
      </c>
      <c r="F3772" s="0" t="inlineStr">
        <is>
          <t>'813128714045</t>
        </is>
      </c>
      <c r="G3772" s="0" t="inlineStr">
        <is>
          <t>MENS</t>
        </is>
      </c>
      <c r="H3772" s="0" t="inlineStr">
        <is>
          <t>S</t>
        </is>
      </c>
      <c r="I3772" s="0">
        <v>39.99</v>
      </c>
      <c r="J3772" s="0">
        <v>3</v>
      </c>
    </row>
    <row r="3773" spans="1:10" customHeight="0">
      <c r="A3773" s="0">
        <f>HYPERLINK("https://dl.dropboxusercontent.com/scl/fi/az4ufyj1idet8uj65lr6e/ndsuevanston-0111996.jpg?rlkey=6ccpvn7m0p09bsfmwuuw9baac&amp;dl=0","Click to download Image")</f>
      </c>
      <c r="B3773" s="0">
        <f>HYPERLINK("https://dl.dropboxusercontent.com/scl/fi/i2vx4jxakqyodbbziil6e/mens-polo-size-chartsbrent.jpg?rlkey=39vc2b3fxbv03ycjkp4kcasvm&amp;dl=0","Click to download SizeChart")</f>
      </c>
      <c r="C3773" s="0" t="inlineStr">
        <is>
          <t>Evanston Mens Polo</t>
        </is>
      </c>
      <c r="D3773" s="0" t="inlineStr">
        <is>
          <t>'128714</t>
        </is>
      </c>
      <c r="E3773" s="0" t="inlineStr">
        <is>
          <t>NDSU EVANST M BK:128714B-M</t>
        </is>
      </c>
      <c r="F3773" s="0" t="inlineStr">
        <is>
          <t>'813128714052</t>
        </is>
      </c>
      <c r="G3773" s="0" t="inlineStr">
        <is>
          <t>MENS</t>
        </is>
      </c>
      <c r="H3773" s="0" t="inlineStr">
        <is>
          <t>M</t>
        </is>
      </c>
      <c r="I3773" s="0">
        <v>39.99</v>
      </c>
      <c r="J3773" s="0">
        <v>6</v>
      </c>
    </row>
    <row r="3774" spans="1:10" customHeight="0">
      <c r="A3774" s="0">
        <f>HYPERLINK("https://dl.dropboxusercontent.com/scl/fi/az4ufyj1idet8uj65lr6e/ndsuevanston-0111996.jpg?rlkey=6ccpvn7m0p09bsfmwuuw9baac&amp;dl=0","Click to download Image")</f>
      </c>
      <c r="B3774" s="0">
        <f>HYPERLINK("https://dl.dropboxusercontent.com/scl/fi/i2vx4jxakqyodbbziil6e/mens-polo-size-chartsbrent.jpg?rlkey=39vc2b3fxbv03ycjkp4kcasvm&amp;dl=0","Click to download SizeChart")</f>
      </c>
      <c r="C3774" s="0" t="inlineStr">
        <is>
          <t>Evanston Mens Polo</t>
        </is>
      </c>
      <c r="D3774" s="0" t="inlineStr">
        <is>
          <t>'128714</t>
        </is>
      </c>
      <c r="E3774" s="0" t="inlineStr">
        <is>
          <t>NDSU EVANST M BK:128714C-L</t>
        </is>
      </c>
      <c r="F3774" s="0" t="inlineStr">
        <is>
          <t>'813128714069</t>
        </is>
      </c>
      <c r="G3774" s="0" t="inlineStr">
        <is>
          <t>MENS</t>
        </is>
      </c>
      <c r="H3774" s="0" t="inlineStr">
        <is>
          <t>L</t>
        </is>
      </c>
      <c r="I3774" s="0">
        <v>39.99</v>
      </c>
      <c r="J3774" s="0">
        <v>7</v>
      </c>
    </row>
    <row r="3775" spans="1:10" customHeight="0">
      <c r="A3775" s="0">
        <f>HYPERLINK("https://dl.dropboxusercontent.com/scl/fi/az4ufyj1idet8uj65lr6e/ndsuevanston-0111996.jpg?rlkey=6ccpvn7m0p09bsfmwuuw9baac&amp;dl=0","Click to download Image")</f>
      </c>
      <c r="B3775" s="0">
        <f>HYPERLINK("https://dl.dropboxusercontent.com/scl/fi/i2vx4jxakqyodbbziil6e/mens-polo-size-chartsbrent.jpg?rlkey=39vc2b3fxbv03ycjkp4kcasvm&amp;dl=0","Click to download SizeChart")</f>
      </c>
      <c r="C3775" s="0" t="inlineStr">
        <is>
          <t>Evanston Mens Polo</t>
        </is>
      </c>
      <c r="D3775" s="0" t="inlineStr">
        <is>
          <t>'128714</t>
        </is>
      </c>
      <c r="E3775" s="0" t="inlineStr">
        <is>
          <t>NDSU EVANST M BK:128714D-XL</t>
        </is>
      </c>
      <c r="F3775" s="0" t="inlineStr">
        <is>
          <t>'813128714076</t>
        </is>
      </c>
      <c r="G3775" s="0" t="inlineStr">
        <is>
          <t>MENS</t>
        </is>
      </c>
      <c r="H3775" s="0" t="inlineStr">
        <is>
          <t>XL</t>
        </is>
      </c>
      <c r="I3775" s="0">
        <v>39.99</v>
      </c>
      <c r="J3775" s="0">
        <v>8</v>
      </c>
    </row>
    <row r="3776" spans="1:10" customHeight="0">
      <c r="A3776" s="0">
        <f>HYPERLINK("https://dl.dropboxusercontent.com/scl/fi/az4ufyj1idet8uj65lr6e/ndsuevanston-0111996.jpg?rlkey=6ccpvn7m0p09bsfmwuuw9baac&amp;dl=0","Click to download Image")</f>
      </c>
      <c r="B3776" s="0">
        <f>HYPERLINK("https://dl.dropboxusercontent.com/scl/fi/i2vx4jxakqyodbbziil6e/mens-polo-size-chartsbrent.jpg?rlkey=39vc2b3fxbv03ycjkp4kcasvm&amp;dl=0","Click to download SizeChart")</f>
      </c>
      <c r="C3776" s="0" t="inlineStr">
        <is>
          <t>Evanston Mens Polo</t>
        </is>
      </c>
      <c r="D3776" s="0" t="inlineStr">
        <is>
          <t>'128714</t>
        </is>
      </c>
      <c r="E3776" s="0" t="inlineStr">
        <is>
          <t>NDSU EVANST M BK:128714E-2XL</t>
        </is>
      </c>
      <c r="F3776" s="0" t="inlineStr">
        <is>
          <t>'813128714083</t>
        </is>
      </c>
      <c r="G3776" s="0" t="inlineStr">
        <is>
          <t>MENS</t>
        </is>
      </c>
      <c r="H3776" s="0" t="inlineStr">
        <is>
          <t>2XL</t>
        </is>
      </c>
      <c r="I3776" s="0">
        <v>41.99</v>
      </c>
      <c r="J3776" s="0">
        <v>5</v>
      </c>
    </row>
    <row r="3777" spans="1:10" customHeight="0">
      <c r="A3777" s="0">
        <f>HYPERLINK("https://dl.dropboxusercontent.com/scl/fi/az4ufyj1idet8uj65lr6e/ndsuevanston-0111996.jpg?rlkey=6ccpvn7m0p09bsfmwuuw9baac&amp;dl=0","Click to download Image")</f>
      </c>
      <c r="B3777" s="0">
        <f>HYPERLINK("https://dl.dropboxusercontent.com/scl/fi/i2vx4jxakqyodbbziil6e/mens-polo-size-chartsbrent.jpg?rlkey=39vc2b3fxbv03ycjkp4kcasvm&amp;dl=0","Click to download SizeChart")</f>
      </c>
      <c r="C3777" s="0" t="inlineStr">
        <is>
          <t>Evanston Mens Polo</t>
        </is>
      </c>
      <c r="D3777" s="0" t="inlineStr">
        <is>
          <t>'128714</t>
        </is>
      </c>
      <c r="E3777" s="0" t="inlineStr">
        <is>
          <t>NDSU EVANST M BK:128714F-3XL</t>
        </is>
      </c>
      <c r="F3777" s="0" t="inlineStr">
        <is>
          <t>'813128714090</t>
        </is>
      </c>
      <c r="G3777" s="0" t="inlineStr">
        <is>
          <t>MENS</t>
        </is>
      </c>
      <c r="H3777" s="0" t="inlineStr">
        <is>
          <t>3XL</t>
        </is>
      </c>
      <c r="I3777" s="0">
        <v>41.99</v>
      </c>
      <c r="J3777" s="0">
        <v>3</v>
      </c>
    </row>
    <row r="3778" spans="1:10" customHeight="0">
      <c r="A3778" s="0">
        <f>HYPERLINK("https://dl.dropboxusercontent.com/scl/fi/uhln8kod98kpds399fjdo/ia-af.jpg?rlkey=1otiszrozqynoi0g34z3ojtaq&amp;dl=0","Click to download Image")</f>
      </c>
      <c r="B3778" s="0">
        <f>HYPERLINK("https://dl.dropboxusercontent.com/scl/fi/7eqqfhfkzxwbnbxw9foa4/mens-polo-size-chartsbruce.jpg?rlkey=e2vayzos0zzkth50bvlogdjit&amp;dl=0","Click to download SizeChart")</f>
      </c>
      <c r="C3778" s="0" t="inlineStr">
        <is>
          <t>Sherwood Men's Golf Polo</t>
        </is>
      </c>
      <c r="D3778" s="0" t="inlineStr">
        <is>
          <t>'113903</t>
        </is>
      </c>
      <c r="E3778" s="0" t="inlineStr">
        <is>
          <t>IOWA SHERWOOD M BLACK:113903A-S</t>
        </is>
      </c>
      <c r="F3778" s="0" t="inlineStr">
        <is>
          <t>'800113903041</t>
        </is>
      </c>
      <c r="G3778" s="0" t="inlineStr">
        <is>
          <t>MENS</t>
        </is>
      </c>
      <c r="H3778" s="0" t="inlineStr">
        <is>
          <t>S</t>
        </is>
      </c>
      <c r="I3778" s="0">
        <v>40.99</v>
      </c>
      <c r="J3778" s="0">
        <v>12</v>
      </c>
    </row>
    <row r="3779" spans="1:10" customHeight="0">
      <c r="A3779" s="0">
        <f>HYPERLINK("https://dl.dropboxusercontent.com/scl/fi/uhln8kod98kpds399fjdo/ia-af.jpg?rlkey=1otiszrozqynoi0g34z3ojtaq&amp;dl=0","Click to download Image")</f>
      </c>
      <c r="B3779" s="0">
        <f>HYPERLINK("https://dl.dropboxusercontent.com/scl/fi/7eqqfhfkzxwbnbxw9foa4/mens-polo-size-chartsbruce.jpg?rlkey=e2vayzos0zzkth50bvlogdjit&amp;dl=0","Click to download SizeChart")</f>
      </c>
      <c r="C3779" s="0" t="inlineStr">
        <is>
          <t>Sherwood Men's Golf Polo</t>
        </is>
      </c>
      <c r="D3779" s="0" t="inlineStr">
        <is>
          <t>'113903</t>
        </is>
      </c>
      <c r="E3779" s="0" t="inlineStr">
        <is>
          <t>IOWA SHERWOOD M BLACK:113903B-M</t>
        </is>
      </c>
      <c r="F3779" s="0" t="inlineStr">
        <is>
          <t>'800113903058</t>
        </is>
      </c>
      <c r="G3779" s="0" t="inlineStr">
        <is>
          <t>MENS</t>
        </is>
      </c>
      <c r="H3779" s="0" t="inlineStr">
        <is>
          <t>M</t>
        </is>
      </c>
      <c r="I3779" s="0">
        <v>40.99</v>
      </c>
      <c r="J3779" s="0">
        <v>18</v>
      </c>
    </row>
    <row r="3780" spans="1:10" customHeight="0">
      <c r="A3780" s="0">
        <f>HYPERLINK("https://dl.dropboxusercontent.com/scl/fi/uhln8kod98kpds399fjdo/ia-af.jpg?rlkey=1otiszrozqynoi0g34z3ojtaq&amp;dl=0","Click to download Image")</f>
      </c>
      <c r="B3780" s="0">
        <f>HYPERLINK("https://dl.dropboxusercontent.com/scl/fi/7eqqfhfkzxwbnbxw9foa4/mens-polo-size-chartsbruce.jpg?rlkey=e2vayzos0zzkth50bvlogdjit&amp;dl=0","Click to download SizeChart")</f>
      </c>
      <c r="C3780" s="0" t="inlineStr">
        <is>
          <t>Sherwood Men's Golf Polo</t>
        </is>
      </c>
      <c r="D3780" s="0" t="inlineStr">
        <is>
          <t>'113903</t>
        </is>
      </c>
      <c r="E3780" s="0" t="inlineStr">
        <is>
          <t>IOWA SHERWOOD M BLACK:113903C-L</t>
        </is>
      </c>
      <c r="F3780" s="0" t="inlineStr">
        <is>
          <t>'800113903065</t>
        </is>
      </c>
      <c r="G3780" s="0" t="inlineStr">
        <is>
          <t>MENS</t>
        </is>
      </c>
      <c r="H3780" s="0" t="inlineStr">
        <is>
          <t>L</t>
        </is>
      </c>
      <c r="I3780" s="0">
        <v>40.99</v>
      </c>
      <c r="J3780" s="0">
        <v>13</v>
      </c>
    </row>
    <row r="3781" spans="1:10" customHeight="0">
      <c r="A3781" s="0">
        <f>HYPERLINK("https://dl.dropboxusercontent.com/scl/fi/uhln8kod98kpds399fjdo/ia-af.jpg?rlkey=1otiszrozqynoi0g34z3ojtaq&amp;dl=0","Click to download Image")</f>
      </c>
      <c r="B3781" s="0">
        <f>HYPERLINK("https://dl.dropboxusercontent.com/scl/fi/7eqqfhfkzxwbnbxw9foa4/mens-polo-size-chartsbruce.jpg?rlkey=e2vayzos0zzkth50bvlogdjit&amp;dl=0","Click to download SizeChart")</f>
      </c>
      <c r="C3781" s="0" t="inlineStr">
        <is>
          <t>Sherwood Men's Golf Polo</t>
        </is>
      </c>
      <c r="D3781" s="0" t="inlineStr">
        <is>
          <t>'113903</t>
        </is>
      </c>
      <c r="E3781" s="0" t="inlineStr">
        <is>
          <t>IOWA SHERWOOD M BLACK:113903D-XL</t>
        </is>
      </c>
      <c r="F3781" s="0" t="inlineStr">
        <is>
          <t>'800113903072</t>
        </is>
      </c>
      <c r="G3781" s="0" t="inlineStr">
        <is>
          <t>MENS</t>
        </is>
      </c>
      <c r="H3781" s="0" t="inlineStr">
        <is>
          <t>XL</t>
        </is>
      </c>
      <c r="I3781" s="0">
        <v>40.99</v>
      </c>
      <c r="J3781" s="0">
        <v>0</v>
      </c>
    </row>
    <row r="3782" spans="1:10" customHeight="0">
      <c r="A3782" s="0">
        <f>HYPERLINK("https://dl.dropboxusercontent.com/scl/fi/uhln8kod98kpds399fjdo/ia-af.jpg?rlkey=1otiszrozqynoi0g34z3ojtaq&amp;dl=0","Click to download Image")</f>
      </c>
      <c r="B3782" s="0">
        <f>HYPERLINK("https://dl.dropboxusercontent.com/scl/fi/7eqqfhfkzxwbnbxw9foa4/mens-polo-size-chartsbruce.jpg?rlkey=e2vayzos0zzkth50bvlogdjit&amp;dl=0","Click to download SizeChart")</f>
      </c>
      <c r="C3782" s="0" t="inlineStr">
        <is>
          <t>Sherwood Men's Golf Polo</t>
        </is>
      </c>
      <c r="D3782" s="0" t="inlineStr">
        <is>
          <t>'113903</t>
        </is>
      </c>
      <c r="E3782" s="0" t="inlineStr">
        <is>
          <t>IOWA SHERWOOD M BLACK:113903E-2XL</t>
        </is>
      </c>
      <c r="F3782" s="0" t="inlineStr">
        <is>
          <t>'800113903089</t>
        </is>
      </c>
      <c r="G3782" s="0" t="inlineStr">
        <is>
          <t>MENS</t>
        </is>
      </c>
      <c r="H3782" s="0" t="inlineStr">
        <is>
          <t>2XL</t>
        </is>
      </c>
      <c r="I3782" s="0">
        <v>42.99</v>
      </c>
      <c r="J3782" s="0">
        <v>8</v>
      </c>
    </row>
    <row r="3783" spans="1:10" customHeight="0">
      <c r="A3783" s="0">
        <f>HYPERLINK("https://dl.dropboxusercontent.com/scl/fi/uhln8kod98kpds399fjdo/ia-af.jpg?rlkey=1otiszrozqynoi0g34z3ojtaq&amp;dl=0","Click to download Image")</f>
      </c>
      <c r="B3783" s="0">
        <f>HYPERLINK("https://dl.dropboxusercontent.com/scl/fi/7eqqfhfkzxwbnbxw9foa4/mens-polo-size-chartsbruce.jpg?rlkey=e2vayzos0zzkth50bvlogdjit&amp;dl=0","Click to download SizeChart")</f>
      </c>
      <c r="C3783" s="0" t="inlineStr">
        <is>
          <t>Sherwood Men's Golf Polo</t>
        </is>
      </c>
      <c r="D3783" s="0" t="inlineStr">
        <is>
          <t>'113903</t>
        </is>
      </c>
      <c r="E3783" s="0" t="inlineStr">
        <is>
          <t>IOWA SHERWOOD M BLACK:113903F-3XL</t>
        </is>
      </c>
      <c r="F3783" s="0" t="inlineStr">
        <is>
          <t>'800113903096</t>
        </is>
      </c>
      <c r="G3783" s="0" t="inlineStr">
        <is>
          <t>MENS</t>
        </is>
      </c>
      <c r="H3783" s="0" t="inlineStr">
        <is>
          <t>3XL</t>
        </is>
      </c>
      <c r="I3783" s="0">
        <v>42.99</v>
      </c>
      <c r="J3783" s="0">
        <v>3</v>
      </c>
    </row>
    <row r="3784" spans="1:10" customHeight="0">
      <c r="A3784" s="0">
        <f>HYPERLINK("https://dl.dropboxusercontent.com/scl/fi/uhln8kod98kpds399fjdo/ia-af.jpg?rlkey=1otiszrozqynoi0g34z3ojtaq&amp;dl=0","Click to download Image")</f>
      </c>
      <c r="B3784" s="0">
        <f>HYPERLINK("https://dl.dropboxusercontent.com/scl/fi/7eqqfhfkzxwbnbxw9foa4/mens-polo-size-chartsbruce.jpg?rlkey=e2vayzos0zzkth50bvlogdjit&amp;dl=0","Click to download SizeChart")</f>
      </c>
      <c r="C3784" s="0" t="inlineStr">
        <is>
          <t>Sherwood Men's Golf Polo</t>
        </is>
      </c>
      <c r="D3784" s="0" t="inlineStr">
        <is>
          <t>'113903</t>
        </is>
      </c>
      <c r="E3784" s="0" t="inlineStr">
        <is>
          <t>IOWA SHERWOOD M BLACK 12 PACK:113903Z-12PK</t>
        </is>
      </c>
      <c r="F3784" s="0" t="inlineStr">
        <is>
          <t>'800113903997</t>
        </is>
      </c>
      <c r="G3784" s="0" t="inlineStr">
        <is>
          <t>MENS</t>
        </is>
      </c>
      <c r="H3784" s="0" t="inlineStr">
        <is>
          <t>12 PACK</t>
        </is>
      </c>
      <c r="I3784" s="0">
        <v>393.6</v>
      </c>
      <c r="J3784" s="0">
        <v>0</v>
      </c>
    </row>
    <row r="3785" spans="1:10" customHeight="0">
      <c r="A3785" s="0">
        <f>HYPERLINK("https://dl.dropboxusercontent.com/scl/fi/96w6tl8hwayuorkuixv31/purdue-af.jpg?rlkey=2ufd42hhcopl9878o3molk8xl&amp;dl=0","Click to download Image")</f>
      </c>
      <c r="B3785" s="0">
        <f>HYPERLINK("https://dl.dropboxusercontent.com/scl/fi/7eqqfhfkzxwbnbxw9foa4/mens-polo-size-chartsbruce.jpg?rlkey=e2vayzos0zzkth50bvlogdjit&amp;dl=0","Click to download SizeChart")</f>
      </c>
      <c r="C3785" s="0" t="inlineStr">
        <is>
          <t>Sherwood Men's Golf Polo</t>
        </is>
      </c>
      <c r="D3785" s="0" t="inlineStr">
        <is>
          <t>'113976</t>
        </is>
      </c>
      <c r="E3785" s="0" t="inlineStr">
        <is>
          <t>PURDUE SHERWOOD M BLACK:113976A-S</t>
        </is>
      </c>
      <c r="F3785" s="0" t="inlineStr">
        <is>
          <t>'804113976043</t>
        </is>
      </c>
      <c r="G3785" s="0" t="inlineStr">
        <is>
          <t>MENS</t>
        </is>
      </c>
      <c r="H3785" s="0" t="inlineStr">
        <is>
          <t>S</t>
        </is>
      </c>
      <c r="I3785" s="0">
        <v>40.99</v>
      </c>
      <c r="J3785" s="0">
        <v>4</v>
      </c>
    </row>
    <row r="3786" spans="1:10" customHeight="0">
      <c r="A3786" s="0">
        <f>HYPERLINK("https://dl.dropboxusercontent.com/scl/fi/96w6tl8hwayuorkuixv31/purdue-af.jpg?rlkey=2ufd42hhcopl9878o3molk8xl&amp;dl=0","Click to download Image")</f>
      </c>
      <c r="B3786" s="0">
        <f>HYPERLINK("https://dl.dropboxusercontent.com/scl/fi/7eqqfhfkzxwbnbxw9foa4/mens-polo-size-chartsbruce.jpg?rlkey=e2vayzos0zzkth50bvlogdjit&amp;dl=0","Click to download SizeChart")</f>
      </c>
      <c r="C3786" s="0" t="inlineStr">
        <is>
          <t>Sherwood Men's Golf Polo</t>
        </is>
      </c>
      <c r="D3786" s="0" t="inlineStr">
        <is>
          <t>'113976</t>
        </is>
      </c>
      <c r="E3786" s="0" t="inlineStr">
        <is>
          <t>PURDUE SHERWOOD M BLACK:113976B-M</t>
        </is>
      </c>
      <c r="F3786" s="0" t="inlineStr">
        <is>
          <t>'804113976050</t>
        </is>
      </c>
      <c r="G3786" s="0" t="inlineStr">
        <is>
          <t>MENS</t>
        </is>
      </c>
      <c r="H3786" s="0" t="inlineStr">
        <is>
          <t>M</t>
        </is>
      </c>
      <c r="I3786" s="0">
        <v>40.99</v>
      </c>
      <c r="J3786" s="0">
        <v>7</v>
      </c>
    </row>
    <row r="3787" spans="1:10" customHeight="0">
      <c r="A3787" s="0">
        <f>HYPERLINK("https://dl.dropboxusercontent.com/scl/fi/96w6tl8hwayuorkuixv31/purdue-af.jpg?rlkey=2ufd42hhcopl9878o3molk8xl&amp;dl=0","Click to download Image")</f>
      </c>
      <c r="B3787" s="0">
        <f>HYPERLINK("https://dl.dropboxusercontent.com/scl/fi/7eqqfhfkzxwbnbxw9foa4/mens-polo-size-chartsbruce.jpg?rlkey=e2vayzos0zzkth50bvlogdjit&amp;dl=0","Click to download SizeChart")</f>
      </c>
      <c r="C3787" s="0" t="inlineStr">
        <is>
          <t>Sherwood Men's Golf Polo</t>
        </is>
      </c>
      <c r="D3787" s="0" t="inlineStr">
        <is>
          <t>'113976</t>
        </is>
      </c>
      <c r="E3787" s="0" t="inlineStr">
        <is>
          <t>PURDUE SHERWOOD M BLACK:113976C-L</t>
        </is>
      </c>
      <c r="F3787" s="0" t="inlineStr">
        <is>
          <t>'804113976067</t>
        </is>
      </c>
      <c r="G3787" s="0" t="inlineStr">
        <is>
          <t>MENS</t>
        </is>
      </c>
      <c r="H3787" s="0" t="inlineStr">
        <is>
          <t>L</t>
        </is>
      </c>
      <c r="I3787" s="0">
        <v>40.99</v>
      </c>
      <c r="J3787" s="0">
        <v>11</v>
      </c>
    </row>
    <row r="3788" spans="1:10" customHeight="0">
      <c r="A3788" s="0">
        <f>HYPERLINK("https://dl.dropboxusercontent.com/scl/fi/96w6tl8hwayuorkuixv31/purdue-af.jpg?rlkey=2ufd42hhcopl9878o3molk8xl&amp;dl=0","Click to download Image")</f>
      </c>
      <c r="B3788" s="0">
        <f>HYPERLINK("https://dl.dropboxusercontent.com/scl/fi/7eqqfhfkzxwbnbxw9foa4/mens-polo-size-chartsbruce.jpg?rlkey=e2vayzos0zzkth50bvlogdjit&amp;dl=0","Click to download SizeChart")</f>
      </c>
      <c r="C3788" s="0" t="inlineStr">
        <is>
          <t>Sherwood Men's Golf Polo</t>
        </is>
      </c>
      <c r="D3788" s="0" t="inlineStr">
        <is>
          <t>'113976</t>
        </is>
      </c>
      <c r="E3788" s="0" t="inlineStr">
        <is>
          <t>PURDUE SHERWOOD M BLACK:113976D-XL</t>
        </is>
      </c>
      <c r="F3788" s="0" t="inlineStr">
        <is>
          <t>'804113976074</t>
        </is>
      </c>
      <c r="G3788" s="0" t="inlineStr">
        <is>
          <t>MENS</t>
        </is>
      </c>
      <c r="H3788" s="0" t="inlineStr">
        <is>
          <t>XL</t>
        </is>
      </c>
      <c r="I3788" s="0">
        <v>40.99</v>
      </c>
      <c r="J3788" s="0">
        <v>11</v>
      </c>
    </row>
    <row r="3789" spans="1:10" customHeight="0">
      <c r="A3789" s="0">
        <f>HYPERLINK("https://dl.dropboxusercontent.com/scl/fi/96w6tl8hwayuorkuixv31/purdue-af.jpg?rlkey=2ufd42hhcopl9878o3molk8xl&amp;dl=0","Click to download Image")</f>
      </c>
      <c r="B3789" s="0">
        <f>HYPERLINK("https://dl.dropboxusercontent.com/scl/fi/7eqqfhfkzxwbnbxw9foa4/mens-polo-size-chartsbruce.jpg?rlkey=e2vayzos0zzkth50bvlogdjit&amp;dl=0","Click to download SizeChart")</f>
      </c>
      <c r="C3789" s="0" t="inlineStr">
        <is>
          <t>Sherwood Men's Golf Polo</t>
        </is>
      </c>
      <c r="D3789" s="0" t="inlineStr">
        <is>
          <t>'113976</t>
        </is>
      </c>
      <c r="E3789" s="0" t="inlineStr">
        <is>
          <t>PURDUE SHERWOOD M BLACK:113976E-2XL</t>
        </is>
      </c>
      <c r="F3789" s="0" t="inlineStr">
        <is>
          <t>'804113976081</t>
        </is>
      </c>
      <c r="G3789" s="0" t="inlineStr">
        <is>
          <t>MENS</t>
        </is>
      </c>
      <c r="H3789" s="0" t="inlineStr">
        <is>
          <t>2XL</t>
        </is>
      </c>
      <c r="I3789" s="0">
        <v>42.99</v>
      </c>
      <c r="J3789" s="0">
        <v>0</v>
      </c>
    </row>
    <row r="3790" spans="1:10" customHeight="0">
      <c r="A3790" s="0">
        <f>HYPERLINK("https://dl.dropboxusercontent.com/scl/fi/96w6tl8hwayuorkuixv31/purdue-af.jpg?rlkey=2ufd42hhcopl9878o3molk8xl&amp;dl=0","Click to download Image")</f>
      </c>
      <c r="B3790" s="0">
        <f>HYPERLINK("https://dl.dropboxusercontent.com/scl/fi/7eqqfhfkzxwbnbxw9foa4/mens-polo-size-chartsbruce.jpg?rlkey=e2vayzos0zzkth50bvlogdjit&amp;dl=0","Click to download SizeChart")</f>
      </c>
      <c r="C3790" s="0" t="inlineStr">
        <is>
          <t>Sherwood Men's Golf Polo</t>
        </is>
      </c>
      <c r="D3790" s="0" t="inlineStr">
        <is>
          <t>'113976</t>
        </is>
      </c>
      <c r="E3790" s="0" t="inlineStr">
        <is>
          <t>PURDUE SHERWOOD M BLACK:113976F-3XL</t>
        </is>
      </c>
      <c r="F3790" s="0" t="inlineStr">
        <is>
          <t>'804113976098</t>
        </is>
      </c>
      <c r="G3790" s="0" t="inlineStr">
        <is>
          <t>MENS</t>
        </is>
      </c>
      <c r="H3790" s="0" t="inlineStr">
        <is>
          <t>3XL</t>
        </is>
      </c>
      <c r="I3790" s="0">
        <v>42.99</v>
      </c>
      <c r="J3790" s="0">
        <v>3</v>
      </c>
    </row>
    <row r="3791" spans="1:10" customHeight="0">
      <c r="A3791" s="0">
        <f>HYPERLINK("https://dl.dropboxusercontent.com/scl/fi/96w6tl8hwayuorkuixv31/purdue-af.jpg?rlkey=2ufd42hhcopl9878o3molk8xl&amp;dl=0","Click to download Image")</f>
      </c>
      <c r="B3791" s="0">
        <f>HYPERLINK("https://dl.dropboxusercontent.com/scl/fi/7eqqfhfkzxwbnbxw9foa4/mens-polo-size-chartsbruce.jpg?rlkey=e2vayzos0zzkth50bvlogdjit&amp;dl=0","Click to download SizeChart")</f>
      </c>
      <c r="C3791" s="0" t="inlineStr">
        <is>
          <t>Sherwood Men's Golf Polo</t>
        </is>
      </c>
      <c r="D3791" s="0" t="inlineStr">
        <is>
          <t>'113976</t>
        </is>
      </c>
      <c r="E3791" s="0" t="inlineStr">
        <is>
          <t>PURDUE SHERWOOD M BLACK 12 PACK:113976Z-12PK</t>
        </is>
      </c>
      <c r="F3791" s="0" t="inlineStr">
        <is>
          <t>'804113976999</t>
        </is>
      </c>
      <c r="G3791" s="0" t="inlineStr">
        <is>
          <t>MENS</t>
        </is>
      </c>
      <c r="H3791" s="0" t="inlineStr">
        <is>
          <t>12 PACK</t>
        </is>
      </c>
      <c r="I3791" s="0">
        <v>393.6</v>
      </c>
      <c r="J3791" s="0">
        <v>0</v>
      </c>
    </row>
    <row r="3792" spans="1:10" customHeight="0">
      <c r="A3792" s="0">
        <f>HYPERLINK("https://dl.dropboxusercontent.com/scl/fi/iun1nmgfjeuerluo7aefm/ku-af.jpg?rlkey=j61nvsg5zegb4cb9vtmlvaxhp&amp;dl=0","Click to download Image")</f>
      </c>
      <c r="B3792" s="0">
        <f>HYPERLINK("https://dl.dropboxusercontent.com/scl/fi/7eqqfhfkzxwbnbxw9foa4/mens-polo-size-chartsbruce.jpg?rlkey=e2vayzos0zzkth50bvlogdjit&amp;dl=0","Click to download SizeChart")</f>
      </c>
      <c r="C3792" s="0" t="inlineStr">
        <is>
          <t>Sherwood Men's Golf Polo</t>
        </is>
      </c>
      <c r="D3792" s="0" t="inlineStr">
        <is>
          <t>'113975</t>
        </is>
      </c>
      <c r="E3792" s="0" t="inlineStr">
        <is>
          <t>KSU SHERWOOD M PURPLE:113975A-S</t>
        </is>
      </c>
      <c r="F3792" s="0" t="inlineStr">
        <is>
          <t>'805113975043</t>
        </is>
      </c>
      <c r="G3792" s="0" t="inlineStr">
        <is>
          <t>MENS</t>
        </is>
      </c>
      <c r="H3792" s="0" t="inlineStr">
        <is>
          <t>S</t>
        </is>
      </c>
      <c r="I3792" s="0">
        <v>40.99</v>
      </c>
      <c r="J3792" s="0">
        <v>5</v>
      </c>
    </row>
    <row r="3793" spans="1:10" customHeight="0">
      <c r="A3793" s="0">
        <f>HYPERLINK("https://dl.dropboxusercontent.com/scl/fi/iun1nmgfjeuerluo7aefm/ku-af.jpg?rlkey=j61nvsg5zegb4cb9vtmlvaxhp&amp;dl=0","Click to download Image")</f>
      </c>
      <c r="B3793" s="0">
        <f>HYPERLINK("https://dl.dropboxusercontent.com/scl/fi/7eqqfhfkzxwbnbxw9foa4/mens-polo-size-chartsbruce.jpg?rlkey=e2vayzos0zzkth50bvlogdjit&amp;dl=0","Click to download SizeChart")</f>
      </c>
      <c r="C3793" s="0" t="inlineStr">
        <is>
          <t>Sherwood Men's Golf Polo</t>
        </is>
      </c>
      <c r="D3793" s="0" t="inlineStr">
        <is>
          <t>'113975</t>
        </is>
      </c>
      <c r="E3793" s="0" t="inlineStr">
        <is>
          <t>KSU SHERWOOD M PURPLE:113975B-M</t>
        </is>
      </c>
      <c r="F3793" s="0" t="inlineStr">
        <is>
          <t>'805113975050</t>
        </is>
      </c>
      <c r="G3793" s="0" t="inlineStr">
        <is>
          <t>MENS</t>
        </is>
      </c>
      <c r="H3793" s="0" t="inlineStr">
        <is>
          <t>M</t>
        </is>
      </c>
      <c r="I3793" s="0">
        <v>40.99</v>
      </c>
      <c r="J3793" s="0">
        <v>10</v>
      </c>
    </row>
    <row r="3794" spans="1:10" customHeight="0">
      <c r="A3794" s="0">
        <f>HYPERLINK("https://dl.dropboxusercontent.com/scl/fi/iun1nmgfjeuerluo7aefm/ku-af.jpg?rlkey=j61nvsg5zegb4cb9vtmlvaxhp&amp;dl=0","Click to download Image")</f>
      </c>
      <c r="B3794" s="0">
        <f>HYPERLINK("https://dl.dropboxusercontent.com/scl/fi/7eqqfhfkzxwbnbxw9foa4/mens-polo-size-chartsbruce.jpg?rlkey=e2vayzos0zzkth50bvlogdjit&amp;dl=0","Click to download SizeChart")</f>
      </c>
      <c r="C3794" s="0" t="inlineStr">
        <is>
          <t>Sherwood Men's Golf Polo</t>
        </is>
      </c>
      <c r="D3794" s="0" t="inlineStr">
        <is>
          <t>'113975</t>
        </is>
      </c>
      <c r="E3794" s="0" t="inlineStr">
        <is>
          <t>KSU SHERWOOD M PURPLE:113975C-L</t>
        </is>
      </c>
      <c r="F3794" s="0" t="inlineStr">
        <is>
          <t>'805113975067</t>
        </is>
      </c>
      <c r="G3794" s="0" t="inlineStr">
        <is>
          <t>MENS</t>
        </is>
      </c>
      <c r="H3794" s="0" t="inlineStr">
        <is>
          <t>L</t>
        </is>
      </c>
      <c r="I3794" s="0">
        <v>40.99</v>
      </c>
      <c r="J3794" s="0">
        <v>10</v>
      </c>
    </row>
    <row r="3795" spans="1:10" customHeight="0">
      <c r="A3795" s="0">
        <f>HYPERLINK("https://dl.dropboxusercontent.com/scl/fi/iun1nmgfjeuerluo7aefm/ku-af.jpg?rlkey=j61nvsg5zegb4cb9vtmlvaxhp&amp;dl=0","Click to download Image")</f>
      </c>
      <c r="B3795" s="0">
        <f>HYPERLINK("https://dl.dropboxusercontent.com/scl/fi/7eqqfhfkzxwbnbxw9foa4/mens-polo-size-chartsbruce.jpg?rlkey=e2vayzos0zzkth50bvlogdjit&amp;dl=0","Click to download SizeChart")</f>
      </c>
      <c r="C3795" s="0" t="inlineStr">
        <is>
          <t>Sherwood Men's Golf Polo</t>
        </is>
      </c>
      <c r="D3795" s="0" t="inlineStr">
        <is>
          <t>'113975</t>
        </is>
      </c>
      <c r="E3795" s="0" t="inlineStr">
        <is>
          <t>KSU SHERWOOD M PURPLE:113975D-XL</t>
        </is>
      </c>
      <c r="F3795" s="0" t="inlineStr">
        <is>
          <t>'805113975074</t>
        </is>
      </c>
      <c r="G3795" s="0" t="inlineStr">
        <is>
          <t>MENS</t>
        </is>
      </c>
      <c r="H3795" s="0" t="inlineStr">
        <is>
          <t>XL</t>
        </is>
      </c>
      <c r="I3795" s="0">
        <v>40.99</v>
      </c>
      <c r="J3795" s="0">
        <v>10</v>
      </c>
    </row>
    <row r="3796" spans="1:10" customHeight="0">
      <c r="A3796" s="0">
        <f>HYPERLINK("https://dl.dropboxusercontent.com/scl/fi/iun1nmgfjeuerluo7aefm/ku-af.jpg?rlkey=j61nvsg5zegb4cb9vtmlvaxhp&amp;dl=0","Click to download Image")</f>
      </c>
      <c r="B3796" s="0">
        <f>HYPERLINK("https://dl.dropboxusercontent.com/scl/fi/7eqqfhfkzxwbnbxw9foa4/mens-polo-size-chartsbruce.jpg?rlkey=e2vayzos0zzkth50bvlogdjit&amp;dl=0","Click to download SizeChart")</f>
      </c>
      <c r="C3796" s="0" t="inlineStr">
        <is>
          <t>Sherwood Men's Golf Polo</t>
        </is>
      </c>
      <c r="D3796" s="0" t="inlineStr">
        <is>
          <t>'113975</t>
        </is>
      </c>
      <c r="E3796" s="0" t="inlineStr">
        <is>
          <t>KSU SHERWOOD M PURPLE:113975E-2XL</t>
        </is>
      </c>
      <c r="F3796" s="0" t="inlineStr">
        <is>
          <t>'805113975081</t>
        </is>
      </c>
      <c r="G3796" s="0" t="inlineStr">
        <is>
          <t>MENS</t>
        </is>
      </c>
      <c r="H3796" s="0" t="inlineStr">
        <is>
          <t>2XL</t>
        </is>
      </c>
      <c r="I3796" s="0">
        <v>42.99</v>
      </c>
      <c r="J3796" s="0">
        <v>6</v>
      </c>
    </row>
    <row r="3797" spans="1:10" customHeight="0">
      <c r="A3797" s="0">
        <f>HYPERLINK("https://dl.dropboxusercontent.com/scl/fi/iun1nmgfjeuerluo7aefm/ku-af.jpg?rlkey=j61nvsg5zegb4cb9vtmlvaxhp&amp;dl=0","Click to download Image")</f>
      </c>
      <c r="B3797" s="0">
        <f>HYPERLINK("https://dl.dropboxusercontent.com/scl/fi/7eqqfhfkzxwbnbxw9foa4/mens-polo-size-chartsbruce.jpg?rlkey=e2vayzos0zzkth50bvlogdjit&amp;dl=0","Click to download SizeChart")</f>
      </c>
      <c r="C3797" s="0" t="inlineStr">
        <is>
          <t>Sherwood Men's Golf Polo</t>
        </is>
      </c>
      <c r="D3797" s="0" t="inlineStr">
        <is>
          <t>'113975</t>
        </is>
      </c>
      <c r="E3797" s="0" t="inlineStr">
        <is>
          <t>KSU SHERWOOD M PURPLE:113975F-3XL</t>
        </is>
      </c>
      <c r="F3797" s="0" t="inlineStr">
        <is>
          <t>'805113975098</t>
        </is>
      </c>
      <c r="G3797" s="0" t="inlineStr">
        <is>
          <t>MENS</t>
        </is>
      </c>
      <c r="H3797" s="0" t="inlineStr">
        <is>
          <t>3XL</t>
        </is>
      </c>
      <c r="I3797" s="0">
        <v>42.99</v>
      </c>
      <c r="J3797" s="0">
        <v>1</v>
      </c>
    </row>
    <row r="3798" spans="1:10" customHeight="0">
      <c r="A3798" s="0">
        <f>HYPERLINK("https://dl.dropboxusercontent.com/scl/fi/iun1nmgfjeuerluo7aefm/ku-af.jpg?rlkey=j61nvsg5zegb4cb9vtmlvaxhp&amp;dl=0","Click to download Image")</f>
      </c>
      <c r="B3798" s="0">
        <f>HYPERLINK("https://dl.dropboxusercontent.com/scl/fi/7eqqfhfkzxwbnbxw9foa4/mens-polo-size-chartsbruce.jpg?rlkey=e2vayzos0zzkth50bvlogdjit&amp;dl=0","Click to download SizeChart")</f>
      </c>
      <c r="C3798" s="0" t="inlineStr">
        <is>
          <t>Sherwood Men's Golf Polo</t>
        </is>
      </c>
      <c r="D3798" s="0" t="inlineStr">
        <is>
          <t>'113975</t>
        </is>
      </c>
      <c r="E3798" s="0" t="inlineStr">
        <is>
          <t>KSU SHERWOOD M PURPLE 12 PACK:113975Z-12PK</t>
        </is>
      </c>
      <c r="F3798" s="0" t="inlineStr">
        <is>
          <t>'805113975999</t>
        </is>
      </c>
      <c r="G3798" s="0" t="inlineStr">
        <is>
          <t>MENS</t>
        </is>
      </c>
      <c r="H3798" s="0" t="inlineStr">
        <is>
          <t>12 PACK</t>
        </is>
      </c>
      <c r="I3798" s="0">
        <v>393.6</v>
      </c>
      <c r="J3798" s="0">
        <v>0</v>
      </c>
    </row>
    <row r="3799" spans="1:10" customHeight="0">
      <c r="A3799" s="0">
        <f>HYPERLINK("https://dl.dropboxusercontent.com/scl/fi/2w9mn7l8ukj9db4xt4any/screenshot-2025-04-03-at-1.38.47pm.png?rlkey=5kvf61ay3fymqvoqdd3zdwzhu&amp;dl=0","Click to download Image")</f>
      </c>
      <c r="B3799" s="0">
        <f>HYPERLINK("https://dl.dropboxusercontent.com/scl/fi/7eqqfhfkzxwbnbxw9foa4/mens-polo-size-chartsbruce.jpg?rlkey=e2vayzos0zzkth50bvlogdjit&amp;dl=0","Click to download SizeChart")</f>
      </c>
      <c r="C3799" s="0" t="inlineStr">
        <is>
          <t>Sherwood Men's Golf Polo</t>
        </is>
      </c>
      <c r="D3799" s="0" t="inlineStr">
        <is>
          <t>'113974</t>
        </is>
      </c>
      <c r="E3799" s="0" t="inlineStr">
        <is>
          <t>MU SHERWOOD M BLACK:113974A-S</t>
        </is>
      </c>
      <c r="F3799" s="0" t="inlineStr">
        <is>
          <t>'803113974042</t>
        </is>
      </c>
      <c r="G3799" s="0" t="inlineStr">
        <is>
          <t>MENS</t>
        </is>
      </c>
      <c r="H3799" s="0" t="inlineStr">
        <is>
          <t>S</t>
        </is>
      </c>
      <c r="I3799" s="0">
        <v>40.99</v>
      </c>
      <c r="J3799" s="0">
        <v>3</v>
      </c>
    </row>
    <row r="3800" spans="1:10" customHeight="0">
      <c r="A3800" s="0">
        <f>HYPERLINK("https://dl.dropboxusercontent.com/scl/fi/2w9mn7l8ukj9db4xt4any/screenshot-2025-04-03-at-1.38.47pm.png?rlkey=5kvf61ay3fymqvoqdd3zdwzhu&amp;dl=0","Click to download Image")</f>
      </c>
      <c r="B3800" s="0">
        <f>HYPERLINK("https://dl.dropboxusercontent.com/scl/fi/7eqqfhfkzxwbnbxw9foa4/mens-polo-size-chartsbruce.jpg?rlkey=e2vayzos0zzkth50bvlogdjit&amp;dl=0","Click to download SizeChart")</f>
      </c>
      <c r="C3800" s="0" t="inlineStr">
        <is>
          <t>Sherwood Men's Golf Polo</t>
        </is>
      </c>
      <c r="D3800" s="0" t="inlineStr">
        <is>
          <t>'113974</t>
        </is>
      </c>
      <c r="E3800" s="0" t="inlineStr">
        <is>
          <t>MU SHERWOOD M BLACK:113974B-M</t>
        </is>
      </c>
      <c r="F3800" s="0" t="inlineStr">
        <is>
          <t>'803113974059</t>
        </is>
      </c>
      <c r="G3800" s="0" t="inlineStr">
        <is>
          <t>MENS</t>
        </is>
      </c>
      <c r="H3800" s="0" t="inlineStr">
        <is>
          <t>M</t>
        </is>
      </c>
      <c r="I3800" s="0">
        <v>40.99</v>
      </c>
      <c r="J3800" s="0">
        <v>0</v>
      </c>
    </row>
    <row r="3801" spans="1:10" customHeight="0">
      <c r="A3801" s="0">
        <f>HYPERLINK("https://dl.dropboxusercontent.com/scl/fi/2w9mn7l8ukj9db4xt4any/screenshot-2025-04-03-at-1.38.47pm.png?rlkey=5kvf61ay3fymqvoqdd3zdwzhu&amp;dl=0","Click to download Image")</f>
      </c>
      <c r="B3801" s="0">
        <f>HYPERLINK("https://dl.dropboxusercontent.com/scl/fi/7eqqfhfkzxwbnbxw9foa4/mens-polo-size-chartsbruce.jpg?rlkey=e2vayzos0zzkth50bvlogdjit&amp;dl=0","Click to download SizeChart")</f>
      </c>
      <c r="C3801" s="0" t="inlineStr">
        <is>
          <t>Sherwood Men's Golf Polo</t>
        </is>
      </c>
      <c r="D3801" s="0" t="inlineStr">
        <is>
          <t>'113974</t>
        </is>
      </c>
      <c r="E3801" s="0" t="inlineStr">
        <is>
          <t>MU SHERWOOD M BLACK:113974C-L</t>
        </is>
      </c>
      <c r="F3801" s="0" t="inlineStr">
        <is>
          <t>'803113974066</t>
        </is>
      </c>
      <c r="G3801" s="0" t="inlineStr">
        <is>
          <t>MENS</t>
        </is>
      </c>
      <c r="H3801" s="0" t="inlineStr">
        <is>
          <t>L</t>
        </is>
      </c>
      <c r="I3801" s="0">
        <v>40.99</v>
      </c>
      <c r="J3801" s="0">
        <v>0</v>
      </c>
    </row>
    <row r="3802" spans="1:10" customHeight="0">
      <c r="A3802" s="0">
        <f>HYPERLINK("https://dl.dropboxusercontent.com/scl/fi/2w9mn7l8ukj9db4xt4any/screenshot-2025-04-03-at-1.38.47pm.png?rlkey=5kvf61ay3fymqvoqdd3zdwzhu&amp;dl=0","Click to download Image")</f>
      </c>
      <c r="B3802" s="0">
        <f>HYPERLINK("https://dl.dropboxusercontent.com/scl/fi/7eqqfhfkzxwbnbxw9foa4/mens-polo-size-chartsbruce.jpg?rlkey=e2vayzos0zzkth50bvlogdjit&amp;dl=0","Click to download SizeChart")</f>
      </c>
      <c r="C3802" s="0" t="inlineStr">
        <is>
          <t>Sherwood Men's Golf Polo</t>
        </is>
      </c>
      <c r="D3802" s="0" t="inlineStr">
        <is>
          <t>'113974</t>
        </is>
      </c>
      <c r="E3802" s="0" t="inlineStr">
        <is>
          <t>MU SHERWOOD M BLACK:113974D-XL</t>
        </is>
      </c>
      <c r="F3802" s="0" t="inlineStr">
        <is>
          <t>'803113974073</t>
        </is>
      </c>
      <c r="G3802" s="0" t="inlineStr">
        <is>
          <t>MENS</t>
        </is>
      </c>
      <c r="H3802" s="0" t="inlineStr">
        <is>
          <t>XL</t>
        </is>
      </c>
      <c r="I3802" s="0">
        <v>40.99</v>
      </c>
      <c r="J3802" s="0">
        <v>0</v>
      </c>
    </row>
    <row r="3803" spans="1:10" customHeight="0">
      <c r="A3803" s="0">
        <f>HYPERLINK("https://dl.dropboxusercontent.com/scl/fi/2w9mn7l8ukj9db4xt4any/screenshot-2025-04-03-at-1.38.47pm.png?rlkey=5kvf61ay3fymqvoqdd3zdwzhu&amp;dl=0","Click to download Image")</f>
      </c>
      <c r="B3803" s="0">
        <f>HYPERLINK("https://dl.dropboxusercontent.com/scl/fi/7eqqfhfkzxwbnbxw9foa4/mens-polo-size-chartsbruce.jpg?rlkey=e2vayzos0zzkth50bvlogdjit&amp;dl=0","Click to download SizeChart")</f>
      </c>
      <c r="C3803" s="0" t="inlineStr">
        <is>
          <t>Sherwood Men's Golf Polo</t>
        </is>
      </c>
      <c r="D3803" s="0" t="inlineStr">
        <is>
          <t>'113974</t>
        </is>
      </c>
      <c r="E3803" s="0" t="inlineStr">
        <is>
          <t>MU SHERWOOD M BLACK:113974E-2XL</t>
        </is>
      </c>
      <c r="F3803" s="0" t="inlineStr">
        <is>
          <t>'803113974080</t>
        </is>
      </c>
      <c r="G3803" s="0" t="inlineStr">
        <is>
          <t>MENS</t>
        </is>
      </c>
      <c r="H3803" s="0" t="inlineStr">
        <is>
          <t>2XL</t>
        </is>
      </c>
      <c r="I3803" s="0">
        <v>42.99</v>
      </c>
      <c r="J3803" s="0">
        <v>0</v>
      </c>
    </row>
    <row r="3804" spans="1:10" customHeight="0">
      <c r="A3804" s="0">
        <f>HYPERLINK("https://dl.dropboxusercontent.com/scl/fi/2w9mn7l8ukj9db4xt4any/screenshot-2025-04-03-at-1.38.47pm.png?rlkey=5kvf61ay3fymqvoqdd3zdwzhu&amp;dl=0","Click to download Image")</f>
      </c>
      <c r="B3804" s="0">
        <f>HYPERLINK("https://dl.dropboxusercontent.com/scl/fi/7eqqfhfkzxwbnbxw9foa4/mens-polo-size-chartsbruce.jpg?rlkey=e2vayzos0zzkth50bvlogdjit&amp;dl=0","Click to download SizeChart")</f>
      </c>
      <c r="C3804" s="0" t="inlineStr">
        <is>
          <t>Sherwood Men's Golf Polo</t>
        </is>
      </c>
      <c r="D3804" s="0" t="inlineStr">
        <is>
          <t>'113974</t>
        </is>
      </c>
      <c r="E3804" s="0" t="inlineStr">
        <is>
          <t>MU SHERWOOD M BLACK:113974F-3XL</t>
        </is>
      </c>
      <c r="F3804" s="0" t="inlineStr">
        <is>
          <t>'803113974097</t>
        </is>
      </c>
      <c r="G3804" s="0" t="inlineStr">
        <is>
          <t>MENS</t>
        </is>
      </c>
      <c r="H3804" s="0" t="inlineStr">
        <is>
          <t>3XL</t>
        </is>
      </c>
      <c r="I3804" s="0">
        <v>42.99</v>
      </c>
      <c r="J3804" s="0">
        <v>1</v>
      </c>
    </row>
    <row r="3805" spans="1:10" customHeight="0">
      <c r="A3805" s="0">
        <f>HYPERLINK("https://dl.dropboxusercontent.com/scl/fi/2w9mn7l8ukj9db4xt4any/screenshot-2025-04-03-at-1.38.47pm.png?rlkey=5kvf61ay3fymqvoqdd3zdwzhu&amp;dl=0","Click to download Image")</f>
      </c>
      <c r="B3805" s="0">
        <f>HYPERLINK("https://dl.dropboxusercontent.com/scl/fi/7eqqfhfkzxwbnbxw9foa4/mens-polo-size-chartsbruce.jpg?rlkey=e2vayzos0zzkth50bvlogdjit&amp;dl=0","Click to download SizeChart")</f>
      </c>
      <c r="C3805" s="0" t="inlineStr">
        <is>
          <t>Sherwood Men's Golf Polo</t>
        </is>
      </c>
      <c r="D3805" s="0" t="inlineStr">
        <is>
          <t>'113974</t>
        </is>
      </c>
      <c r="E3805" s="0" t="inlineStr">
        <is>
          <t>MU SHERWOOD M BLACK 12 PACK:113974Z-12PK</t>
        </is>
      </c>
      <c r="F3805" s="0" t="inlineStr">
        <is>
          <t>'803113974998</t>
        </is>
      </c>
      <c r="G3805" s="0" t="inlineStr">
        <is>
          <t>MENS</t>
        </is>
      </c>
      <c r="H3805" s="0" t="inlineStr">
        <is>
          <t>12 PACK</t>
        </is>
      </c>
      <c r="I3805" s="0">
        <v>393.6</v>
      </c>
      <c r="J3805" s="0">
        <v>0</v>
      </c>
    </row>
    <row r="3806" spans="1:10" customHeight="0">
      <c r="A3806" s="0">
        <f>HYPERLINK("https://dl.dropboxusercontent.com/scl/fi/731eza5x0j2gu40xy8vpj/uni-af.jpg?rlkey=hsp28lw0t9kvmmncsypi07l0m&amp;dl=0","Click to download Image")</f>
      </c>
      <c r="B3806" s="0">
        <f>HYPERLINK("https://dl.dropboxusercontent.com/scl/fi/7eqqfhfkzxwbnbxw9foa4/mens-polo-size-chartsbruce.jpg?rlkey=e2vayzos0zzkth50bvlogdjit&amp;dl=0","Click to download SizeChart")</f>
      </c>
      <c r="C3806" s="0" t="inlineStr">
        <is>
          <t>Sherwood Men's Golf Polo</t>
        </is>
      </c>
      <c r="D3806" s="0" t="inlineStr">
        <is>
          <t>'113973</t>
        </is>
      </c>
      <c r="E3806" s="0" t="inlineStr">
        <is>
          <t>UNI SHERWOOD M PURPLE:113973A-S</t>
        </is>
      </c>
      <c r="F3806" s="0" t="inlineStr">
        <is>
          <t>'802113973048</t>
        </is>
      </c>
      <c r="G3806" s="0" t="inlineStr">
        <is>
          <t>MENS</t>
        </is>
      </c>
      <c r="H3806" s="0" t="inlineStr">
        <is>
          <t>S</t>
        </is>
      </c>
      <c r="I3806" s="0">
        <v>40.99</v>
      </c>
      <c r="J3806" s="0">
        <v>5</v>
      </c>
    </row>
    <row r="3807" spans="1:10" customHeight="0">
      <c r="A3807" s="0">
        <f>HYPERLINK("https://dl.dropboxusercontent.com/scl/fi/731eza5x0j2gu40xy8vpj/uni-af.jpg?rlkey=hsp28lw0t9kvmmncsypi07l0m&amp;dl=0","Click to download Image")</f>
      </c>
      <c r="B3807" s="0">
        <f>HYPERLINK("https://dl.dropboxusercontent.com/scl/fi/7eqqfhfkzxwbnbxw9foa4/mens-polo-size-chartsbruce.jpg?rlkey=e2vayzos0zzkth50bvlogdjit&amp;dl=0","Click to download SizeChart")</f>
      </c>
      <c r="C3807" s="0" t="inlineStr">
        <is>
          <t>Sherwood Men's Golf Polo</t>
        </is>
      </c>
      <c r="D3807" s="0" t="inlineStr">
        <is>
          <t>'113973</t>
        </is>
      </c>
      <c r="E3807" s="0" t="inlineStr">
        <is>
          <t>UNI SHERWOOD M PURPLE:113973B-M</t>
        </is>
      </c>
      <c r="F3807" s="0" t="inlineStr">
        <is>
          <t>'802113973055</t>
        </is>
      </c>
      <c r="G3807" s="0" t="inlineStr">
        <is>
          <t>MENS</t>
        </is>
      </c>
      <c r="H3807" s="0" t="inlineStr">
        <is>
          <t>M</t>
        </is>
      </c>
      <c r="I3807" s="0">
        <v>40.99</v>
      </c>
      <c r="J3807" s="0">
        <v>7</v>
      </c>
    </row>
    <row r="3808" spans="1:10" customHeight="0">
      <c r="A3808" s="0">
        <f>HYPERLINK("https://dl.dropboxusercontent.com/scl/fi/731eza5x0j2gu40xy8vpj/uni-af.jpg?rlkey=hsp28lw0t9kvmmncsypi07l0m&amp;dl=0","Click to download Image")</f>
      </c>
      <c r="B3808" s="0">
        <f>HYPERLINK("https://dl.dropboxusercontent.com/scl/fi/7eqqfhfkzxwbnbxw9foa4/mens-polo-size-chartsbruce.jpg?rlkey=e2vayzos0zzkth50bvlogdjit&amp;dl=0","Click to download SizeChart")</f>
      </c>
      <c r="C3808" s="0" t="inlineStr">
        <is>
          <t>Sherwood Men's Golf Polo</t>
        </is>
      </c>
      <c r="D3808" s="0" t="inlineStr">
        <is>
          <t>'113973</t>
        </is>
      </c>
      <c r="E3808" s="0" t="inlineStr">
        <is>
          <t>UNI SHERWOOD M PURPLE:113973C-L</t>
        </is>
      </c>
      <c r="F3808" s="0" t="inlineStr">
        <is>
          <t>'802113973062</t>
        </is>
      </c>
      <c r="G3808" s="0" t="inlineStr">
        <is>
          <t>MENS</t>
        </is>
      </c>
      <c r="H3808" s="0" t="inlineStr">
        <is>
          <t>L</t>
        </is>
      </c>
      <c r="I3808" s="0">
        <v>40.99</v>
      </c>
      <c r="J3808" s="0">
        <v>0</v>
      </c>
    </row>
    <row r="3809" spans="1:10" customHeight="0">
      <c r="A3809" s="0">
        <f>HYPERLINK("https://dl.dropboxusercontent.com/scl/fi/731eza5x0j2gu40xy8vpj/uni-af.jpg?rlkey=hsp28lw0t9kvmmncsypi07l0m&amp;dl=0","Click to download Image")</f>
      </c>
      <c r="B3809" s="0">
        <f>HYPERLINK("https://dl.dropboxusercontent.com/scl/fi/7eqqfhfkzxwbnbxw9foa4/mens-polo-size-chartsbruce.jpg?rlkey=e2vayzos0zzkth50bvlogdjit&amp;dl=0","Click to download SizeChart")</f>
      </c>
      <c r="C3809" s="0" t="inlineStr">
        <is>
          <t>Sherwood Men's Golf Polo</t>
        </is>
      </c>
      <c r="D3809" s="0" t="inlineStr">
        <is>
          <t>'113973</t>
        </is>
      </c>
      <c r="E3809" s="0" t="inlineStr">
        <is>
          <t>UNI SHERWOOD M PURPLE:113973D-XL</t>
        </is>
      </c>
      <c r="F3809" s="0" t="inlineStr">
        <is>
          <t>'802113973079</t>
        </is>
      </c>
      <c r="G3809" s="0" t="inlineStr">
        <is>
          <t>MENS</t>
        </is>
      </c>
      <c r="H3809" s="0" t="inlineStr">
        <is>
          <t>XL</t>
        </is>
      </c>
      <c r="I3809" s="0">
        <v>40.99</v>
      </c>
      <c r="J3809" s="0">
        <v>3</v>
      </c>
    </row>
    <row r="3810" spans="1:10" customHeight="0">
      <c r="A3810" s="0">
        <f>HYPERLINK("https://dl.dropboxusercontent.com/scl/fi/731eza5x0j2gu40xy8vpj/uni-af.jpg?rlkey=hsp28lw0t9kvmmncsypi07l0m&amp;dl=0","Click to download Image")</f>
      </c>
      <c r="B3810" s="0">
        <f>HYPERLINK("https://dl.dropboxusercontent.com/scl/fi/7eqqfhfkzxwbnbxw9foa4/mens-polo-size-chartsbruce.jpg?rlkey=e2vayzos0zzkth50bvlogdjit&amp;dl=0","Click to download SizeChart")</f>
      </c>
      <c r="C3810" s="0" t="inlineStr">
        <is>
          <t>Sherwood Men's Golf Polo</t>
        </is>
      </c>
      <c r="D3810" s="0" t="inlineStr">
        <is>
          <t>'113973</t>
        </is>
      </c>
      <c r="E3810" s="0" t="inlineStr">
        <is>
          <t>UNI SHERWOOD M PURPLE:113973E-2XL</t>
        </is>
      </c>
      <c r="F3810" s="0" t="inlineStr">
        <is>
          <t>'802113973086</t>
        </is>
      </c>
      <c r="G3810" s="0" t="inlineStr">
        <is>
          <t>MENS</t>
        </is>
      </c>
      <c r="H3810" s="0" t="inlineStr">
        <is>
          <t>2XL</t>
        </is>
      </c>
      <c r="I3810" s="0">
        <v>42.99</v>
      </c>
      <c r="J3810" s="0">
        <v>6</v>
      </c>
    </row>
    <row r="3811" spans="1:10" customHeight="0">
      <c r="A3811" s="0">
        <f>HYPERLINK("https://dl.dropboxusercontent.com/scl/fi/731eza5x0j2gu40xy8vpj/uni-af.jpg?rlkey=hsp28lw0t9kvmmncsypi07l0m&amp;dl=0","Click to download Image")</f>
      </c>
      <c r="B3811" s="0">
        <f>HYPERLINK("https://dl.dropboxusercontent.com/scl/fi/7eqqfhfkzxwbnbxw9foa4/mens-polo-size-chartsbruce.jpg?rlkey=e2vayzos0zzkth50bvlogdjit&amp;dl=0","Click to download SizeChart")</f>
      </c>
      <c r="C3811" s="0" t="inlineStr">
        <is>
          <t>Sherwood Men's Golf Polo</t>
        </is>
      </c>
      <c r="D3811" s="0" t="inlineStr">
        <is>
          <t>'113973</t>
        </is>
      </c>
      <c r="E3811" s="0" t="inlineStr">
        <is>
          <t>UNI SHERWOOD M PURPLE:113973F-3XL</t>
        </is>
      </c>
      <c r="F3811" s="0" t="inlineStr">
        <is>
          <t>'802113973093</t>
        </is>
      </c>
      <c r="G3811" s="0" t="inlineStr">
        <is>
          <t>MENS</t>
        </is>
      </c>
      <c r="H3811" s="0" t="inlineStr">
        <is>
          <t>3XL</t>
        </is>
      </c>
      <c r="I3811" s="0">
        <v>42.99</v>
      </c>
      <c r="J3811" s="0">
        <v>4</v>
      </c>
    </row>
    <row r="3812" spans="1:10" customHeight="0">
      <c r="A3812" s="0">
        <f>HYPERLINK("https://dl.dropboxusercontent.com/scl/fi/731eza5x0j2gu40xy8vpj/uni-af.jpg?rlkey=hsp28lw0t9kvmmncsypi07l0m&amp;dl=0","Click to download Image")</f>
      </c>
      <c r="B3812" s="0">
        <f>HYPERLINK("https://dl.dropboxusercontent.com/scl/fi/7eqqfhfkzxwbnbxw9foa4/mens-polo-size-chartsbruce.jpg?rlkey=e2vayzos0zzkth50bvlogdjit&amp;dl=0","Click to download SizeChart")</f>
      </c>
      <c r="C3812" s="0" t="inlineStr">
        <is>
          <t>Sherwood Men's Golf Polo</t>
        </is>
      </c>
      <c r="D3812" s="0" t="inlineStr">
        <is>
          <t>'113973</t>
        </is>
      </c>
      <c r="E3812" s="0" t="inlineStr">
        <is>
          <t>UNI SHERWOOD M PURPLE 12 PACKS:113973Z-12PK</t>
        </is>
      </c>
      <c r="F3812" s="0" t="inlineStr">
        <is>
          <t>'802113973994</t>
        </is>
      </c>
      <c r="G3812" s="0" t="inlineStr">
        <is>
          <t>MENS</t>
        </is>
      </c>
      <c r="H3812" s="0" t="inlineStr">
        <is>
          <t>12 PACK</t>
        </is>
      </c>
      <c r="I3812" s="0">
        <v>393.6</v>
      </c>
      <c r="J3812" s="0">
        <v>0</v>
      </c>
    </row>
    <row r="3813" spans="1:10" customHeight="0">
      <c r="A3813" s="0">
        <f>HYPERLINK("https://dl.dropboxusercontent.com/scl/fi/abvl9cxt8w4sml8twzhok/ia2-af.jpg?rlkey=01oq1d6cdzhfpkhvc1sj4s3aq&amp;dl=0","Click to download Image")</f>
      </c>
      <c r="B3813" s="0">
        <f>HYPERLINK("https://dl.dropboxusercontent.com/scl/fi/7eqqfhfkzxwbnbxw9foa4/mens-polo-size-chartsbruce.jpg?rlkey=e2vayzos0zzkth50bvlogdjit&amp;dl=0","Click to download SizeChart")</f>
      </c>
      <c r="C3813" s="0" t="inlineStr">
        <is>
          <t>Sherwood Men's Golf Polo</t>
        </is>
      </c>
      <c r="D3813" s="0" t="inlineStr">
        <is>
          <t>'138518</t>
        </is>
      </c>
      <c r="E3813" s="0" t="inlineStr">
        <is>
          <t>IOWA SHERW2 M BK:138518A-S</t>
        </is>
      </c>
      <c r="F3813" s="0" t="inlineStr">
        <is>
          <t>'800138518046</t>
        </is>
      </c>
      <c r="G3813" s="0" t="inlineStr">
        <is>
          <t>MENS</t>
        </is>
      </c>
      <c r="H3813" s="0" t="inlineStr">
        <is>
          <t>S</t>
        </is>
      </c>
      <c r="I3813" s="0">
        <v>40.99</v>
      </c>
      <c r="J3813" s="0">
        <v>0</v>
      </c>
    </row>
    <row r="3814" spans="1:10" customHeight="0">
      <c r="A3814" s="0">
        <f>HYPERLINK("https://dl.dropboxusercontent.com/scl/fi/abvl9cxt8w4sml8twzhok/ia2-af.jpg?rlkey=01oq1d6cdzhfpkhvc1sj4s3aq&amp;dl=0","Click to download Image")</f>
      </c>
      <c r="B3814" s="0">
        <f>HYPERLINK("https://dl.dropboxusercontent.com/scl/fi/7eqqfhfkzxwbnbxw9foa4/mens-polo-size-chartsbruce.jpg?rlkey=e2vayzos0zzkth50bvlogdjit&amp;dl=0","Click to download SizeChart")</f>
      </c>
      <c r="C3814" s="0" t="inlineStr">
        <is>
          <t>Sherwood Men's Golf Polo</t>
        </is>
      </c>
      <c r="D3814" s="0" t="inlineStr">
        <is>
          <t>'138518</t>
        </is>
      </c>
      <c r="E3814" s="0" t="inlineStr">
        <is>
          <t>IOWA SHERW2 M BK:138518B-M</t>
        </is>
      </c>
      <c r="F3814" s="0" t="inlineStr">
        <is>
          <t>'800138518053</t>
        </is>
      </c>
      <c r="G3814" s="0" t="inlineStr">
        <is>
          <t>MENS</t>
        </is>
      </c>
      <c r="H3814" s="0" t="inlineStr">
        <is>
          <t>M</t>
        </is>
      </c>
      <c r="I3814" s="0">
        <v>40.99</v>
      </c>
      <c r="J3814" s="0">
        <v>0</v>
      </c>
    </row>
    <row r="3815" spans="1:10" customHeight="0">
      <c r="A3815" s="0">
        <f>HYPERLINK("https://dl.dropboxusercontent.com/scl/fi/abvl9cxt8w4sml8twzhok/ia2-af.jpg?rlkey=01oq1d6cdzhfpkhvc1sj4s3aq&amp;dl=0","Click to download Image")</f>
      </c>
      <c r="B3815" s="0">
        <f>HYPERLINK("https://dl.dropboxusercontent.com/scl/fi/7eqqfhfkzxwbnbxw9foa4/mens-polo-size-chartsbruce.jpg?rlkey=e2vayzos0zzkth50bvlogdjit&amp;dl=0","Click to download SizeChart")</f>
      </c>
      <c r="C3815" s="0" t="inlineStr">
        <is>
          <t>Sherwood Men's Golf Polo</t>
        </is>
      </c>
      <c r="D3815" s="0" t="inlineStr">
        <is>
          <t>'138518</t>
        </is>
      </c>
      <c r="E3815" s="0" t="inlineStr">
        <is>
          <t>IOWA SHERW2 M BK:138518C-L</t>
        </is>
      </c>
      <c r="F3815" s="0" t="inlineStr">
        <is>
          <t>'800138518060</t>
        </is>
      </c>
      <c r="G3815" s="0" t="inlineStr">
        <is>
          <t>MENS</t>
        </is>
      </c>
      <c r="H3815" s="0" t="inlineStr">
        <is>
          <t>L</t>
        </is>
      </c>
      <c r="I3815" s="0">
        <v>40.99</v>
      </c>
      <c r="J3815" s="0">
        <v>7</v>
      </c>
    </row>
    <row r="3816" spans="1:10" customHeight="0">
      <c r="A3816" s="0">
        <f>HYPERLINK("https://dl.dropboxusercontent.com/scl/fi/abvl9cxt8w4sml8twzhok/ia2-af.jpg?rlkey=01oq1d6cdzhfpkhvc1sj4s3aq&amp;dl=0","Click to download Image")</f>
      </c>
      <c r="B3816" s="0">
        <f>HYPERLINK("https://dl.dropboxusercontent.com/scl/fi/7eqqfhfkzxwbnbxw9foa4/mens-polo-size-chartsbruce.jpg?rlkey=e2vayzos0zzkth50bvlogdjit&amp;dl=0","Click to download SizeChart")</f>
      </c>
      <c r="C3816" s="0" t="inlineStr">
        <is>
          <t>Sherwood Men's Golf Polo</t>
        </is>
      </c>
      <c r="D3816" s="0" t="inlineStr">
        <is>
          <t>'138518</t>
        </is>
      </c>
      <c r="E3816" s="0" t="inlineStr">
        <is>
          <t>IOWA SHERW2 M BK:138518D-XL</t>
        </is>
      </c>
      <c r="F3816" s="0" t="inlineStr">
        <is>
          <t>'800138518077</t>
        </is>
      </c>
      <c r="G3816" s="0" t="inlineStr">
        <is>
          <t>MENS</t>
        </is>
      </c>
      <c r="H3816" s="0" t="inlineStr">
        <is>
          <t>XL</t>
        </is>
      </c>
      <c r="I3816" s="0">
        <v>40.99</v>
      </c>
      <c r="J3816" s="0">
        <v>16</v>
      </c>
    </row>
    <row r="3817" spans="1:10" customHeight="0">
      <c r="A3817" s="0">
        <f>HYPERLINK("https://dl.dropboxusercontent.com/scl/fi/abvl9cxt8w4sml8twzhok/ia2-af.jpg?rlkey=01oq1d6cdzhfpkhvc1sj4s3aq&amp;dl=0","Click to download Image")</f>
      </c>
      <c r="B3817" s="0">
        <f>HYPERLINK("https://dl.dropboxusercontent.com/scl/fi/7eqqfhfkzxwbnbxw9foa4/mens-polo-size-chartsbruce.jpg?rlkey=e2vayzos0zzkth50bvlogdjit&amp;dl=0","Click to download SizeChart")</f>
      </c>
      <c r="C3817" s="0" t="inlineStr">
        <is>
          <t>Sherwood Men's Golf Polo</t>
        </is>
      </c>
      <c r="D3817" s="0" t="inlineStr">
        <is>
          <t>'138518</t>
        </is>
      </c>
      <c r="E3817" s="0" t="inlineStr">
        <is>
          <t>IOWA SHERW2 M BK:138518E-2XL</t>
        </is>
      </c>
      <c r="F3817" s="0" t="inlineStr">
        <is>
          <t>'800138518084</t>
        </is>
      </c>
      <c r="G3817" s="0" t="inlineStr">
        <is>
          <t>MENS</t>
        </is>
      </c>
      <c r="H3817" s="0" t="inlineStr">
        <is>
          <t>2XL</t>
        </is>
      </c>
      <c r="I3817" s="0">
        <v>42.99</v>
      </c>
      <c r="J3817" s="0">
        <v>0</v>
      </c>
    </row>
    <row r="3818" spans="1:10" customHeight="0">
      <c r="A3818" s="0">
        <f>HYPERLINK("https://dl.dropboxusercontent.com/scl/fi/abvl9cxt8w4sml8twzhok/ia2-af.jpg?rlkey=01oq1d6cdzhfpkhvc1sj4s3aq&amp;dl=0","Click to download Image")</f>
      </c>
      <c r="B3818" s="0">
        <f>HYPERLINK("https://dl.dropboxusercontent.com/scl/fi/7eqqfhfkzxwbnbxw9foa4/mens-polo-size-chartsbruce.jpg?rlkey=e2vayzos0zzkth50bvlogdjit&amp;dl=0","Click to download SizeChart")</f>
      </c>
      <c r="C3818" s="0" t="inlineStr">
        <is>
          <t>Sherwood Men's Golf Polo</t>
        </is>
      </c>
      <c r="D3818" s="0" t="inlineStr">
        <is>
          <t>'138518</t>
        </is>
      </c>
      <c r="E3818" s="0" t="inlineStr">
        <is>
          <t>IOWA SHERW2 M BK:138518F-3XL</t>
        </is>
      </c>
      <c r="F3818" s="0" t="inlineStr">
        <is>
          <t>'800138518091</t>
        </is>
      </c>
      <c r="G3818" s="0" t="inlineStr">
        <is>
          <t>MENS</t>
        </is>
      </c>
      <c r="H3818" s="0" t="inlineStr">
        <is>
          <t>3XL</t>
        </is>
      </c>
      <c r="I3818" s="0">
        <v>393.6</v>
      </c>
      <c r="J3818" s="0">
        <v>0</v>
      </c>
    </row>
    <row r="3819" spans="1:10" customHeight="0">
      <c r="A3819" s="0">
        <f>HYPERLINK("https://dl.dropboxusercontent.com/scl/fi/bqzxdepf9unhslji3uhvp/ndsu-af.jpg?rlkey=e4b5mh3mlzhmq0ee6wxv57cmg&amp;dl=0","Click to download Image")</f>
      </c>
      <c r="B3819" s="0">
        <f>HYPERLINK("https://dl.dropboxusercontent.com/scl/fi/7eqqfhfkzxwbnbxw9foa4/mens-polo-size-chartsbruce.jpg?rlkey=e2vayzos0zzkth50bvlogdjit&amp;dl=0","Click to download SizeChart")</f>
      </c>
      <c r="C3819" s="0" t="inlineStr">
        <is>
          <t>Sherwood Men's Golf Polo</t>
        </is>
      </c>
      <c r="D3819" s="0" t="inlineStr">
        <is>
          <t>'128712</t>
        </is>
      </c>
      <c r="E3819" s="0" t="inlineStr">
        <is>
          <t>NDSU SHERWO M BK:128712A-S</t>
        </is>
      </c>
      <c r="F3819" s="0" t="inlineStr">
        <is>
          <t>'813128712041</t>
        </is>
      </c>
      <c r="G3819" s="0" t="inlineStr">
        <is>
          <t>MENS</t>
        </is>
      </c>
      <c r="H3819" s="0" t="inlineStr">
        <is>
          <t>S</t>
        </is>
      </c>
      <c r="I3819" s="0">
        <v>40.99</v>
      </c>
      <c r="J3819" s="0">
        <v>2</v>
      </c>
    </row>
    <row r="3820" spans="1:10" customHeight="0">
      <c r="A3820" s="0">
        <f>HYPERLINK("https://dl.dropboxusercontent.com/scl/fi/bqzxdepf9unhslji3uhvp/ndsu-af.jpg?rlkey=e4b5mh3mlzhmq0ee6wxv57cmg&amp;dl=0","Click to download Image")</f>
      </c>
      <c r="B3820" s="0">
        <f>HYPERLINK("https://dl.dropboxusercontent.com/scl/fi/7eqqfhfkzxwbnbxw9foa4/mens-polo-size-chartsbruce.jpg?rlkey=e2vayzos0zzkth50bvlogdjit&amp;dl=0","Click to download SizeChart")</f>
      </c>
      <c r="C3820" s="0" t="inlineStr">
        <is>
          <t>Sherwood Men's Golf Polo</t>
        </is>
      </c>
      <c r="D3820" s="0" t="inlineStr">
        <is>
          <t>'128712</t>
        </is>
      </c>
      <c r="E3820" s="0" t="inlineStr">
        <is>
          <t>NDSU SHERWO M BK:128712B-M</t>
        </is>
      </c>
      <c r="F3820" s="0" t="inlineStr">
        <is>
          <t>'813128712058</t>
        </is>
      </c>
      <c r="G3820" s="0" t="inlineStr">
        <is>
          <t>MENS</t>
        </is>
      </c>
      <c r="H3820" s="0" t="inlineStr">
        <is>
          <t>M</t>
        </is>
      </c>
      <c r="I3820" s="0">
        <v>40.99</v>
      </c>
      <c r="J3820" s="0">
        <v>5</v>
      </c>
    </row>
    <row r="3821" spans="1:10" customHeight="0">
      <c r="A3821" s="0">
        <f>HYPERLINK("https://dl.dropboxusercontent.com/scl/fi/bqzxdepf9unhslji3uhvp/ndsu-af.jpg?rlkey=e4b5mh3mlzhmq0ee6wxv57cmg&amp;dl=0","Click to download Image")</f>
      </c>
      <c r="B3821" s="0">
        <f>HYPERLINK("https://dl.dropboxusercontent.com/scl/fi/7eqqfhfkzxwbnbxw9foa4/mens-polo-size-chartsbruce.jpg?rlkey=e2vayzos0zzkth50bvlogdjit&amp;dl=0","Click to download SizeChart")</f>
      </c>
      <c r="C3821" s="0" t="inlineStr">
        <is>
          <t>Sherwood Men's Golf Polo</t>
        </is>
      </c>
      <c r="D3821" s="0" t="inlineStr">
        <is>
          <t>'128712</t>
        </is>
      </c>
      <c r="E3821" s="0" t="inlineStr">
        <is>
          <t>NDSU SHERWO M BK:128712C-L</t>
        </is>
      </c>
      <c r="F3821" s="0" t="inlineStr">
        <is>
          <t>'813128712065</t>
        </is>
      </c>
      <c r="G3821" s="0" t="inlineStr">
        <is>
          <t>MENS</t>
        </is>
      </c>
      <c r="H3821" s="0" t="inlineStr">
        <is>
          <t>L</t>
        </is>
      </c>
      <c r="I3821" s="0">
        <v>40.99</v>
      </c>
      <c r="J3821" s="0">
        <v>6</v>
      </c>
    </row>
    <row r="3822" spans="1:10" customHeight="0">
      <c r="A3822" s="0">
        <f>HYPERLINK("https://dl.dropboxusercontent.com/scl/fi/bqzxdepf9unhslji3uhvp/ndsu-af.jpg?rlkey=e4b5mh3mlzhmq0ee6wxv57cmg&amp;dl=0","Click to download Image")</f>
      </c>
      <c r="B3822" s="0">
        <f>HYPERLINK("https://dl.dropboxusercontent.com/scl/fi/7eqqfhfkzxwbnbxw9foa4/mens-polo-size-chartsbruce.jpg?rlkey=e2vayzos0zzkth50bvlogdjit&amp;dl=0","Click to download SizeChart")</f>
      </c>
      <c r="C3822" s="0" t="inlineStr">
        <is>
          <t>Sherwood Men's Golf Polo</t>
        </is>
      </c>
      <c r="D3822" s="0" t="inlineStr">
        <is>
          <t>'128712</t>
        </is>
      </c>
      <c r="E3822" s="0" t="inlineStr">
        <is>
          <t>NDSU SHERWO M BK:128712D-XL</t>
        </is>
      </c>
      <c r="F3822" s="0" t="inlineStr">
        <is>
          <t>'813128712072</t>
        </is>
      </c>
      <c r="G3822" s="0" t="inlineStr">
        <is>
          <t>MENS</t>
        </is>
      </c>
      <c r="H3822" s="0" t="inlineStr">
        <is>
          <t>XL</t>
        </is>
      </c>
      <c r="I3822" s="0">
        <v>40.99</v>
      </c>
      <c r="J3822" s="0">
        <v>10</v>
      </c>
    </row>
    <row r="3823" spans="1:10" customHeight="0">
      <c r="A3823" s="0">
        <f>HYPERLINK("https://dl.dropboxusercontent.com/scl/fi/bqzxdepf9unhslji3uhvp/ndsu-af.jpg?rlkey=e4b5mh3mlzhmq0ee6wxv57cmg&amp;dl=0","Click to download Image")</f>
      </c>
      <c r="B3823" s="0">
        <f>HYPERLINK("https://dl.dropboxusercontent.com/scl/fi/7eqqfhfkzxwbnbxw9foa4/mens-polo-size-chartsbruce.jpg?rlkey=e2vayzos0zzkth50bvlogdjit&amp;dl=0","Click to download SizeChart")</f>
      </c>
      <c r="C3823" s="0" t="inlineStr">
        <is>
          <t>Sherwood Men's Golf Polo</t>
        </is>
      </c>
      <c r="D3823" s="0" t="inlineStr">
        <is>
          <t>'128712</t>
        </is>
      </c>
      <c r="E3823" s="0" t="inlineStr">
        <is>
          <t>NDSU SHERWO M BK:128712E-2XL</t>
        </is>
      </c>
      <c r="F3823" s="0" t="inlineStr">
        <is>
          <t>'813128712089</t>
        </is>
      </c>
      <c r="G3823" s="0" t="inlineStr">
        <is>
          <t>MENS</t>
        </is>
      </c>
      <c r="H3823" s="0" t="inlineStr">
        <is>
          <t>2XL</t>
        </is>
      </c>
      <c r="I3823" s="0">
        <v>42.99</v>
      </c>
      <c r="J3823" s="0">
        <v>3</v>
      </c>
    </row>
    <row r="3824" spans="1:10" customHeight="0">
      <c r="A3824" s="0">
        <f>HYPERLINK("https://dl.dropboxusercontent.com/scl/fi/bqzxdepf9unhslji3uhvp/ndsu-af.jpg?rlkey=e4b5mh3mlzhmq0ee6wxv57cmg&amp;dl=0","Click to download Image")</f>
      </c>
      <c r="B3824" s="0">
        <f>HYPERLINK("https://dl.dropboxusercontent.com/scl/fi/7eqqfhfkzxwbnbxw9foa4/mens-polo-size-chartsbruce.jpg?rlkey=e2vayzos0zzkth50bvlogdjit&amp;dl=0","Click to download SizeChart")</f>
      </c>
      <c r="C3824" s="0" t="inlineStr">
        <is>
          <t>Sherwood Men's Golf Polo</t>
        </is>
      </c>
      <c r="D3824" s="0" t="inlineStr">
        <is>
          <t>'128712</t>
        </is>
      </c>
      <c r="E3824" s="0" t="inlineStr">
        <is>
          <t>NDSU SHERWO M BK:128712F-3XL</t>
        </is>
      </c>
      <c r="F3824" s="0" t="inlineStr">
        <is>
          <t>'813128712096</t>
        </is>
      </c>
      <c r="G3824" s="0" t="inlineStr">
        <is>
          <t>MENS</t>
        </is>
      </c>
      <c r="H3824" s="0" t="inlineStr">
        <is>
          <t>3XL</t>
        </is>
      </c>
      <c r="I3824" s="0">
        <v>42.99</v>
      </c>
      <c r="J3824" s="0">
        <v>1</v>
      </c>
    </row>
    <row r="3825" spans="1:10" customHeight="0">
      <c r="A3825" s="0">
        <f>HYPERLINK("https://dl.dropboxusercontent.com/scl/fi/bqzxdepf9unhslji3uhvp/ndsu-af.jpg?rlkey=e4b5mh3mlzhmq0ee6wxv57cmg&amp;dl=0","Click to download Image")</f>
      </c>
      <c r="B3825" s="0">
        <f>HYPERLINK("https://dl.dropboxusercontent.com/scl/fi/7eqqfhfkzxwbnbxw9foa4/mens-polo-size-chartsbruce.jpg?rlkey=e2vayzos0zzkth50bvlogdjit&amp;dl=0","Click to download SizeChart")</f>
      </c>
      <c r="C3825" s="0" t="inlineStr">
        <is>
          <t>Sherwood Men's Golf Polo</t>
        </is>
      </c>
      <c r="D3825" s="0" t="inlineStr">
        <is>
          <t>'128712</t>
        </is>
      </c>
      <c r="E3825" s="0" t="inlineStr">
        <is>
          <t>NDSU SHERWO M BK:128712Z-12PK</t>
        </is>
      </c>
      <c r="F3825" s="0" t="inlineStr">
        <is>
          <t>'813128712997</t>
        </is>
      </c>
      <c r="G3825" s="0" t="inlineStr">
        <is>
          <t>MENS</t>
        </is>
      </c>
      <c r="H3825" s="0" t="inlineStr">
        <is>
          <t>12 PACK</t>
        </is>
      </c>
      <c r="I3825" s="0">
        <v>393.6</v>
      </c>
      <c r="J3825" s="0">
        <v>0</v>
      </c>
    </row>
    <row r="3826" spans="1:10" customHeight="0">
      <c r="A3826" s="0">
        <f>HYPERLINK("https://dl.dropboxusercontent.com/scl/fi/lc44di1rgmqoom5z5kd4b/108196-af.jpg?rlkey=hd05pevjt8rbaug3eolm1jxgf&amp;dl=0","Click to download Image")</f>
      </c>
      <c r="C3826" s="0" t="inlineStr">
        <is>
          <t>Mankato Women's Cap</t>
        </is>
      </c>
      <c r="D3826" s="0" t="inlineStr">
        <is>
          <t>'108196</t>
        </is>
      </c>
      <c r="E3826" s="0" t="inlineStr">
        <is>
          <t>IA MANKATO:108196</t>
        </is>
      </c>
      <c r="F3826" s="0" t="inlineStr">
        <is>
          <t>'700108196017</t>
        </is>
      </c>
      <c r="G3826" s="0" t="inlineStr">
        <is>
          <t>WOMENS</t>
        </is>
      </c>
      <c r="H3826" s="0" t="inlineStr">
        <is>
          <t>WOMENS</t>
        </is>
      </c>
      <c r="I3826" s="0">
        <v>23.99</v>
      </c>
      <c r="J3826" s="0">
        <v>104</v>
      </c>
    </row>
    <row r="3827" spans="1:10" customHeight="0">
      <c r="A3827" s="0">
        <f>HYPERLINK("https://dl.dropboxusercontent.com/scl/fi/4b1vwkxvpfkcpdae0f1os/109596-af.jpg?rlkey=62rdoiy17q5y02b6xkzvf7zf2&amp;dl=0","Click to download Image")</f>
      </c>
      <c r="B3827" s="0">
        <f>HYPERLINK("https://dl.dropboxusercontent.com/scl/fi/btrdl5a1gmx0o911fmpyj/graphic-update22022-youth.jpg?rlkey=7rj398gp1064e7ppzzk3nk2b7&amp;dl=0","Click to download SizeChart")</f>
      </c>
      <c r="C3827" s="0" t="inlineStr">
        <is>
          <t>Memphis Youth Shirt</t>
        </is>
      </c>
      <c r="D3827" s="0" t="inlineStr">
        <is>
          <t>'109596</t>
        </is>
      </c>
      <c r="E3827" s="0" t="inlineStr">
        <is>
          <t>ISU MEMPHIS CARDINAL:109596B-YS</t>
        </is>
      </c>
      <c r="F3827" s="0" t="inlineStr">
        <is>
          <t>'801109596018</t>
        </is>
      </c>
      <c r="G3827" s="0" t="inlineStr">
        <is>
          <t>YOUTH</t>
        </is>
      </c>
      <c r="H3827" s="0" t="inlineStr">
        <is>
          <t>YS</t>
        </is>
      </c>
      <c r="I3827" s="0">
        <v>29.99</v>
      </c>
      <c r="J3827" s="0">
        <v>10</v>
      </c>
    </row>
    <row r="3828" spans="1:10" customHeight="0">
      <c r="A3828" s="0">
        <f>HYPERLINK("https://dl.dropboxusercontent.com/scl/fi/4b1vwkxvpfkcpdae0f1os/109596-af.jpg?rlkey=62rdoiy17q5y02b6xkzvf7zf2&amp;dl=0","Click to download Image")</f>
      </c>
      <c r="B3828" s="0">
        <f>HYPERLINK("https://dl.dropboxusercontent.com/scl/fi/btrdl5a1gmx0o911fmpyj/graphic-update22022-youth.jpg?rlkey=7rj398gp1064e7ppzzk3nk2b7&amp;dl=0","Click to download SizeChart")</f>
      </c>
      <c r="C3828" s="0" t="inlineStr">
        <is>
          <t>Memphis Youth Shirt</t>
        </is>
      </c>
      <c r="D3828" s="0" t="inlineStr">
        <is>
          <t>'109596</t>
        </is>
      </c>
      <c r="E3828" s="0" t="inlineStr">
        <is>
          <t>ISU MEMPHIS CARDINAL:109596C-YM</t>
        </is>
      </c>
      <c r="F3828" s="0" t="inlineStr">
        <is>
          <t>'801109596025</t>
        </is>
      </c>
      <c r="G3828" s="0" t="inlineStr">
        <is>
          <t>YOUTH</t>
        </is>
      </c>
      <c r="H3828" s="0" t="inlineStr">
        <is>
          <t>YM</t>
        </is>
      </c>
      <c r="I3828" s="0">
        <v>29.99</v>
      </c>
      <c r="J3828" s="0">
        <v>9</v>
      </c>
    </row>
    <row r="3829" spans="1:10" customHeight="0">
      <c r="A3829" s="0">
        <f>HYPERLINK("https://dl.dropboxusercontent.com/scl/fi/4b1vwkxvpfkcpdae0f1os/109596-af.jpg?rlkey=62rdoiy17q5y02b6xkzvf7zf2&amp;dl=0","Click to download Image")</f>
      </c>
      <c r="B3829" s="0">
        <f>HYPERLINK("https://dl.dropboxusercontent.com/scl/fi/btrdl5a1gmx0o911fmpyj/graphic-update22022-youth.jpg?rlkey=7rj398gp1064e7ppzzk3nk2b7&amp;dl=0","Click to download SizeChart")</f>
      </c>
      <c r="C3829" s="0" t="inlineStr">
        <is>
          <t>Memphis Youth Shirt</t>
        </is>
      </c>
      <c r="D3829" s="0" t="inlineStr">
        <is>
          <t>'109596</t>
        </is>
      </c>
      <c r="E3829" s="0" t="inlineStr">
        <is>
          <t>ISU MEMPHIS CARDINAL:109596D-YL</t>
        </is>
      </c>
      <c r="F3829" s="0" t="inlineStr">
        <is>
          <t>'801109596032</t>
        </is>
      </c>
      <c r="G3829" s="0" t="inlineStr">
        <is>
          <t>YOUTH</t>
        </is>
      </c>
      <c r="H3829" s="0" t="inlineStr">
        <is>
          <t>YL</t>
        </is>
      </c>
      <c r="I3829" s="0">
        <v>29.99</v>
      </c>
      <c r="J3829" s="0">
        <v>9</v>
      </c>
    </row>
    <row r="3830" spans="1:10" customHeight="0">
      <c r="A3830" s="0">
        <f>HYPERLINK("https://dl.dropboxusercontent.com/scl/fi/4b1vwkxvpfkcpdae0f1os/109596-af.jpg?rlkey=62rdoiy17q5y02b6xkzvf7zf2&amp;dl=0","Click to download Image")</f>
      </c>
      <c r="B3830" s="0">
        <f>HYPERLINK("https://dl.dropboxusercontent.com/scl/fi/btrdl5a1gmx0o911fmpyj/graphic-update22022-youth.jpg?rlkey=7rj398gp1064e7ppzzk3nk2b7&amp;dl=0","Click to download SizeChart")</f>
      </c>
      <c r="C3830" s="0" t="inlineStr">
        <is>
          <t>Memphis Youth Shirt</t>
        </is>
      </c>
      <c r="D3830" s="0" t="inlineStr">
        <is>
          <t>'109596</t>
        </is>
      </c>
      <c r="E3830" s="0" t="inlineStr">
        <is>
          <t>ISU MEMPHIS CARDINAL:109596E-YXL</t>
        </is>
      </c>
      <c r="F3830" s="0" t="inlineStr">
        <is>
          <t>'801109596049</t>
        </is>
      </c>
      <c r="G3830" s="0" t="inlineStr">
        <is>
          <t>YOUTH</t>
        </is>
      </c>
      <c r="H3830" s="0" t="inlineStr">
        <is>
          <t>YXL</t>
        </is>
      </c>
      <c r="I3830" s="0">
        <v>29.99</v>
      </c>
      <c r="J3830" s="0">
        <v>9</v>
      </c>
    </row>
    <row r="3831" spans="1:10" customHeight="0">
      <c r="A3831" s="0">
        <f>HYPERLINK("https://dl.dropboxusercontent.com/scl/fi/4b1vwkxvpfkcpdae0f1os/109596-af.jpg?rlkey=62rdoiy17q5y02b6xkzvf7zf2&amp;dl=0","Click to download Image")</f>
      </c>
      <c r="B3831" s="0">
        <f>HYPERLINK("https://dl.dropboxusercontent.com/scl/fi/btrdl5a1gmx0o911fmpyj/graphic-update22022-youth.jpg?rlkey=7rj398gp1064e7ppzzk3nk2b7&amp;dl=0","Click to download SizeChart")</f>
      </c>
      <c r="C3831" s="0" t="inlineStr">
        <is>
          <t>Memphis Youth Shirt</t>
        </is>
      </c>
      <c r="D3831" s="0" t="inlineStr">
        <is>
          <t>'109596</t>
        </is>
      </c>
      <c r="E3831" s="0" t="inlineStr">
        <is>
          <t>ISU MEMPHIS CARDINAL 12 PACK:109596Z-12PK</t>
        </is>
      </c>
      <c r="F3831" s="0" t="inlineStr">
        <is>
          <t>'801109596995</t>
        </is>
      </c>
      <c r="G3831" s="0" t="inlineStr">
        <is>
          <t>YOUTH</t>
        </is>
      </c>
      <c r="H3831" s="0" t="inlineStr">
        <is>
          <t>12 PACK</t>
        </is>
      </c>
      <c r="I3831" s="0">
        <v>335.88</v>
      </c>
      <c r="J3831" s="0">
        <v>0</v>
      </c>
    </row>
    <row r="3832" spans="1:10" customHeight="0">
      <c r="A3832" s="0">
        <f>HYPERLINK("https://dl.dropboxusercontent.com/scl/fi/49h0mj3n74z5jmlhtzdc8/109595-af.jpg?rlkey=v2c7hd3waj35y3iv90zbm5x6m&amp;dl=0","Click to download Image")</f>
      </c>
      <c r="B3832" s="0">
        <f>HYPERLINK("https://dl.dropboxusercontent.com/scl/fi/btrdl5a1gmx0o911fmpyj/graphic-update22022-youth.jpg?rlkey=7rj398gp1064e7ppzzk3nk2b7&amp;dl=0","Click to download SizeChart")</f>
      </c>
      <c r="C3832" s="0" t="inlineStr">
        <is>
          <t>Memphis Youth Shirt</t>
        </is>
      </c>
      <c r="D3832" s="0" t="inlineStr">
        <is>
          <t>'109595</t>
        </is>
      </c>
      <c r="E3832" s="0" t="inlineStr">
        <is>
          <t>UNI MEMPHIS BLACK:109595B-YS</t>
        </is>
      </c>
      <c r="F3832" s="0" t="inlineStr">
        <is>
          <t>'802109595018</t>
        </is>
      </c>
      <c r="G3832" s="0" t="inlineStr">
        <is>
          <t>YOUTH</t>
        </is>
      </c>
      <c r="H3832" s="0" t="inlineStr">
        <is>
          <t>YS</t>
        </is>
      </c>
      <c r="I3832" s="0">
        <v>29.99</v>
      </c>
      <c r="J3832" s="0">
        <v>13</v>
      </c>
    </row>
    <row r="3833" spans="1:10" customHeight="0">
      <c r="A3833" s="0">
        <f>HYPERLINK("https://dl.dropboxusercontent.com/scl/fi/49h0mj3n74z5jmlhtzdc8/109595-af.jpg?rlkey=v2c7hd3waj35y3iv90zbm5x6m&amp;dl=0","Click to download Image")</f>
      </c>
      <c r="B3833" s="0">
        <f>HYPERLINK("https://dl.dropboxusercontent.com/scl/fi/btrdl5a1gmx0o911fmpyj/graphic-update22022-youth.jpg?rlkey=7rj398gp1064e7ppzzk3nk2b7&amp;dl=0","Click to download SizeChart")</f>
      </c>
      <c r="C3833" s="0" t="inlineStr">
        <is>
          <t>Memphis Youth Shirt</t>
        </is>
      </c>
      <c r="D3833" s="0" t="inlineStr">
        <is>
          <t>'109595</t>
        </is>
      </c>
      <c r="E3833" s="0" t="inlineStr">
        <is>
          <t>UNI MEMPHIS BLACK:109595C-YM</t>
        </is>
      </c>
      <c r="F3833" s="0" t="inlineStr">
        <is>
          <t>'802109595025</t>
        </is>
      </c>
      <c r="G3833" s="0" t="inlineStr">
        <is>
          <t>YOUTH</t>
        </is>
      </c>
      <c r="H3833" s="0" t="inlineStr">
        <is>
          <t>YM</t>
        </is>
      </c>
      <c r="I3833" s="0">
        <v>29.99</v>
      </c>
      <c r="J3833" s="0">
        <v>13</v>
      </c>
    </row>
    <row r="3834" spans="1:10" customHeight="0">
      <c r="A3834" s="0">
        <f>HYPERLINK("https://dl.dropboxusercontent.com/scl/fi/49h0mj3n74z5jmlhtzdc8/109595-af.jpg?rlkey=v2c7hd3waj35y3iv90zbm5x6m&amp;dl=0","Click to download Image")</f>
      </c>
      <c r="B3834" s="0">
        <f>HYPERLINK("https://dl.dropboxusercontent.com/scl/fi/btrdl5a1gmx0o911fmpyj/graphic-update22022-youth.jpg?rlkey=7rj398gp1064e7ppzzk3nk2b7&amp;dl=0","Click to download SizeChart")</f>
      </c>
      <c r="C3834" s="0" t="inlineStr">
        <is>
          <t>Memphis Youth Shirt</t>
        </is>
      </c>
      <c r="D3834" s="0" t="inlineStr">
        <is>
          <t>'109595</t>
        </is>
      </c>
      <c r="E3834" s="0" t="inlineStr">
        <is>
          <t>UNI MEMPHIS BLACK:109595D-YL</t>
        </is>
      </c>
      <c r="F3834" s="0" t="inlineStr">
        <is>
          <t>'802109595032</t>
        </is>
      </c>
      <c r="G3834" s="0" t="inlineStr">
        <is>
          <t>YOUTH</t>
        </is>
      </c>
      <c r="H3834" s="0" t="inlineStr">
        <is>
          <t>YL</t>
        </is>
      </c>
      <c r="I3834" s="0">
        <v>29.99</v>
      </c>
      <c r="J3834" s="0">
        <v>13</v>
      </c>
    </row>
    <row r="3835" spans="1:10" customHeight="0">
      <c r="A3835" s="0">
        <f>HYPERLINK("https://dl.dropboxusercontent.com/scl/fi/49h0mj3n74z5jmlhtzdc8/109595-af.jpg?rlkey=v2c7hd3waj35y3iv90zbm5x6m&amp;dl=0","Click to download Image")</f>
      </c>
      <c r="B3835" s="0">
        <f>HYPERLINK("https://dl.dropboxusercontent.com/scl/fi/btrdl5a1gmx0o911fmpyj/graphic-update22022-youth.jpg?rlkey=7rj398gp1064e7ppzzk3nk2b7&amp;dl=0","Click to download SizeChart")</f>
      </c>
      <c r="C3835" s="0" t="inlineStr">
        <is>
          <t>Memphis Youth Shirt</t>
        </is>
      </c>
      <c r="D3835" s="0" t="inlineStr">
        <is>
          <t>'109595</t>
        </is>
      </c>
      <c r="E3835" s="0" t="inlineStr">
        <is>
          <t>UNI MEMPHIS BLACK:109595E-YXL</t>
        </is>
      </c>
      <c r="F3835" s="0" t="inlineStr">
        <is>
          <t>'802109595049</t>
        </is>
      </c>
      <c r="G3835" s="0" t="inlineStr">
        <is>
          <t>YOUTH</t>
        </is>
      </c>
      <c r="H3835" s="0" t="inlineStr">
        <is>
          <t>YXL</t>
        </is>
      </c>
      <c r="I3835" s="0">
        <v>29.99</v>
      </c>
      <c r="J3835" s="0">
        <v>14</v>
      </c>
    </row>
    <row r="3836" spans="1:10" customHeight="0">
      <c r="A3836" s="0">
        <f>HYPERLINK("https://dl.dropboxusercontent.com/scl/fi/49h0mj3n74z5jmlhtzdc8/109595-af.jpg?rlkey=v2c7hd3waj35y3iv90zbm5x6m&amp;dl=0","Click to download Image")</f>
      </c>
      <c r="B3836" s="0">
        <f>HYPERLINK("https://dl.dropboxusercontent.com/scl/fi/btrdl5a1gmx0o911fmpyj/graphic-update22022-youth.jpg?rlkey=7rj398gp1064e7ppzzk3nk2b7&amp;dl=0","Click to download SizeChart")</f>
      </c>
      <c r="C3836" s="0" t="inlineStr">
        <is>
          <t>Memphis Youth Shirt</t>
        </is>
      </c>
      <c r="D3836" s="0" t="inlineStr">
        <is>
          <t>'109595</t>
        </is>
      </c>
      <c r="E3836" s="0" t="inlineStr">
        <is>
          <t>UNI MEMPHIS BLACK 12 PACK:109595Z-12PK</t>
        </is>
      </c>
      <c r="F3836" s="0" t="inlineStr">
        <is>
          <t>'802109595995</t>
        </is>
      </c>
      <c r="G3836" s="0" t="inlineStr">
        <is>
          <t>YOUTH</t>
        </is>
      </c>
      <c r="H3836" s="0" t="inlineStr">
        <is>
          <t>12 PACK</t>
        </is>
      </c>
      <c r="I3836" s="0">
        <v>335.88</v>
      </c>
      <c r="J3836" s="0">
        <v>0</v>
      </c>
    </row>
    <row r="3837" spans="1:10" customHeight="0">
      <c r="A3837" s="0">
        <f>HYPERLINK("https://dl.dropboxusercontent.com/scl/fi/3x1p81hwe1672vi051sjg/109594-af.jpg?rlkey=eib5ngi5x48rb6908mjr0y8rk&amp;dl=0","Click to download Image")</f>
      </c>
      <c r="B3837" s="0">
        <f>HYPERLINK("https://dl.dropboxusercontent.com/scl/fi/btrdl5a1gmx0o911fmpyj/graphic-update22022-youth.jpg?rlkey=7rj398gp1064e7ppzzk3nk2b7&amp;dl=0","Click to download SizeChart")</f>
      </c>
      <c r="C3837" s="0" t="inlineStr">
        <is>
          <t>Memphis Youth Shirt</t>
        </is>
      </c>
      <c r="D3837" s="0" t="inlineStr">
        <is>
          <t>'109594</t>
        </is>
      </c>
      <c r="E3837" s="0" t="inlineStr">
        <is>
          <t>IOWA MEMPHIS BLACK:109594B-YS</t>
        </is>
      </c>
      <c r="F3837" s="0" t="inlineStr">
        <is>
          <t>'800109594017</t>
        </is>
      </c>
      <c r="G3837" s="0" t="inlineStr">
        <is>
          <t>YOUTH</t>
        </is>
      </c>
      <c r="H3837" s="0" t="inlineStr">
        <is>
          <t>YS</t>
        </is>
      </c>
      <c r="I3837" s="0">
        <v>29.99</v>
      </c>
      <c r="J3837" s="0">
        <v>0</v>
      </c>
    </row>
    <row r="3838" spans="1:10" customHeight="0">
      <c r="A3838" s="0">
        <f>HYPERLINK("https://dl.dropboxusercontent.com/scl/fi/3x1p81hwe1672vi051sjg/109594-af.jpg?rlkey=eib5ngi5x48rb6908mjr0y8rk&amp;dl=0","Click to download Image")</f>
      </c>
      <c r="B3838" s="0">
        <f>HYPERLINK("https://dl.dropboxusercontent.com/scl/fi/btrdl5a1gmx0o911fmpyj/graphic-update22022-youth.jpg?rlkey=7rj398gp1064e7ppzzk3nk2b7&amp;dl=0","Click to download SizeChart")</f>
      </c>
      <c r="C3838" s="0" t="inlineStr">
        <is>
          <t>Memphis Youth Shirt</t>
        </is>
      </c>
      <c r="D3838" s="0" t="inlineStr">
        <is>
          <t>'109594</t>
        </is>
      </c>
      <c r="E3838" s="0" t="inlineStr">
        <is>
          <t>IOWA MEMPHIS BLACK:109594C-YM</t>
        </is>
      </c>
      <c r="F3838" s="0" t="inlineStr">
        <is>
          <t>'800109594024</t>
        </is>
      </c>
      <c r="G3838" s="0" t="inlineStr">
        <is>
          <t>YOUTH</t>
        </is>
      </c>
      <c r="H3838" s="0" t="inlineStr">
        <is>
          <t>YM</t>
        </is>
      </c>
      <c r="I3838" s="0">
        <v>29.99</v>
      </c>
      <c r="J3838" s="0">
        <v>0</v>
      </c>
    </row>
    <row r="3839" spans="1:10" customHeight="0">
      <c r="A3839" s="0">
        <f>HYPERLINK("https://dl.dropboxusercontent.com/scl/fi/3x1p81hwe1672vi051sjg/109594-af.jpg?rlkey=eib5ngi5x48rb6908mjr0y8rk&amp;dl=0","Click to download Image")</f>
      </c>
      <c r="B3839" s="0">
        <f>HYPERLINK("https://dl.dropboxusercontent.com/scl/fi/btrdl5a1gmx0o911fmpyj/graphic-update22022-youth.jpg?rlkey=7rj398gp1064e7ppzzk3nk2b7&amp;dl=0","Click to download SizeChart")</f>
      </c>
      <c r="C3839" s="0" t="inlineStr">
        <is>
          <t>Memphis Youth Shirt</t>
        </is>
      </c>
      <c r="D3839" s="0" t="inlineStr">
        <is>
          <t>'109594</t>
        </is>
      </c>
      <c r="E3839" s="0" t="inlineStr">
        <is>
          <t>IOWA MEMPHIS BLACK:109594D-YL</t>
        </is>
      </c>
      <c r="F3839" s="0" t="inlineStr">
        <is>
          <t>'800109594031</t>
        </is>
      </c>
      <c r="G3839" s="0" t="inlineStr">
        <is>
          <t>YOUTH</t>
        </is>
      </c>
      <c r="H3839" s="0" t="inlineStr">
        <is>
          <t>YL</t>
        </is>
      </c>
      <c r="I3839" s="0">
        <v>29.99</v>
      </c>
      <c r="J3839" s="0">
        <v>5</v>
      </c>
    </row>
    <row r="3840" spans="1:10" customHeight="0">
      <c r="A3840" s="0">
        <f>HYPERLINK("https://dl.dropboxusercontent.com/scl/fi/3x1p81hwe1672vi051sjg/109594-af.jpg?rlkey=eib5ngi5x48rb6908mjr0y8rk&amp;dl=0","Click to download Image")</f>
      </c>
      <c r="B3840" s="0">
        <f>HYPERLINK("https://dl.dropboxusercontent.com/scl/fi/btrdl5a1gmx0o911fmpyj/graphic-update22022-youth.jpg?rlkey=7rj398gp1064e7ppzzk3nk2b7&amp;dl=0","Click to download SizeChart")</f>
      </c>
      <c r="C3840" s="0" t="inlineStr">
        <is>
          <t>Memphis Youth Shirt</t>
        </is>
      </c>
      <c r="D3840" s="0" t="inlineStr">
        <is>
          <t>'109594</t>
        </is>
      </c>
      <c r="E3840" s="0" t="inlineStr">
        <is>
          <t>IOWA MEMPHIS BLACK:109594E-YXL</t>
        </is>
      </c>
      <c r="F3840" s="0" t="inlineStr">
        <is>
          <t>'800109594048</t>
        </is>
      </c>
      <c r="G3840" s="0" t="inlineStr">
        <is>
          <t>YOUTH</t>
        </is>
      </c>
      <c r="H3840" s="0" t="inlineStr">
        <is>
          <t>YXL</t>
        </is>
      </c>
      <c r="I3840" s="0">
        <v>29.99</v>
      </c>
      <c r="J3840" s="0">
        <v>27</v>
      </c>
    </row>
    <row r="3841" spans="1:10" customHeight="0">
      <c r="A3841" s="0">
        <f>HYPERLINK("https://dl.dropboxusercontent.com/scl/fi/3x1p81hwe1672vi051sjg/109594-af.jpg?rlkey=eib5ngi5x48rb6908mjr0y8rk&amp;dl=0","Click to download Image")</f>
      </c>
      <c r="B3841" s="0">
        <f>HYPERLINK("https://dl.dropboxusercontent.com/scl/fi/btrdl5a1gmx0o911fmpyj/graphic-update22022-youth.jpg?rlkey=7rj398gp1064e7ppzzk3nk2b7&amp;dl=0","Click to download SizeChart")</f>
      </c>
      <c r="C3841" s="0" t="inlineStr">
        <is>
          <t>Memphis Youth Shirt</t>
        </is>
      </c>
      <c r="D3841" s="0" t="inlineStr">
        <is>
          <t>'109594</t>
        </is>
      </c>
      <c r="E3841" s="0" t="inlineStr">
        <is>
          <t>IOWA MEMPHIS BLACK 12 PACK:109594Z-12PK</t>
        </is>
      </c>
      <c r="F3841" s="0" t="inlineStr">
        <is>
          <t>'800109594994</t>
        </is>
      </c>
      <c r="G3841" s="0" t="inlineStr">
        <is>
          <t>YOUTH</t>
        </is>
      </c>
      <c r="H3841" s="0" t="inlineStr">
        <is>
          <t>12 PACK</t>
        </is>
      </c>
      <c r="I3841" s="0">
        <v>335.88</v>
      </c>
      <c r="J3841" s="0">
        <v>0</v>
      </c>
    </row>
    <row r="3842" spans="1:10" customHeight="0">
      <c r="A3842" s="0">
        <f>HYPERLINK("https://dl.dropboxusercontent.com/scl/fi/8d7i9fr5ixn914oq7qfc1/108166-af.jpg?rlkey=lirzoy7j1x6fahpwwe8855dqk&amp;dl=0","Click to download Image")</f>
      </c>
      <c r="B3842" s="0">
        <f>HYPERLINK("https://dl.dropboxusercontent.com/scl/fi/g3bqfpd5q3pyu7wyj5y09/womens-size-chartsmisty.jpg?rlkey=4e44r3konouse2vce1kufknj9&amp;dl=0","Click to download SizeChart")</f>
      </c>
      <c r="C3842" s="0" t="inlineStr">
        <is>
          <t>Misty Womens Shorts</t>
        </is>
      </c>
      <c r="D3842" s="0" t="inlineStr">
        <is>
          <t>'108166</t>
        </is>
      </c>
      <c r="E3842" s="0" t="inlineStr">
        <is>
          <t>IOWA MISTY GREY:108166A-S</t>
        </is>
      </c>
      <c r="F3842" s="0" t="inlineStr">
        <is>
          <t>'800108166017</t>
        </is>
      </c>
      <c r="G3842" s="0" t="inlineStr">
        <is>
          <t>WOMENS</t>
        </is>
      </c>
      <c r="H3842" s="0" t="inlineStr">
        <is>
          <t>S</t>
        </is>
      </c>
      <c r="I3842" s="0">
        <v>26.99</v>
      </c>
      <c r="J3842" s="0">
        <v>0</v>
      </c>
    </row>
    <row r="3843" spans="1:10" customHeight="0">
      <c r="A3843" s="0">
        <f>HYPERLINK("https://dl.dropboxusercontent.com/scl/fi/8d7i9fr5ixn914oq7qfc1/108166-af.jpg?rlkey=lirzoy7j1x6fahpwwe8855dqk&amp;dl=0","Click to download Image")</f>
      </c>
      <c r="B3843" s="0">
        <f>HYPERLINK("https://dl.dropboxusercontent.com/scl/fi/g3bqfpd5q3pyu7wyj5y09/womens-size-chartsmisty.jpg?rlkey=4e44r3konouse2vce1kufknj9&amp;dl=0","Click to download SizeChart")</f>
      </c>
      <c r="C3843" s="0" t="inlineStr">
        <is>
          <t>Misty Womens Shorts</t>
        </is>
      </c>
      <c r="D3843" s="0" t="inlineStr">
        <is>
          <t>'108166</t>
        </is>
      </c>
      <c r="E3843" s="0" t="inlineStr">
        <is>
          <t>IOWA MISTY GREY:108166B-M</t>
        </is>
      </c>
      <c r="F3843" s="0" t="inlineStr">
        <is>
          <t>'800108166024</t>
        </is>
      </c>
      <c r="G3843" s="0" t="inlineStr">
        <is>
          <t>WOMENS</t>
        </is>
      </c>
      <c r="H3843" s="0" t="inlineStr">
        <is>
          <t>M</t>
        </is>
      </c>
      <c r="I3843" s="0">
        <v>26.99</v>
      </c>
      <c r="J3843" s="0">
        <v>0</v>
      </c>
    </row>
    <row r="3844" spans="1:10" customHeight="0">
      <c r="A3844" s="0">
        <f>HYPERLINK("https://dl.dropboxusercontent.com/scl/fi/8d7i9fr5ixn914oq7qfc1/108166-af.jpg?rlkey=lirzoy7j1x6fahpwwe8855dqk&amp;dl=0","Click to download Image")</f>
      </c>
      <c r="B3844" s="0">
        <f>HYPERLINK("https://dl.dropboxusercontent.com/scl/fi/g3bqfpd5q3pyu7wyj5y09/womens-size-chartsmisty.jpg?rlkey=4e44r3konouse2vce1kufknj9&amp;dl=0","Click to download SizeChart")</f>
      </c>
      <c r="C3844" s="0" t="inlineStr">
        <is>
          <t>Misty Womens Shorts</t>
        </is>
      </c>
      <c r="D3844" s="0" t="inlineStr">
        <is>
          <t>'108166</t>
        </is>
      </c>
      <c r="E3844" s="0" t="inlineStr">
        <is>
          <t>IOWA MISTY GREY:108166C-L</t>
        </is>
      </c>
      <c r="F3844" s="0" t="inlineStr">
        <is>
          <t>'800108166031</t>
        </is>
      </c>
      <c r="G3844" s="0" t="inlineStr">
        <is>
          <t>WOMENS</t>
        </is>
      </c>
      <c r="H3844" s="0" t="inlineStr">
        <is>
          <t>L</t>
        </is>
      </c>
      <c r="I3844" s="0">
        <v>26.99</v>
      </c>
      <c r="J3844" s="0">
        <v>17</v>
      </c>
    </row>
    <row r="3845" spans="1:10" customHeight="0">
      <c r="A3845" s="0">
        <f>HYPERLINK("https://dl.dropboxusercontent.com/scl/fi/8d7i9fr5ixn914oq7qfc1/108166-af.jpg?rlkey=lirzoy7j1x6fahpwwe8855dqk&amp;dl=0","Click to download Image")</f>
      </c>
      <c r="B3845" s="0">
        <f>HYPERLINK("https://dl.dropboxusercontent.com/scl/fi/g3bqfpd5q3pyu7wyj5y09/womens-size-chartsmisty.jpg?rlkey=4e44r3konouse2vce1kufknj9&amp;dl=0","Click to download SizeChart")</f>
      </c>
      <c r="C3845" s="0" t="inlineStr">
        <is>
          <t>Misty Womens Shorts</t>
        </is>
      </c>
      <c r="D3845" s="0" t="inlineStr">
        <is>
          <t>'108166</t>
        </is>
      </c>
      <c r="E3845" s="0" t="inlineStr">
        <is>
          <t>IOWA MISTY GREY:108166D-XL</t>
        </is>
      </c>
      <c r="F3845" s="0" t="inlineStr">
        <is>
          <t>'800108166048</t>
        </is>
      </c>
      <c r="G3845" s="0" t="inlineStr">
        <is>
          <t>WOMENS</t>
        </is>
      </c>
      <c r="H3845" s="0" t="inlineStr">
        <is>
          <t>XL</t>
        </is>
      </c>
      <c r="I3845" s="0">
        <v>26.99</v>
      </c>
      <c r="J3845" s="0">
        <v>5</v>
      </c>
    </row>
    <row r="3846" spans="1:10" customHeight="0">
      <c r="A3846" s="0">
        <f>HYPERLINK("https://dl.dropboxusercontent.com/scl/fi/8d7i9fr5ixn914oq7qfc1/108166-af.jpg?rlkey=lirzoy7j1x6fahpwwe8855dqk&amp;dl=0","Click to download Image")</f>
      </c>
      <c r="B3846" s="0">
        <f>HYPERLINK("https://dl.dropboxusercontent.com/scl/fi/g3bqfpd5q3pyu7wyj5y09/womens-size-chartsmisty.jpg?rlkey=4e44r3konouse2vce1kufknj9&amp;dl=0","Click to download SizeChart")</f>
      </c>
      <c r="C3846" s="0" t="inlineStr">
        <is>
          <t>Misty Womens Shorts</t>
        </is>
      </c>
      <c r="D3846" s="0" t="inlineStr">
        <is>
          <t>'108166</t>
        </is>
      </c>
      <c r="E3846" s="0" t="inlineStr">
        <is>
          <t>IOWA MISTY GREY:108166E-2XL</t>
        </is>
      </c>
      <c r="F3846" s="0" t="inlineStr">
        <is>
          <t>'800108166055</t>
        </is>
      </c>
      <c r="G3846" s="0" t="inlineStr">
        <is>
          <t>WOMENS</t>
        </is>
      </c>
      <c r="H3846" s="0" t="inlineStr">
        <is>
          <t>2XL</t>
        </is>
      </c>
      <c r="I3846" s="0">
        <v>28.99</v>
      </c>
      <c r="J3846" s="0">
        <v>4</v>
      </c>
    </row>
    <row r="3847" spans="1:10" customHeight="0">
      <c r="A3847" s="0">
        <f>HYPERLINK("https://dl.dropboxusercontent.com/scl/fi/8d7i9fr5ixn914oq7qfc1/108166-af.jpg?rlkey=lirzoy7j1x6fahpwwe8855dqk&amp;dl=0","Click to download Image")</f>
      </c>
      <c r="B3847" s="0">
        <f>HYPERLINK("https://dl.dropboxusercontent.com/scl/fi/g3bqfpd5q3pyu7wyj5y09/womens-size-chartsmisty.jpg?rlkey=4e44r3konouse2vce1kufknj9&amp;dl=0","Click to download SizeChart")</f>
      </c>
      <c r="C3847" s="0" t="inlineStr">
        <is>
          <t>Misty Womens Shorts</t>
        </is>
      </c>
      <c r="D3847" s="0" t="inlineStr">
        <is>
          <t>'108166</t>
        </is>
      </c>
      <c r="E3847" s="0" t="inlineStr">
        <is>
          <t>IOWA MISTY GREY:108166F-3XL</t>
        </is>
      </c>
      <c r="F3847" s="0" t="inlineStr">
        <is>
          <t>'800108166062</t>
        </is>
      </c>
      <c r="G3847" s="0" t="inlineStr">
        <is>
          <t>WOMENS</t>
        </is>
      </c>
      <c r="H3847" s="0" t="inlineStr">
        <is>
          <t>3XL</t>
        </is>
      </c>
      <c r="I3847" s="0">
        <v>28.99</v>
      </c>
      <c r="J3847" s="0">
        <v>4</v>
      </c>
    </row>
    <row r="3848" spans="1:10" customHeight="0">
      <c r="A3848" s="0">
        <f>HYPERLINK("https://dl.dropboxusercontent.com/scl/fi/8d7i9fr5ixn914oq7qfc1/108166-af.jpg?rlkey=lirzoy7j1x6fahpwwe8855dqk&amp;dl=0","Click to download Image")</f>
      </c>
      <c r="B3848" s="0">
        <f>HYPERLINK("https://dl.dropboxusercontent.com/scl/fi/g3bqfpd5q3pyu7wyj5y09/womens-size-chartsmisty.jpg?rlkey=4e44r3konouse2vce1kufknj9&amp;dl=0","Click to download SizeChart")</f>
      </c>
      <c r="C3848" s="0" t="inlineStr">
        <is>
          <t>Misty Womens Shorts</t>
        </is>
      </c>
      <c r="D3848" s="0" t="inlineStr">
        <is>
          <t>'108166</t>
        </is>
      </c>
      <c r="E3848" s="0" t="inlineStr">
        <is>
          <t>IOWA MISTY GREY 12 PACK:108166Z-12PK</t>
        </is>
      </c>
      <c r="F3848" s="0" t="inlineStr">
        <is>
          <t>'800108166109</t>
        </is>
      </c>
      <c r="G3848" s="0" t="inlineStr">
        <is>
          <t>WOMENS</t>
        </is>
      </c>
      <c r="H3848" s="0" t="inlineStr">
        <is>
          <t>12 PACK</t>
        </is>
      </c>
      <c r="I3848" s="0">
        <v>259.2</v>
      </c>
      <c r="J3848" s="0">
        <v>0</v>
      </c>
    </row>
    <row r="3849" spans="1:10" customHeight="0">
      <c r="A3849" s="0">
        <f>HYPERLINK("https://dl.dropboxusercontent.com/scl/fi/qa9t3ukvss9kx1466l1c1/111273-af.jpg?rlkey=rflru1akwaaoxcx9dm8hp1rdi&amp;dl=0","Click to download Image")</f>
      </c>
      <c r="B3849" s="0">
        <f>HYPERLINK("https://dl.dropboxusercontent.com/scl/fi/g3bqfpd5q3pyu7wyj5y09/womens-size-chartsmisty.jpg?rlkey=4e44r3konouse2vce1kufknj9&amp;dl=0","Click to download SizeChart")</f>
      </c>
      <c r="C3849" s="0" t="inlineStr">
        <is>
          <t>Misty Womens Shorts</t>
        </is>
      </c>
      <c r="D3849" s="0" t="inlineStr">
        <is>
          <t>'111273</t>
        </is>
      </c>
      <c r="E3849" s="0" t="inlineStr">
        <is>
          <t>UNI MISTY:111273A-S</t>
        </is>
      </c>
      <c r="F3849" s="0" t="inlineStr">
        <is>
          <t>'802111273010</t>
        </is>
      </c>
      <c r="G3849" s="0" t="inlineStr">
        <is>
          <t>WOMENS</t>
        </is>
      </c>
      <c r="H3849" s="0" t="inlineStr">
        <is>
          <t>S</t>
        </is>
      </c>
      <c r="I3849" s="0">
        <v>26.99</v>
      </c>
      <c r="J3849" s="0">
        <v>0</v>
      </c>
    </row>
    <row r="3850" spans="1:10" customHeight="0">
      <c r="A3850" s="0">
        <f>HYPERLINK("https://dl.dropboxusercontent.com/scl/fi/qa9t3ukvss9kx1466l1c1/111273-af.jpg?rlkey=rflru1akwaaoxcx9dm8hp1rdi&amp;dl=0","Click to download Image")</f>
      </c>
      <c r="B3850" s="0">
        <f>HYPERLINK("https://dl.dropboxusercontent.com/scl/fi/g3bqfpd5q3pyu7wyj5y09/womens-size-chartsmisty.jpg?rlkey=4e44r3konouse2vce1kufknj9&amp;dl=0","Click to download SizeChart")</f>
      </c>
      <c r="C3850" s="0" t="inlineStr">
        <is>
          <t>Misty Womens Shorts</t>
        </is>
      </c>
      <c r="D3850" s="0" t="inlineStr">
        <is>
          <t>'111273</t>
        </is>
      </c>
      <c r="E3850" s="0" t="inlineStr">
        <is>
          <t>UNI MISTY:111273B-M</t>
        </is>
      </c>
      <c r="F3850" s="0" t="inlineStr">
        <is>
          <t>'802111273027</t>
        </is>
      </c>
      <c r="G3850" s="0" t="inlineStr">
        <is>
          <t>WOMENS</t>
        </is>
      </c>
      <c r="H3850" s="0" t="inlineStr">
        <is>
          <t>M</t>
        </is>
      </c>
      <c r="I3850" s="0">
        <v>26.99</v>
      </c>
      <c r="J3850" s="0">
        <v>0</v>
      </c>
    </row>
    <row r="3851" spans="1:10" customHeight="0">
      <c r="A3851" s="0">
        <f>HYPERLINK("https://dl.dropboxusercontent.com/scl/fi/qa9t3ukvss9kx1466l1c1/111273-af.jpg?rlkey=rflru1akwaaoxcx9dm8hp1rdi&amp;dl=0","Click to download Image")</f>
      </c>
      <c r="B3851" s="0">
        <f>HYPERLINK("https://dl.dropboxusercontent.com/scl/fi/g3bqfpd5q3pyu7wyj5y09/womens-size-chartsmisty.jpg?rlkey=4e44r3konouse2vce1kufknj9&amp;dl=0","Click to download SizeChart")</f>
      </c>
      <c r="C3851" s="0" t="inlineStr">
        <is>
          <t>Misty Womens Shorts</t>
        </is>
      </c>
      <c r="D3851" s="0" t="inlineStr">
        <is>
          <t>'111273</t>
        </is>
      </c>
      <c r="E3851" s="0" t="inlineStr">
        <is>
          <t>UNI MISTY:111273C-L</t>
        </is>
      </c>
      <c r="F3851" s="0" t="inlineStr">
        <is>
          <t>'802111273034</t>
        </is>
      </c>
      <c r="G3851" s="0" t="inlineStr">
        <is>
          <t>WOMENS</t>
        </is>
      </c>
      <c r="H3851" s="0" t="inlineStr">
        <is>
          <t>L</t>
        </is>
      </c>
      <c r="I3851" s="0">
        <v>26.99</v>
      </c>
      <c r="J3851" s="0">
        <v>15</v>
      </c>
    </row>
    <row r="3852" spans="1:10" customHeight="0">
      <c r="A3852" s="0">
        <f>HYPERLINK("https://dl.dropboxusercontent.com/scl/fi/qa9t3ukvss9kx1466l1c1/111273-af.jpg?rlkey=rflru1akwaaoxcx9dm8hp1rdi&amp;dl=0","Click to download Image")</f>
      </c>
      <c r="B3852" s="0">
        <f>HYPERLINK("https://dl.dropboxusercontent.com/scl/fi/g3bqfpd5q3pyu7wyj5y09/womens-size-chartsmisty.jpg?rlkey=4e44r3konouse2vce1kufknj9&amp;dl=0","Click to download SizeChart")</f>
      </c>
      <c r="C3852" s="0" t="inlineStr">
        <is>
          <t>Misty Womens Shorts</t>
        </is>
      </c>
      <c r="D3852" s="0" t="inlineStr">
        <is>
          <t>'111273</t>
        </is>
      </c>
      <c r="E3852" s="0" t="inlineStr">
        <is>
          <t>UNI MISTY:111273D-XL</t>
        </is>
      </c>
      <c r="F3852" s="0" t="inlineStr">
        <is>
          <t>'802111273041</t>
        </is>
      </c>
      <c r="G3852" s="0" t="inlineStr">
        <is>
          <t>WOMENS</t>
        </is>
      </c>
      <c r="H3852" s="0" t="inlineStr">
        <is>
          <t>XL</t>
        </is>
      </c>
      <c r="I3852" s="0">
        <v>26.99</v>
      </c>
      <c r="J3852" s="0">
        <v>8</v>
      </c>
    </row>
    <row r="3853" spans="1:10" customHeight="0">
      <c r="A3853" s="0">
        <f>HYPERLINK("https://dl.dropboxusercontent.com/scl/fi/qa9t3ukvss9kx1466l1c1/111273-af.jpg?rlkey=rflru1akwaaoxcx9dm8hp1rdi&amp;dl=0","Click to download Image")</f>
      </c>
      <c r="B3853" s="0">
        <f>HYPERLINK("https://dl.dropboxusercontent.com/scl/fi/g3bqfpd5q3pyu7wyj5y09/womens-size-chartsmisty.jpg?rlkey=4e44r3konouse2vce1kufknj9&amp;dl=0","Click to download SizeChart")</f>
      </c>
      <c r="C3853" s="0" t="inlineStr">
        <is>
          <t>Misty Womens Shorts</t>
        </is>
      </c>
      <c r="D3853" s="0" t="inlineStr">
        <is>
          <t>'111273</t>
        </is>
      </c>
      <c r="E3853" s="0" t="inlineStr">
        <is>
          <t>UNI MISTY:111273E-2XL</t>
        </is>
      </c>
      <c r="F3853" s="0" t="inlineStr">
        <is>
          <t>'802111273058</t>
        </is>
      </c>
      <c r="G3853" s="0" t="inlineStr">
        <is>
          <t>WOMENS</t>
        </is>
      </c>
      <c r="H3853" s="0" t="inlineStr">
        <is>
          <t>2XL</t>
        </is>
      </c>
      <c r="I3853" s="0">
        <v>28.99</v>
      </c>
      <c r="J3853" s="0">
        <v>4</v>
      </c>
    </row>
    <row r="3854" spans="1:10" customHeight="0">
      <c r="A3854" s="0">
        <f>HYPERLINK("https://dl.dropboxusercontent.com/scl/fi/qa9t3ukvss9kx1466l1c1/111273-af.jpg?rlkey=rflru1akwaaoxcx9dm8hp1rdi&amp;dl=0","Click to download Image")</f>
      </c>
      <c r="B3854" s="0">
        <f>HYPERLINK("https://dl.dropboxusercontent.com/scl/fi/g3bqfpd5q3pyu7wyj5y09/womens-size-chartsmisty.jpg?rlkey=4e44r3konouse2vce1kufknj9&amp;dl=0","Click to download SizeChart")</f>
      </c>
      <c r="C3854" s="0" t="inlineStr">
        <is>
          <t>Misty Womens Shorts</t>
        </is>
      </c>
      <c r="D3854" s="0" t="inlineStr">
        <is>
          <t>'111273</t>
        </is>
      </c>
      <c r="E3854" s="0" t="inlineStr">
        <is>
          <t>UNI MISTY:111273F-3XL</t>
        </is>
      </c>
      <c r="F3854" s="0" t="inlineStr">
        <is>
          <t>'802111273065</t>
        </is>
      </c>
      <c r="G3854" s="0" t="inlineStr">
        <is>
          <t>WOMENS</t>
        </is>
      </c>
      <c r="H3854" s="0" t="inlineStr">
        <is>
          <t>3XL</t>
        </is>
      </c>
      <c r="I3854" s="0">
        <v>28.99</v>
      </c>
      <c r="J3854" s="0">
        <v>1</v>
      </c>
    </row>
    <row r="3855" spans="1:10" customHeight="0">
      <c r="A3855" s="0">
        <f>HYPERLINK("https://dl.dropboxusercontent.com/scl/fi/qa9t3ukvss9kx1466l1c1/111273-af.jpg?rlkey=rflru1akwaaoxcx9dm8hp1rdi&amp;dl=0","Click to download Image")</f>
      </c>
      <c r="B3855" s="0">
        <f>HYPERLINK("https://dl.dropboxusercontent.com/scl/fi/g3bqfpd5q3pyu7wyj5y09/womens-size-chartsmisty.jpg?rlkey=4e44r3konouse2vce1kufknj9&amp;dl=0","Click to download SizeChart")</f>
      </c>
      <c r="C3855" s="0" t="inlineStr">
        <is>
          <t>Misty Womens Shorts</t>
        </is>
      </c>
      <c r="D3855" s="0" t="inlineStr">
        <is>
          <t>'111273</t>
        </is>
      </c>
      <c r="E3855" s="0" t="inlineStr">
        <is>
          <t>UNI MISTY 12 PACK:111273Z-12PK</t>
        </is>
      </c>
      <c r="F3855" s="0" t="inlineStr">
        <is>
          <t>'802111273997</t>
        </is>
      </c>
      <c r="G3855" s="0" t="inlineStr">
        <is>
          <t>WOMENS</t>
        </is>
      </c>
      <c r="H3855" s="0" t="inlineStr">
        <is>
          <t>12 PACK</t>
        </is>
      </c>
      <c r="I3855" s="0">
        <v>259.2</v>
      </c>
      <c r="J3855" s="0">
        <v>0</v>
      </c>
    </row>
    <row r="3856" spans="1:10" customHeight="0">
      <c r="A3856" s="0">
        <f>HYPERLINK("https://dl.dropboxusercontent.com/scl/fi/3yen1v8piaei9c7mrxp1s/110689-d.jpg?rlkey=haz4doe1lx1084gbz9rdf8oar&amp;dl=0","Click to download Image")</f>
      </c>
      <c r="B3856" s="0">
        <f>HYPERLINK("https://dl.dropboxusercontent.com/scl/fi/egdzoswrqebirixh140ka/graphic-update22022-infant.jpg?rlkey=aquxn0hi9ra7jcofsxrdg1qiv&amp;dl=0","Click to download SizeChart")</f>
      </c>
      <c r="C3856" s="0" t="inlineStr">
        <is>
          <t>Moore Infant Dress With Diaper Cover</t>
        </is>
      </c>
      <c r="D3856" s="0" t="inlineStr">
        <is>
          <t>'110689</t>
        </is>
      </c>
      <c r="E3856" s="0" t="inlineStr">
        <is>
          <t>IOWA MOORE BLACK:110689A-0-3M</t>
        </is>
      </c>
      <c r="F3856" s="0" t="inlineStr">
        <is>
          <t>'800110689009</t>
        </is>
      </c>
      <c r="G3856" s="0" t="inlineStr">
        <is>
          <t>INFANT</t>
        </is>
      </c>
      <c r="H3856" s="0" t="inlineStr">
        <is>
          <t>0-3M</t>
        </is>
      </c>
      <c r="I3856" s="0">
        <v>29.99</v>
      </c>
      <c r="J3856" s="0">
        <v>40</v>
      </c>
    </row>
    <row r="3857" spans="1:10" customHeight="0">
      <c r="A3857" s="0">
        <f>HYPERLINK("https://dl.dropboxusercontent.com/scl/fi/3yen1v8piaei9c7mrxp1s/110689-d.jpg?rlkey=haz4doe1lx1084gbz9rdf8oar&amp;dl=0","Click to download Image")</f>
      </c>
      <c r="B3857" s="0">
        <f>HYPERLINK("https://dl.dropboxusercontent.com/scl/fi/egdzoswrqebirixh140ka/graphic-update22022-infant.jpg?rlkey=aquxn0hi9ra7jcofsxrdg1qiv&amp;dl=0","Click to download SizeChart")</f>
      </c>
      <c r="C3857" s="0" t="inlineStr">
        <is>
          <t>Moore Infant Dress With Diaper Cover</t>
        </is>
      </c>
      <c r="D3857" s="0" t="inlineStr">
        <is>
          <t>'110689</t>
        </is>
      </c>
      <c r="E3857" s="0" t="inlineStr">
        <is>
          <t>IOWA MOORE BLACK:110689B-3-6M</t>
        </is>
      </c>
      <c r="F3857" s="0" t="inlineStr">
        <is>
          <t>'800110689016</t>
        </is>
      </c>
      <c r="G3857" s="0" t="inlineStr">
        <is>
          <t>INFANT</t>
        </is>
      </c>
      <c r="H3857" s="0" t="inlineStr">
        <is>
          <t>3-6M</t>
        </is>
      </c>
      <c r="I3857" s="0">
        <v>29.99</v>
      </c>
      <c r="J3857" s="0">
        <v>33</v>
      </c>
    </row>
    <row r="3858" spans="1:10" customHeight="0">
      <c r="A3858" s="0">
        <f>HYPERLINK("https://dl.dropboxusercontent.com/scl/fi/3yen1v8piaei9c7mrxp1s/110689-d.jpg?rlkey=haz4doe1lx1084gbz9rdf8oar&amp;dl=0","Click to download Image")</f>
      </c>
      <c r="B3858" s="0">
        <f>HYPERLINK("https://dl.dropboxusercontent.com/scl/fi/egdzoswrqebirixh140ka/graphic-update22022-infant.jpg?rlkey=aquxn0hi9ra7jcofsxrdg1qiv&amp;dl=0","Click to download SizeChart")</f>
      </c>
      <c r="C3858" s="0" t="inlineStr">
        <is>
          <t>Moore Infant Dress With Diaper Cover</t>
        </is>
      </c>
      <c r="D3858" s="0" t="inlineStr">
        <is>
          <t>'110689</t>
        </is>
      </c>
      <c r="E3858" s="0" t="inlineStr">
        <is>
          <t>IOWA MOORE BLACK:110689C-6-9M</t>
        </is>
      </c>
      <c r="F3858" s="0" t="inlineStr">
        <is>
          <t>'800110689023</t>
        </is>
      </c>
      <c r="G3858" s="0" t="inlineStr">
        <is>
          <t>INFANT</t>
        </is>
      </c>
      <c r="H3858" s="0" t="inlineStr">
        <is>
          <t>6-9M</t>
        </is>
      </c>
      <c r="I3858" s="0">
        <v>29.99</v>
      </c>
      <c r="J3858" s="0">
        <v>28</v>
      </c>
    </row>
    <row r="3859" spans="1:10" customHeight="0">
      <c r="A3859" s="0">
        <f>HYPERLINK("https://dl.dropboxusercontent.com/scl/fi/3yen1v8piaei9c7mrxp1s/110689-d.jpg?rlkey=haz4doe1lx1084gbz9rdf8oar&amp;dl=0","Click to download Image")</f>
      </c>
      <c r="B3859" s="0">
        <f>HYPERLINK("https://dl.dropboxusercontent.com/scl/fi/egdzoswrqebirixh140ka/graphic-update22022-infant.jpg?rlkey=aquxn0hi9ra7jcofsxrdg1qiv&amp;dl=0","Click to download SizeChart")</f>
      </c>
      <c r="C3859" s="0" t="inlineStr">
        <is>
          <t>Moore Infant Dress With Diaper Cover</t>
        </is>
      </c>
      <c r="D3859" s="0" t="inlineStr">
        <is>
          <t>'110689</t>
        </is>
      </c>
      <c r="E3859" s="0" t="inlineStr">
        <is>
          <t>IOWA MOORE BLACK:110689F-12M</t>
        </is>
      </c>
      <c r="F3859" s="0" t="inlineStr">
        <is>
          <t>'800110689030</t>
        </is>
      </c>
      <c r="G3859" s="0" t="inlineStr">
        <is>
          <t>INFANT</t>
        </is>
      </c>
      <c r="H3859" s="0" t="inlineStr">
        <is>
          <t>12M</t>
        </is>
      </c>
      <c r="I3859" s="0">
        <v>29.99</v>
      </c>
      <c r="J3859" s="0">
        <v>32</v>
      </c>
    </row>
    <row r="3860" spans="1:10" customHeight="0">
      <c r="A3860" s="0">
        <f>HYPERLINK("https://dl.dropboxusercontent.com/scl/fi/3yen1v8piaei9c7mrxp1s/110689-d.jpg?rlkey=haz4doe1lx1084gbz9rdf8oar&amp;dl=0","Click to download Image")</f>
      </c>
      <c r="B3860" s="0">
        <f>HYPERLINK("https://dl.dropboxusercontent.com/scl/fi/egdzoswrqebirixh140ka/graphic-update22022-infant.jpg?rlkey=aquxn0hi9ra7jcofsxrdg1qiv&amp;dl=0","Click to download SizeChart")</f>
      </c>
      <c r="C3860" s="0" t="inlineStr">
        <is>
          <t>Moore Infant Dress With Diaper Cover</t>
        </is>
      </c>
      <c r="D3860" s="0" t="inlineStr">
        <is>
          <t>'110689</t>
        </is>
      </c>
      <c r="E3860" s="0" t="inlineStr">
        <is>
          <t>IOWA MOORE BLACK 12 PACK:110689Z-12PK</t>
        </is>
      </c>
      <c r="F3860" s="0" t="inlineStr">
        <is>
          <t>'800110689993</t>
        </is>
      </c>
      <c r="G3860" s="0" t="inlineStr">
        <is>
          <t>INFANT</t>
        </is>
      </c>
      <c r="H3860" s="0" t="inlineStr">
        <is>
          <t>12 PACK</t>
        </is>
      </c>
      <c r="I3860" s="0">
        <v>335.88</v>
      </c>
      <c r="J3860" s="0">
        <v>0</v>
      </c>
    </row>
    <row r="3861" spans="1:10" customHeight="0">
      <c r="A3861" s="0">
        <f>HYPERLINK("https://dl.dropboxusercontent.com/scl/fi/0b1lg9i5uwc6d8dfzlhlc/109839-d.jpg?rlkey=igu9z085h0opttsxixcpxq04g&amp;dl=0","Click to download Image")</f>
      </c>
      <c r="B3861" s="0">
        <f>HYPERLINK("https://dl.dropboxusercontent.com/scl/fi/egdzoswrqebirixh140ka/graphic-update22022-infant.jpg?rlkey=aquxn0hi9ra7jcofsxrdg1qiv&amp;dl=0","Click to download SizeChart")</f>
      </c>
      <c r="C3861" s="0" t="inlineStr">
        <is>
          <t>Moore Infant Dress With Diaper Cover</t>
        </is>
      </c>
      <c r="D3861" s="0" t="inlineStr">
        <is>
          <t>'109839</t>
        </is>
      </c>
      <c r="E3861" s="0" t="inlineStr">
        <is>
          <t>ISU MOORE CARDINAL:109839A-0-3M</t>
        </is>
      </c>
      <c r="F3861" s="0" t="inlineStr">
        <is>
          <t>'801109839009</t>
        </is>
      </c>
      <c r="G3861" s="0" t="inlineStr">
        <is>
          <t>INFANT</t>
        </is>
      </c>
      <c r="H3861" s="0" t="inlineStr">
        <is>
          <t>0-3M</t>
        </is>
      </c>
      <c r="I3861" s="0">
        <v>29.99</v>
      </c>
      <c r="J3861" s="0">
        <v>4</v>
      </c>
    </row>
    <row r="3862" spans="1:10" customHeight="0">
      <c r="A3862" s="0">
        <f>HYPERLINK("https://dl.dropboxusercontent.com/scl/fi/0b1lg9i5uwc6d8dfzlhlc/109839-d.jpg?rlkey=igu9z085h0opttsxixcpxq04g&amp;dl=0","Click to download Image")</f>
      </c>
      <c r="B3862" s="0">
        <f>HYPERLINK("https://dl.dropboxusercontent.com/scl/fi/egdzoswrqebirixh140ka/graphic-update22022-infant.jpg?rlkey=aquxn0hi9ra7jcofsxrdg1qiv&amp;dl=0","Click to download SizeChart")</f>
      </c>
      <c r="C3862" s="0" t="inlineStr">
        <is>
          <t>Moore Infant Dress With Diaper Cover</t>
        </is>
      </c>
      <c r="D3862" s="0" t="inlineStr">
        <is>
          <t>'109839</t>
        </is>
      </c>
      <c r="E3862" s="0" t="inlineStr">
        <is>
          <t>ISU MOORE CARDINAL:109839B-3-6M</t>
        </is>
      </c>
      <c r="F3862" s="0" t="inlineStr">
        <is>
          <t>'801109839016</t>
        </is>
      </c>
      <c r="G3862" s="0" t="inlineStr">
        <is>
          <t>INFANT</t>
        </is>
      </c>
      <c r="H3862" s="0" t="inlineStr">
        <is>
          <t>3-6M</t>
        </is>
      </c>
      <c r="I3862" s="0">
        <v>29.99</v>
      </c>
      <c r="J3862" s="0">
        <v>1</v>
      </c>
    </row>
    <row r="3863" spans="1:10" customHeight="0">
      <c r="A3863" s="0">
        <f>HYPERLINK("https://dl.dropboxusercontent.com/scl/fi/0b1lg9i5uwc6d8dfzlhlc/109839-d.jpg?rlkey=igu9z085h0opttsxixcpxq04g&amp;dl=0","Click to download Image")</f>
      </c>
      <c r="B3863" s="0">
        <f>HYPERLINK("https://dl.dropboxusercontent.com/scl/fi/egdzoswrqebirixh140ka/graphic-update22022-infant.jpg?rlkey=aquxn0hi9ra7jcofsxrdg1qiv&amp;dl=0","Click to download SizeChart")</f>
      </c>
      <c r="C3863" s="0" t="inlineStr">
        <is>
          <t>Moore Infant Dress With Diaper Cover</t>
        </is>
      </c>
      <c r="D3863" s="0" t="inlineStr">
        <is>
          <t>'109839</t>
        </is>
      </c>
      <c r="E3863" s="0" t="inlineStr">
        <is>
          <t>ISU MOORE CARDINAL:109839C-6-9M</t>
        </is>
      </c>
      <c r="F3863" s="0" t="inlineStr">
        <is>
          <t>'801109839023</t>
        </is>
      </c>
      <c r="G3863" s="0" t="inlineStr">
        <is>
          <t>INFANT</t>
        </is>
      </c>
      <c r="H3863" s="0" t="inlineStr">
        <is>
          <t>6-9M</t>
        </is>
      </c>
      <c r="I3863" s="0">
        <v>29.99</v>
      </c>
      <c r="J3863" s="0">
        <v>7</v>
      </c>
    </row>
    <row r="3864" spans="1:10" customHeight="0">
      <c r="A3864" s="0">
        <f>HYPERLINK("https://dl.dropboxusercontent.com/scl/fi/0b1lg9i5uwc6d8dfzlhlc/109839-d.jpg?rlkey=igu9z085h0opttsxixcpxq04g&amp;dl=0","Click to download Image")</f>
      </c>
      <c r="B3864" s="0">
        <f>HYPERLINK("https://dl.dropboxusercontent.com/scl/fi/egdzoswrqebirixh140ka/graphic-update22022-infant.jpg?rlkey=aquxn0hi9ra7jcofsxrdg1qiv&amp;dl=0","Click to download SizeChart")</f>
      </c>
      <c r="C3864" s="0" t="inlineStr">
        <is>
          <t>Moore Infant Dress With Diaper Cover</t>
        </is>
      </c>
      <c r="D3864" s="0" t="inlineStr">
        <is>
          <t>'109839</t>
        </is>
      </c>
      <c r="E3864" s="0" t="inlineStr">
        <is>
          <t>ISU MOORE CARDINAL:109839F-12M</t>
        </is>
      </c>
      <c r="F3864" s="0" t="inlineStr">
        <is>
          <t>'801109839030</t>
        </is>
      </c>
      <c r="G3864" s="0" t="inlineStr">
        <is>
          <t>INFANT</t>
        </is>
      </c>
      <c r="H3864" s="0" t="inlineStr">
        <is>
          <t>12M</t>
        </is>
      </c>
      <c r="I3864" s="0">
        <v>29.99</v>
      </c>
      <c r="J3864" s="0">
        <v>1</v>
      </c>
    </row>
    <row r="3865" spans="1:10" customHeight="0">
      <c r="A3865" s="0">
        <f>HYPERLINK("https://dl.dropboxusercontent.com/scl/fi/0b1lg9i5uwc6d8dfzlhlc/109839-d.jpg?rlkey=igu9z085h0opttsxixcpxq04g&amp;dl=0","Click to download Image")</f>
      </c>
      <c r="B3865" s="0">
        <f>HYPERLINK("https://dl.dropboxusercontent.com/scl/fi/egdzoswrqebirixh140ka/graphic-update22022-infant.jpg?rlkey=aquxn0hi9ra7jcofsxrdg1qiv&amp;dl=0","Click to download SizeChart")</f>
      </c>
      <c r="C3865" s="0" t="inlineStr">
        <is>
          <t>Moore Infant Dress With Diaper Cover</t>
        </is>
      </c>
      <c r="D3865" s="0" t="inlineStr">
        <is>
          <t>'109839</t>
        </is>
      </c>
      <c r="E3865" s="0" t="inlineStr">
        <is>
          <t>ISU MOORE CARDINAL 12 PACK:109839Z-12PK</t>
        </is>
      </c>
      <c r="F3865" s="0" t="inlineStr">
        <is>
          <t>'801109839993</t>
        </is>
      </c>
      <c r="G3865" s="0" t="inlineStr">
        <is>
          <t>INFANT</t>
        </is>
      </c>
      <c r="H3865" s="0" t="inlineStr">
        <is>
          <t>12 PACK</t>
        </is>
      </c>
      <c r="I3865" s="0">
        <v>335.88</v>
      </c>
      <c r="J3865" s="0">
        <v>0</v>
      </c>
    </row>
    <row r="3866" spans="1:10" customHeight="0">
      <c r="A3866" s="0">
        <f>HYPERLINK("https://dl.dropboxusercontent.com/scl/fi/5nqj6sxfkvp6qyswh4fez/113153-af.jpg?rlkey=b9ndyw5izxioi9c8uo9cptwm1&amp;dl=0","Click to download Image")</f>
      </c>
      <c r="B3866" s="0">
        <f>HYPERLINK("https://dl.dropboxusercontent.com/scl/fi/etoyrbgfat9qc6slc40mz/womens-long-sleeve-size-chartscarmen.jpg?rlkey=jceblgdg7jj0akavbcy29mzki&amp;dl=0","Click to download SizeChart")</f>
      </c>
      <c r="C3866" s="0" t="inlineStr">
        <is>
          <t>Carmen Womens Long Sleeve Shirt</t>
        </is>
      </c>
      <c r="D3866" s="0" t="inlineStr">
        <is>
          <t>'113153</t>
        </is>
      </c>
      <c r="E3866" s="0" t="inlineStr">
        <is>
          <t>ISU CARMEN W CARDINAL:113153A-S</t>
        </is>
      </c>
      <c r="F3866" s="0" t="inlineStr">
        <is>
          <t>'801113153047</t>
        </is>
      </c>
      <c r="G3866" s="0" t="inlineStr">
        <is>
          <t>WOMENS</t>
        </is>
      </c>
      <c r="H3866" s="0" t="inlineStr">
        <is>
          <t>S</t>
        </is>
      </c>
      <c r="I3866" s="0">
        <v>42.99</v>
      </c>
      <c r="J3866" s="0">
        <v>4</v>
      </c>
    </row>
    <row r="3867" spans="1:10" customHeight="0">
      <c r="A3867" s="0">
        <f>HYPERLINK("https://dl.dropboxusercontent.com/scl/fi/5nqj6sxfkvp6qyswh4fez/113153-af.jpg?rlkey=b9ndyw5izxioi9c8uo9cptwm1&amp;dl=0","Click to download Image")</f>
      </c>
      <c r="B3867" s="0">
        <f>HYPERLINK("https://dl.dropboxusercontent.com/scl/fi/etoyrbgfat9qc6slc40mz/womens-long-sleeve-size-chartscarmen.jpg?rlkey=jceblgdg7jj0akavbcy29mzki&amp;dl=0","Click to download SizeChart")</f>
      </c>
      <c r="C3867" s="0" t="inlineStr">
        <is>
          <t>Carmen Womens Long Sleeve Shirt</t>
        </is>
      </c>
      <c r="D3867" s="0" t="inlineStr">
        <is>
          <t>'113153</t>
        </is>
      </c>
      <c r="E3867" s="0" t="inlineStr">
        <is>
          <t>ISU CARMEN W CARDINAL:113153B-M</t>
        </is>
      </c>
      <c r="F3867" s="0" t="inlineStr">
        <is>
          <t>'801113153054</t>
        </is>
      </c>
      <c r="G3867" s="0" t="inlineStr">
        <is>
          <t>WOMENS</t>
        </is>
      </c>
      <c r="H3867" s="0" t="inlineStr">
        <is>
          <t>M</t>
        </is>
      </c>
      <c r="I3867" s="0">
        <v>42.99</v>
      </c>
      <c r="J3867" s="0">
        <v>13</v>
      </c>
    </row>
    <row r="3868" spans="1:10" customHeight="0">
      <c r="A3868" s="0">
        <f>HYPERLINK("https://dl.dropboxusercontent.com/scl/fi/5nqj6sxfkvp6qyswh4fez/113153-af.jpg?rlkey=b9ndyw5izxioi9c8uo9cptwm1&amp;dl=0","Click to download Image")</f>
      </c>
      <c r="B3868" s="0">
        <f>HYPERLINK("https://dl.dropboxusercontent.com/scl/fi/etoyrbgfat9qc6slc40mz/womens-long-sleeve-size-chartscarmen.jpg?rlkey=jceblgdg7jj0akavbcy29mzki&amp;dl=0","Click to download SizeChart")</f>
      </c>
      <c r="C3868" s="0" t="inlineStr">
        <is>
          <t>Carmen Womens Long Sleeve Shirt</t>
        </is>
      </c>
      <c r="D3868" s="0" t="inlineStr">
        <is>
          <t>'113153</t>
        </is>
      </c>
      <c r="E3868" s="0" t="inlineStr">
        <is>
          <t>ISU CARMEN W CARDINAL:113153C-L</t>
        </is>
      </c>
      <c r="F3868" s="0" t="inlineStr">
        <is>
          <t>'801113153061</t>
        </is>
      </c>
      <c r="G3868" s="0" t="inlineStr">
        <is>
          <t>WOMENS</t>
        </is>
      </c>
      <c r="H3868" s="0" t="inlineStr">
        <is>
          <t>L</t>
        </is>
      </c>
      <c r="I3868" s="0">
        <v>42.99</v>
      </c>
      <c r="J3868" s="0">
        <v>12</v>
      </c>
    </row>
    <row r="3869" spans="1:10" customHeight="0">
      <c r="A3869" s="0">
        <f>HYPERLINK("https://dl.dropboxusercontent.com/scl/fi/5nqj6sxfkvp6qyswh4fez/113153-af.jpg?rlkey=b9ndyw5izxioi9c8uo9cptwm1&amp;dl=0","Click to download Image")</f>
      </c>
      <c r="B3869" s="0">
        <f>HYPERLINK("https://dl.dropboxusercontent.com/scl/fi/etoyrbgfat9qc6slc40mz/womens-long-sleeve-size-chartscarmen.jpg?rlkey=jceblgdg7jj0akavbcy29mzki&amp;dl=0","Click to download SizeChart")</f>
      </c>
      <c r="C3869" s="0" t="inlineStr">
        <is>
          <t>Carmen Womens Long Sleeve Shirt</t>
        </is>
      </c>
      <c r="D3869" s="0" t="inlineStr">
        <is>
          <t>'113153</t>
        </is>
      </c>
      <c r="E3869" s="0" t="inlineStr">
        <is>
          <t>ISU CARMEN W CARDINAL:113153D-XL</t>
        </is>
      </c>
      <c r="F3869" s="0" t="inlineStr">
        <is>
          <t>'801113153078</t>
        </is>
      </c>
      <c r="G3869" s="0" t="inlineStr">
        <is>
          <t>WOMENS</t>
        </is>
      </c>
      <c r="H3869" s="0" t="inlineStr">
        <is>
          <t>XL</t>
        </is>
      </c>
      <c r="I3869" s="0">
        <v>42.99</v>
      </c>
      <c r="J3869" s="0">
        <v>2</v>
      </c>
    </row>
    <row r="3870" spans="1:10" customHeight="0">
      <c r="A3870" s="0">
        <f>HYPERLINK("https://dl.dropboxusercontent.com/scl/fi/5nqj6sxfkvp6qyswh4fez/113153-af.jpg?rlkey=b9ndyw5izxioi9c8uo9cptwm1&amp;dl=0","Click to download Image")</f>
      </c>
      <c r="B3870" s="0">
        <f>HYPERLINK("https://dl.dropboxusercontent.com/scl/fi/etoyrbgfat9qc6slc40mz/womens-long-sleeve-size-chartscarmen.jpg?rlkey=jceblgdg7jj0akavbcy29mzki&amp;dl=0","Click to download SizeChart")</f>
      </c>
      <c r="C3870" s="0" t="inlineStr">
        <is>
          <t>Carmen Womens Long Sleeve Shirt</t>
        </is>
      </c>
      <c r="D3870" s="0" t="inlineStr">
        <is>
          <t>'113153</t>
        </is>
      </c>
      <c r="E3870" s="0" t="inlineStr">
        <is>
          <t>ISU CARMEN W CARDINAL:113153E-2XL</t>
        </is>
      </c>
      <c r="F3870" s="0" t="inlineStr">
        <is>
          <t>'801113153085</t>
        </is>
      </c>
      <c r="G3870" s="0" t="inlineStr">
        <is>
          <t>WOMENS</t>
        </is>
      </c>
      <c r="H3870" s="0" t="inlineStr">
        <is>
          <t>2XL</t>
        </is>
      </c>
      <c r="I3870" s="0">
        <v>44.99</v>
      </c>
      <c r="J3870" s="0">
        <v>2</v>
      </c>
    </row>
    <row r="3871" spans="1:10" customHeight="0">
      <c r="A3871" s="0">
        <f>HYPERLINK("https://dl.dropboxusercontent.com/scl/fi/5nqj6sxfkvp6qyswh4fez/113153-af.jpg?rlkey=b9ndyw5izxioi9c8uo9cptwm1&amp;dl=0","Click to download Image")</f>
      </c>
      <c r="B3871" s="0">
        <f>HYPERLINK("https://dl.dropboxusercontent.com/scl/fi/etoyrbgfat9qc6slc40mz/womens-long-sleeve-size-chartscarmen.jpg?rlkey=jceblgdg7jj0akavbcy29mzki&amp;dl=0","Click to download SizeChart")</f>
      </c>
      <c r="C3871" s="0" t="inlineStr">
        <is>
          <t>Carmen Womens Long Sleeve Shirt</t>
        </is>
      </c>
      <c r="D3871" s="0" t="inlineStr">
        <is>
          <t>'113153</t>
        </is>
      </c>
      <c r="E3871" s="0" t="inlineStr">
        <is>
          <t>ISU CARMEN W CARDINAL:113153F-3XL</t>
        </is>
      </c>
      <c r="F3871" s="0" t="inlineStr">
        <is>
          <t>'801113153092</t>
        </is>
      </c>
      <c r="G3871" s="0" t="inlineStr">
        <is>
          <t>WOMENS</t>
        </is>
      </c>
      <c r="H3871" s="0" t="inlineStr">
        <is>
          <t>3XL</t>
        </is>
      </c>
      <c r="I3871" s="0">
        <v>44.99</v>
      </c>
      <c r="J3871" s="0">
        <v>1</v>
      </c>
    </row>
    <row r="3872" spans="1:10" customHeight="0">
      <c r="A3872" s="0">
        <f>HYPERLINK("https://dl.dropboxusercontent.com/scl/fi/5nqj6sxfkvp6qyswh4fez/113153-af.jpg?rlkey=b9ndyw5izxioi9c8uo9cptwm1&amp;dl=0","Click to download Image")</f>
      </c>
      <c r="B3872" s="0">
        <f>HYPERLINK("https://dl.dropboxusercontent.com/scl/fi/etoyrbgfat9qc6slc40mz/womens-long-sleeve-size-chartscarmen.jpg?rlkey=jceblgdg7jj0akavbcy29mzki&amp;dl=0","Click to download SizeChart")</f>
      </c>
      <c r="C3872" s="0" t="inlineStr">
        <is>
          <t>Carmen Womens Long Sleeve Shirt</t>
        </is>
      </c>
      <c r="D3872" s="0" t="inlineStr">
        <is>
          <t>'113153</t>
        </is>
      </c>
      <c r="E3872" s="0" t="inlineStr">
        <is>
          <t>ISU CARMEN W CARDINAL 12 PACK:113153Z-12PK</t>
        </is>
      </c>
      <c r="F3872" s="0" t="inlineStr">
        <is>
          <t>'801113153993</t>
        </is>
      </c>
      <c r="G3872" s="0" t="inlineStr">
        <is>
          <t>WOMENS</t>
        </is>
      </c>
      <c r="H3872" s="0" t="inlineStr">
        <is>
          <t>12 PACK</t>
        </is>
      </c>
      <c r="I3872" s="0">
        <v>491.88</v>
      </c>
      <c r="J3872" s="0">
        <v>0</v>
      </c>
    </row>
    <row r="3873" spans="1:10" customHeight="0">
      <c r="A3873" s="0">
        <f>HYPERLINK("https://dl.dropboxusercontent.com/scl/fi/b2ciibpqy1vmgiddap7rg/113152-af.jpg?rlkey=ap4dkwstszsc769f6slbfv24n&amp;dl=0","Click to download Image")</f>
      </c>
      <c r="B3873" s="0">
        <f>HYPERLINK("https://dl.dropboxusercontent.com/scl/fi/etoyrbgfat9qc6slc40mz/womens-long-sleeve-size-chartscarmen.jpg?rlkey=jceblgdg7jj0akavbcy29mzki&amp;dl=0","Click to download SizeChart")</f>
      </c>
      <c r="C3873" s="0" t="inlineStr">
        <is>
          <t>Carmen Womens Long Sleeve Shirt</t>
        </is>
      </c>
      <c r="D3873" s="0" t="inlineStr">
        <is>
          <t>'113152</t>
        </is>
      </c>
      <c r="E3873" s="0" t="inlineStr">
        <is>
          <t>IOWA CARMEN WOMEN BLACK:113152A-S</t>
        </is>
      </c>
      <c r="F3873" s="0" t="inlineStr">
        <is>
          <t>'800113152043</t>
        </is>
      </c>
      <c r="G3873" s="0" t="inlineStr">
        <is>
          <t>WOMENS</t>
        </is>
      </c>
      <c r="H3873" s="0" t="inlineStr">
        <is>
          <t>S</t>
        </is>
      </c>
      <c r="I3873" s="0">
        <v>42.99</v>
      </c>
      <c r="J3873" s="0">
        <v>17</v>
      </c>
    </row>
    <row r="3874" spans="1:10" customHeight="0">
      <c r="A3874" s="0">
        <f>HYPERLINK("https://dl.dropboxusercontent.com/scl/fi/b2ciibpqy1vmgiddap7rg/113152-af.jpg?rlkey=ap4dkwstszsc769f6slbfv24n&amp;dl=0","Click to download Image")</f>
      </c>
      <c r="B3874" s="0">
        <f>HYPERLINK("https://dl.dropboxusercontent.com/scl/fi/etoyrbgfat9qc6slc40mz/womens-long-sleeve-size-chartscarmen.jpg?rlkey=jceblgdg7jj0akavbcy29mzki&amp;dl=0","Click to download SizeChart")</f>
      </c>
      <c r="C3874" s="0" t="inlineStr">
        <is>
          <t>Carmen Womens Long Sleeve Shirt</t>
        </is>
      </c>
      <c r="D3874" s="0" t="inlineStr">
        <is>
          <t>'113152</t>
        </is>
      </c>
      <c r="E3874" s="0" t="inlineStr">
        <is>
          <t>IOWA CARMEN WOMEN BLACK:113152B-M</t>
        </is>
      </c>
      <c r="F3874" s="0" t="inlineStr">
        <is>
          <t>'800113152050</t>
        </is>
      </c>
      <c r="G3874" s="0" t="inlineStr">
        <is>
          <t>WOMENS</t>
        </is>
      </c>
      <c r="H3874" s="0" t="inlineStr">
        <is>
          <t>M</t>
        </is>
      </c>
      <c r="I3874" s="0">
        <v>42.99</v>
      </c>
      <c r="J3874" s="0">
        <v>40</v>
      </c>
    </row>
    <row r="3875" spans="1:10" customHeight="0">
      <c r="A3875" s="0">
        <f>HYPERLINK("https://dl.dropboxusercontent.com/scl/fi/b2ciibpqy1vmgiddap7rg/113152-af.jpg?rlkey=ap4dkwstszsc769f6slbfv24n&amp;dl=0","Click to download Image")</f>
      </c>
      <c r="B3875" s="0">
        <f>HYPERLINK("https://dl.dropboxusercontent.com/scl/fi/etoyrbgfat9qc6slc40mz/womens-long-sleeve-size-chartscarmen.jpg?rlkey=jceblgdg7jj0akavbcy29mzki&amp;dl=0","Click to download SizeChart")</f>
      </c>
      <c r="C3875" s="0" t="inlineStr">
        <is>
          <t>Carmen Womens Long Sleeve Shirt</t>
        </is>
      </c>
      <c r="D3875" s="0" t="inlineStr">
        <is>
          <t>'113152</t>
        </is>
      </c>
      <c r="E3875" s="0" t="inlineStr">
        <is>
          <t>IOWA CARMEN WOMEN BLACK:113152C-L</t>
        </is>
      </c>
      <c r="F3875" s="0" t="inlineStr">
        <is>
          <t>'800113152067</t>
        </is>
      </c>
      <c r="G3875" s="0" t="inlineStr">
        <is>
          <t>WOMENS</t>
        </is>
      </c>
      <c r="H3875" s="0" t="inlineStr">
        <is>
          <t>L</t>
        </is>
      </c>
      <c r="I3875" s="0">
        <v>42.99</v>
      </c>
      <c r="J3875" s="0">
        <v>39</v>
      </c>
    </row>
    <row r="3876" spans="1:10" customHeight="0">
      <c r="A3876" s="0">
        <f>HYPERLINK("https://dl.dropboxusercontent.com/scl/fi/b2ciibpqy1vmgiddap7rg/113152-af.jpg?rlkey=ap4dkwstszsc769f6slbfv24n&amp;dl=0","Click to download Image")</f>
      </c>
      <c r="B3876" s="0">
        <f>HYPERLINK("https://dl.dropboxusercontent.com/scl/fi/etoyrbgfat9qc6slc40mz/womens-long-sleeve-size-chartscarmen.jpg?rlkey=jceblgdg7jj0akavbcy29mzki&amp;dl=0","Click to download SizeChart")</f>
      </c>
      <c r="C3876" s="0" t="inlineStr">
        <is>
          <t>Carmen Womens Long Sleeve Shirt</t>
        </is>
      </c>
      <c r="D3876" s="0" t="inlineStr">
        <is>
          <t>'113152</t>
        </is>
      </c>
      <c r="E3876" s="0" t="inlineStr">
        <is>
          <t>IOWA CARMEN WOMEN BLACK:113152D-XL</t>
        </is>
      </c>
      <c r="F3876" s="0" t="inlineStr">
        <is>
          <t>'800113152074</t>
        </is>
      </c>
      <c r="G3876" s="0" t="inlineStr">
        <is>
          <t>WOMENS</t>
        </is>
      </c>
      <c r="H3876" s="0" t="inlineStr">
        <is>
          <t>XL</t>
        </is>
      </c>
      <c r="I3876" s="0">
        <v>42.99</v>
      </c>
      <c r="J3876" s="0">
        <v>15</v>
      </c>
    </row>
    <row r="3877" spans="1:10" customHeight="0">
      <c r="A3877" s="0">
        <f>HYPERLINK("https://dl.dropboxusercontent.com/scl/fi/b2ciibpqy1vmgiddap7rg/113152-af.jpg?rlkey=ap4dkwstszsc769f6slbfv24n&amp;dl=0","Click to download Image")</f>
      </c>
      <c r="B3877" s="0">
        <f>HYPERLINK("https://dl.dropboxusercontent.com/scl/fi/etoyrbgfat9qc6slc40mz/womens-long-sleeve-size-chartscarmen.jpg?rlkey=jceblgdg7jj0akavbcy29mzki&amp;dl=0","Click to download SizeChart")</f>
      </c>
      <c r="C3877" s="0" t="inlineStr">
        <is>
          <t>Carmen Womens Long Sleeve Shirt</t>
        </is>
      </c>
      <c r="D3877" s="0" t="inlineStr">
        <is>
          <t>'113152</t>
        </is>
      </c>
      <c r="E3877" s="0" t="inlineStr">
        <is>
          <t>IOWA CARMEN WOMEN BLACK:113152E-2XL</t>
        </is>
      </c>
      <c r="F3877" s="0" t="inlineStr">
        <is>
          <t>'800113152081</t>
        </is>
      </c>
      <c r="G3877" s="0" t="inlineStr">
        <is>
          <t>WOMENS</t>
        </is>
      </c>
      <c r="H3877" s="0" t="inlineStr">
        <is>
          <t>2XL</t>
        </is>
      </c>
      <c r="I3877" s="0">
        <v>44.99</v>
      </c>
      <c r="J3877" s="0">
        <v>10</v>
      </c>
    </row>
    <row r="3878" spans="1:10" customHeight="0">
      <c r="A3878" s="0">
        <f>HYPERLINK("https://dl.dropboxusercontent.com/scl/fi/b2ciibpqy1vmgiddap7rg/113152-af.jpg?rlkey=ap4dkwstszsc769f6slbfv24n&amp;dl=0","Click to download Image")</f>
      </c>
      <c r="B3878" s="0">
        <f>HYPERLINK("https://dl.dropboxusercontent.com/scl/fi/etoyrbgfat9qc6slc40mz/womens-long-sleeve-size-chartscarmen.jpg?rlkey=jceblgdg7jj0akavbcy29mzki&amp;dl=0","Click to download SizeChart")</f>
      </c>
      <c r="C3878" s="0" t="inlineStr">
        <is>
          <t>Carmen Womens Long Sleeve Shirt</t>
        </is>
      </c>
      <c r="D3878" s="0" t="inlineStr">
        <is>
          <t>'113152</t>
        </is>
      </c>
      <c r="E3878" s="0" t="inlineStr">
        <is>
          <t>IOWA CARMEN WOMEN BLACK:113152F-3XL</t>
        </is>
      </c>
      <c r="F3878" s="0" t="inlineStr">
        <is>
          <t>'800113152098</t>
        </is>
      </c>
      <c r="G3878" s="0" t="inlineStr">
        <is>
          <t>WOMENS</t>
        </is>
      </c>
      <c r="H3878" s="0" t="inlineStr">
        <is>
          <t>3XL</t>
        </is>
      </c>
      <c r="I3878" s="0">
        <v>44.99</v>
      </c>
      <c r="J3878" s="0">
        <v>3</v>
      </c>
    </row>
    <row r="3879" spans="1:10" customHeight="0">
      <c r="A3879" s="0">
        <f>HYPERLINK("https://dl.dropboxusercontent.com/scl/fi/b2ciibpqy1vmgiddap7rg/113152-af.jpg?rlkey=ap4dkwstszsc769f6slbfv24n&amp;dl=0","Click to download Image")</f>
      </c>
      <c r="B3879" s="0">
        <f>HYPERLINK("https://dl.dropboxusercontent.com/scl/fi/etoyrbgfat9qc6slc40mz/womens-long-sleeve-size-chartscarmen.jpg?rlkey=jceblgdg7jj0akavbcy29mzki&amp;dl=0","Click to download SizeChart")</f>
      </c>
      <c r="C3879" s="0" t="inlineStr">
        <is>
          <t>Carmen Womens Long Sleeve Shirt</t>
        </is>
      </c>
      <c r="D3879" s="0" t="inlineStr">
        <is>
          <t>'113152</t>
        </is>
      </c>
      <c r="E3879" s="0" t="inlineStr">
        <is>
          <t>IOWA CARMEN WOMEN BLACK 12 PACK:113152Z-12PK</t>
        </is>
      </c>
      <c r="F3879" s="0" t="inlineStr">
        <is>
          <t>'800113152999</t>
        </is>
      </c>
      <c r="G3879" s="0" t="inlineStr">
        <is>
          <t>WOMENS</t>
        </is>
      </c>
      <c r="H3879" s="0" t="inlineStr">
        <is>
          <t>12 PACK</t>
        </is>
      </c>
      <c r="I3879" s="0">
        <v>491.88</v>
      </c>
      <c r="J3879" s="0">
        <v>0</v>
      </c>
    </row>
    <row r="3880" spans="1:10" customHeight="0">
      <c r="A3880" s="0">
        <f>HYPERLINK("https://dl.dropboxusercontent.com/scl/fi/flaidjoocl990t5ieyv31/114522-af.jpg?rlkey=cpqwhfcye03ao1lc0nd0pj7o9&amp;dl=0","Click to download Image")</f>
      </c>
      <c r="B3880" s="0">
        <f>HYPERLINK("https://dl.dropboxusercontent.com/scl/fi/etoyrbgfat9qc6slc40mz/womens-long-sleeve-size-chartscarmen.jpg?rlkey=jceblgdg7jj0akavbcy29mzki&amp;dl=0","Click to download SizeChart")</f>
      </c>
      <c r="C3880" s="0" t="inlineStr">
        <is>
          <t>Carmen Womens Long Sleeve Shirt</t>
        </is>
      </c>
      <c r="D3880" s="0" t="inlineStr">
        <is>
          <t>'114522</t>
        </is>
      </c>
      <c r="E3880" s="0" t="inlineStr">
        <is>
          <t>KSU CARMEN W PURPLE:114522A-S</t>
        </is>
      </c>
      <c r="F3880" s="0" t="inlineStr">
        <is>
          <t>'805114522048</t>
        </is>
      </c>
      <c r="G3880" s="0" t="inlineStr">
        <is>
          <t>WOMENS</t>
        </is>
      </c>
      <c r="H3880" s="0" t="inlineStr">
        <is>
          <t>S</t>
        </is>
      </c>
      <c r="I3880" s="0">
        <v>42.99</v>
      </c>
      <c r="J3880" s="0">
        <v>8</v>
      </c>
    </row>
    <row r="3881" spans="1:10" customHeight="0">
      <c r="A3881" s="0">
        <f>HYPERLINK("https://dl.dropboxusercontent.com/scl/fi/flaidjoocl990t5ieyv31/114522-af.jpg?rlkey=cpqwhfcye03ao1lc0nd0pj7o9&amp;dl=0","Click to download Image")</f>
      </c>
      <c r="B3881" s="0">
        <f>HYPERLINK("https://dl.dropboxusercontent.com/scl/fi/etoyrbgfat9qc6slc40mz/womens-long-sleeve-size-chartscarmen.jpg?rlkey=jceblgdg7jj0akavbcy29mzki&amp;dl=0","Click to download SizeChart")</f>
      </c>
      <c r="C3881" s="0" t="inlineStr">
        <is>
          <t>Carmen Womens Long Sleeve Shirt</t>
        </is>
      </c>
      <c r="D3881" s="0" t="inlineStr">
        <is>
          <t>'114522</t>
        </is>
      </c>
      <c r="E3881" s="0" t="inlineStr">
        <is>
          <t>KSU CARMEN W PURPLE:114522B-M</t>
        </is>
      </c>
      <c r="F3881" s="0" t="inlineStr">
        <is>
          <t>'805114522055</t>
        </is>
      </c>
      <c r="G3881" s="0" t="inlineStr">
        <is>
          <t>WOMENS</t>
        </is>
      </c>
      <c r="H3881" s="0" t="inlineStr">
        <is>
          <t>M</t>
        </is>
      </c>
      <c r="I3881" s="0">
        <v>42.99</v>
      </c>
      <c r="J3881" s="0">
        <v>16</v>
      </c>
    </row>
    <row r="3882" spans="1:10" customHeight="0">
      <c r="A3882" s="0">
        <f>HYPERLINK("https://dl.dropboxusercontent.com/scl/fi/flaidjoocl990t5ieyv31/114522-af.jpg?rlkey=cpqwhfcye03ao1lc0nd0pj7o9&amp;dl=0","Click to download Image")</f>
      </c>
      <c r="B3882" s="0">
        <f>HYPERLINK("https://dl.dropboxusercontent.com/scl/fi/etoyrbgfat9qc6slc40mz/womens-long-sleeve-size-chartscarmen.jpg?rlkey=jceblgdg7jj0akavbcy29mzki&amp;dl=0","Click to download SizeChart")</f>
      </c>
      <c r="C3882" s="0" t="inlineStr">
        <is>
          <t>Carmen Womens Long Sleeve Shirt</t>
        </is>
      </c>
      <c r="D3882" s="0" t="inlineStr">
        <is>
          <t>'114522</t>
        </is>
      </c>
      <c r="E3882" s="0" t="inlineStr">
        <is>
          <t>KSU CARMEN W PURPLE:114522C-L</t>
        </is>
      </c>
      <c r="F3882" s="0" t="inlineStr">
        <is>
          <t>'805114522062</t>
        </is>
      </c>
      <c r="G3882" s="0" t="inlineStr">
        <is>
          <t>WOMENS</t>
        </is>
      </c>
      <c r="H3882" s="0" t="inlineStr">
        <is>
          <t>L</t>
        </is>
      </c>
      <c r="I3882" s="0">
        <v>42.99</v>
      </c>
      <c r="J3882" s="0">
        <v>16</v>
      </c>
    </row>
    <row r="3883" spans="1:10" customHeight="0">
      <c r="A3883" s="0">
        <f>HYPERLINK("https://dl.dropboxusercontent.com/scl/fi/flaidjoocl990t5ieyv31/114522-af.jpg?rlkey=cpqwhfcye03ao1lc0nd0pj7o9&amp;dl=0","Click to download Image")</f>
      </c>
      <c r="B3883" s="0">
        <f>HYPERLINK("https://dl.dropboxusercontent.com/scl/fi/etoyrbgfat9qc6slc40mz/womens-long-sleeve-size-chartscarmen.jpg?rlkey=jceblgdg7jj0akavbcy29mzki&amp;dl=0","Click to download SizeChart")</f>
      </c>
      <c r="C3883" s="0" t="inlineStr">
        <is>
          <t>Carmen Womens Long Sleeve Shirt</t>
        </is>
      </c>
      <c r="D3883" s="0" t="inlineStr">
        <is>
          <t>'114522</t>
        </is>
      </c>
      <c r="E3883" s="0" t="inlineStr">
        <is>
          <t>KSU CARMEN W PURPLE:114522D-XL</t>
        </is>
      </c>
      <c r="F3883" s="0" t="inlineStr">
        <is>
          <t>'805114522079</t>
        </is>
      </c>
      <c r="G3883" s="0" t="inlineStr">
        <is>
          <t>WOMENS</t>
        </is>
      </c>
      <c r="H3883" s="0" t="inlineStr">
        <is>
          <t>XL</t>
        </is>
      </c>
      <c r="I3883" s="0">
        <v>42.99</v>
      </c>
      <c r="J3883" s="0">
        <v>8</v>
      </c>
    </row>
    <row r="3884" spans="1:10" customHeight="0">
      <c r="A3884" s="0">
        <f>HYPERLINK("https://dl.dropboxusercontent.com/scl/fi/flaidjoocl990t5ieyv31/114522-af.jpg?rlkey=cpqwhfcye03ao1lc0nd0pj7o9&amp;dl=0","Click to download Image")</f>
      </c>
      <c r="B3884" s="0">
        <f>HYPERLINK("https://dl.dropboxusercontent.com/scl/fi/etoyrbgfat9qc6slc40mz/womens-long-sleeve-size-chartscarmen.jpg?rlkey=jceblgdg7jj0akavbcy29mzki&amp;dl=0","Click to download SizeChart")</f>
      </c>
      <c r="C3884" s="0" t="inlineStr">
        <is>
          <t>Carmen Womens Long Sleeve Shirt</t>
        </is>
      </c>
      <c r="D3884" s="0" t="inlineStr">
        <is>
          <t>'114522</t>
        </is>
      </c>
      <c r="E3884" s="0" t="inlineStr">
        <is>
          <t>KSU CARMEN W PURPLE:114522E-2XL</t>
        </is>
      </c>
      <c r="F3884" s="0" t="inlineStr">
        <is>
          <t>'805114522086</t>
        </is>
      </c>
      <c r="G3884" s="0" t="inlineStr">
        <is>
          <t>WOMENS</t>
        </is>
      </c>
      <c r="H3884" s="0" t="inlineStr">
        <is>
          <t>2XL</t>
        </is>
      </c>
      <c r="I3884" s="0">
        <v>44.99</v>
      </c>
      <c r="J3884" s="0">
        <v>4</v>
      </c>
    </row>
    <row r="3885" spans="1:10" customHeight="0">
      <c r="A3885" s="0">
        <f>HYPERLINK("https://dl.dropboxusercontent.com/scl/fi/flaidjoocl990t5ieyv31/114522-af.jpg?rlkey=cpqwhfcye03ao1lc0nd0pj7o9&amp;dl=0","Click to download Image")</f>
      </c>
      <c r="B3885" s="0">
        <f>HYPERLINK("https://dl.dropboxusercontent.com/scl/fi/etoyrbgfat9qc6slc40mz/womens-long-sleeve-size-chartscarmen.jpg?rlkey=jceblgdg7jj0akavbcy29mzki&amp;dl=0","Click to download SizeChart")</f>
      </c>
      <c r="C3885" s="0" t="inlineStr">
        <is>
          <t>Carmen Womens Long Sleeve Shirt</t>
        </is>
      </c>
      <c r="D3885" s="0" t="inlineStr">
        <is>
          <t>'114522</t>
        </is>
      </c>
      <c r="E3885" s="0" t="inlineStr">
        <is>
          <t>KSU CARMEN W PURPLE:114522F-3XL</t>
        </is>
      </c>
      <c r="F3885" s="0" t="inlineStr">
        <is>
          <t>'805114522093</t>
        </is>
      </c>
      <c r="G3885" s="0" t="inlineStr">
        <is>
          <t>WOMENS</t>
        </is>
      </c>
      <c r="H3885" s="0" t="inlineStr">
        <is>
          <t>3XL</t>
        </is>
      </c>
      <c r="I3885" s="0">
        <v>44.99</v>
      </c>
      <c r="J3885" s="0">
        <v>2</v>
      </c>
    </row>
    <row r="3886" spans="1:10" customHeight="0">
      <c r="A3886" s="0">
        <f>HYPERLINK("https://dl.dropboxusercontent.com/scl/fi/flaidjoocl990t5ieyv31/114522-af.jpg?rlkey=cpqwhfcye03ao1lc0nd0pj7o9&amp;dl=0","Click to download Image")</f>
      </c>
      <c r="B3886" s="0">
        <f>HYPERLINK("https://dl.dropboxusercontent.com/scl/fi/etoyrbgfat9qc6slc40mz/womens-long-sleeve-size-chartscarmen.jpg?rlkey=jceblgdg7jj0akavbcy29mzki&amp;dl=0","Click to download SizeChart")</f>
      </c>
      <c r="C3886" s="0" t="inlineStr">
        <is>
          <t>Carmen Womens Long Sleeve Shirt</t>
        </is>
      </c>
      <c r="D3886" s="0" t="inlineStr">
        <is>
          <t>'114522</t>
        </is>
      </c>
      <c r="E3886" s="0" t="inlineStr">
        <is>
          <t>KSU CARMEN W PURPLE 12 PACK:114522Z-12PK</t>
        </is>
      </c>
      <c r="F3886" s="0" t="inlineStr">
        <is>
          <t>'805114522994</t>
        </is>
      </c>
      <c r="G3886" s="0" t="inlineStr">
        <is>
          <t>WOMENS</t>
        </is>
      </c>
      <c r="H3886" s="0" t="inlineStr">
        <is>
          <t>12 PACK</t>
        </is>
      </c>
      <c r="I3886" s="0">
        <v>491.88</v>
      </c>
      <c r="J3886" s="0">
        <v>0</v>
      </c>
    </row>
    <row r="3887" spans="1:10" customHeight="0">
      <c r="A3887" s="0">
        <f>HYPERLINK("https://dl.dropboxusercontent.com/scl/fi/1loc0enb5ltna8ykjprso/114521-af.jpg?rlkey=so2r4lqf2qqvxyex7fimptijv&amp;dl=0","Click to download Image")</f>
      </c>
      <c r="B3887" s="0">
        <f>HYPERLINK("https://dl.dropboxusercontent.com/scl/fi/etoyrbgfat9qc6slc40mz/womens-long-sleeve-size-chartscarmen.jpg?rlkey=jceblgdg7jj0akavbcy29mzki&amp;dl=0","Click to download SizeChart")</f>
      </c>
      <c r="C3887" s="0" t="inlineStr">
        <is>
          <t>Carmen Womens Long Sleeve Shirt</t>
        </is>
      </c>
      <c r="D3887" s="0" t="inlineStr">
        <is>
          <t>'114521</t>
        </is>
      </c>
      <c r="E3887" s="0" t="inlineStr">
        <is>
          <t>PURDUE CARMEN W BLACK:114521A-S</t>
        </is>
      </c>
      <c r="F3887" s="0" t="inlineStr">
        <is>
          <t>'804114521044</t>
        </is>
      </c>
      <c r="G3887" s="0" t="inlineStr">
        <is>
          <t>WOMENS</t>
        </is>
      </c>
      <c r="H3887" s="0" t="inlineStr">
        <is>
          <t>S</t>
        </is>
      </c>
      <c r="I3887" s="0">
        <v>42.99</v>
      </c>
      <c r="J3887" s="0">
        <v>8</v>
      </c>
    </row>
    <row r="3888" spans="1:10" customHeight="0">
      <c r="A3888" s="0">
        <f>HYPERLINK("https://dl.dropboxusercontent.com/scl/fi/1loc0enb5ltna8ykjprso/114521-af.jpg?rlkey=so2r4lqf2qqvxyex7fimptijv&amp;dl=0","Click to download Image")</f>
      </c>
      <c r="B3888" s="0">
        <f>HYPERLINK("https://dl.dropboxusercontent.com/scl/fi/etoyrbgfat9qc6slc40mz/womens-long-sleeve-size-chartscarmen.jpg?rlkey=jceblgdg7jj0akavbcy29mzki&amp;dl=0","Click to download SizeChart")</f>
      </c>
      <c r="C3888" s="0" t="inlineStr">
        <is>
          <t>Carmen Womens Long Sleeve Shirt</t>
        </is>
      </c>
      <c r="D3888" s="0" t="inlineStr">
        <is>
          <t>'114521</t>
        </is>
      </c>
      <c r="E3888" s="0" t="inlineStr">
        <is>
          <t>PURDUE CARMEN W BLACK:114521B-M</t>
        </is>
      </c>
      <c r="F3888" s="0" t="inlineStr">
        <is>
          <t>'804114521051</t>
        </is>
      </c>
      <c r="G3888" s="0" t="inlineStr">
        <is>
          <t>WOMENS</t>
        </is>
      </c>
      <c r="H3888" s="0" t="inlineStr">
        <is>
          <t>M</t>
        </is>
      </c>
      <c r="I3888" s="0">
        <v>42.99</v>
      </c>
      <c r="J3888" s="0">
        <v>16</v>
      </c>
    </row>
    <row r="3889" spans="1:10" customHeight="0">
      <c r="A3889" s="0">
        <f>HYPERLINK("https://dl.dropboxusercontent.com/scl/fi/1loc0enb5ltna8ykjprso/114521-af.jpg?rlkey=so2r4lqf2qqvxyex7fimptijv&amp;dl=0","Click to download Image")</f>
      </c>
      <c r="B3889" s="0">
        <f>HYPERLINK("https://dl.dropboxusercontent.com/scl/fi/etoyrbgfat9qc6slc40mz/womens-long-sleeve-size-chartscarmen.jpg?rlkey=jceblgdg7jj0akavbcy29mzki&amp;dl=0","Click to download SizeChart")</f>
      </c>
      <c r="C3889" s="0" t="inlineStr">
        <is>
          <t>Carmen Womens Long Sleeve Shirt</t>
        </is>
      </c>
      <c r="D3889" s="0" t="inlineStr">
        <is>
          <t>'114521</t>
        </is>
      </c>
      <c r="E3889" s="0" t="inlineStr">
        <is>
          <t>PURDUE CARMEN W BLACK:114521C-L</t>
        </is>
      </c>
      <c r="F3889" s="0" t="inlineStr">
        <is>
          <t>'804114521068</t>
        </is>
      </c>
      <c r="G3889" s="0" t="inlineStr">
        <is>
          <t>WOMENS</t>
        </is>
      </c>
      <c r="H3889" s="0" t="inlineStr">
        <is>
          <t>L</t>
        </is>
      </c>
      <c r="I3889" s="0">
        <v>42.99</v>
      </c>
      <c r="J3889" s="0">
        <v>16</v>
      </c>
    </row>
    <row r="3890" spans="1:10" customHeight="0">
      <c r="A3890" s="0">
        <f>HYPERLINK("https://dl.dropboxusercontent.com/scl/fi/1loc0enb5ltna8ykjprso/114521-af.jpg?rlkey=so2r4lqf2qqvxyex7fimptijv&amp;dl=0","Click to download Image")</f>
      </c>
      <c r="B3890" s="0">
        <f>HYPERLINK("https://dl.dropboxusercontent.com/scl/fi/etoyrbgfat9qc6slc40mz/womens-long-sleeve-size-chartscarmen.jpg?rlkey=jceblgdg7jj0akavbcy29mzki&amp;dl=0","Click to download SizeChart")</f>
      </c>
      <c r="C3890" s="0" t="inlineStr">
        <is>
          <t>Carmen Womens Long Sleeve Shirt</t>
        </is>
      </c>
      <c r="D3890" s="0" t="inlineStr">
        <is>
          <t>'114521</t>
        </is>
      </c>
      <c r="E3890" s="0" t="inlineStr">
        <is>
          <t>PURDUE CARMEN W BLACK:114521D-XL</t>
        </is>
      </c>
      <c r="F3890" s="0" t="inlineStr">
        <is>
          <t>'804114521075</t>
        </is>
      </c>
      <c r="G3890" s="0" t="inlineStr">
        <is>
          <t>WOMENS</t>
        </is>
      </c>
      <c r="H3890" s="0" t="inlineStr">
        <is>
          <t>XL</t>
        </is>
      </c>
      <c r="I3890" s="0">
        <v>42.99</v>
      </c>
      <c r="J3890" s="0">
        <v>8</v>
      </c>
    </row>
    <row r="3891" spans="1:10" customHeight="0">
      <c r="A3891" s="0">
        <f>HYPERLINK("https://dl.dropboxusercontent.com/scl/fi/1loc0enb5ltna8ykjprso/114521-af.jpg?rlkey=so2r4lqf2qqvxyex7fimptijv&amp;dl=0","Click to download Image")</f>
      </c>
      <c r="B3891" s="0">
        <f>HYPERLINK("https://dl.dropboxusercontent.com/scl/fi/etoyrbgfat9qc6slc40mz/womens-long-sleeve-size-chartscarmen.jpg?rlkey=jceblgdg7jj0akavbcy29mzki&amp;dl=0","Click to download SizeChart")</f>
      </c>
      <c r="C3891" s="0" t="inlineStr">
        <is>
          <t>Carmen Womens Long Sleeve Shirt</t>
        </is>
      </c>
      <c r="D3891" s="0" t="inlineStr">
        <is>
          <t>'114521</t>
        </is>
      </c>
      <c r="E3891" s="0" t="inlineStr">
        <is>
          <t>PURDUE CARMEN W BLACK:114521E-2XL</t>
        </is>
      </c>
      <c r="F3891" s="0" t="inlineStr">
        <is>
          <t>'804114521082</t>
        </is>
      </c>
      <c r="G3891" s="0" t="inlineStr">
        <is>
          <t>WOMENS</t>
        </is>
      </c>
      <c r="H3891" s="0" t="inlineStr">
        <is>
          <t>2XL</t>
        </is>
      </c>
      <c r="I3891" s="0">
        <v>44.99</v>
      </c>
      <c r="J3891" s="0">
        <v>4</v>
      </c>
    </row>
    <row r="3892" spans="1:10" customHeight="0">
      <c r="A3892" s="0">
        <f>HYPERLINK("https://dl.dropboxusercontent.com/scl/fi/1loc0enb5ltna8ykjprso/114521-af.jpg?rlkey=so2r4lqf2qqvxyex7fimptijv&amp;dl=0","Click to download Image")</f>
      </c>
      <c r="B3892" s="0">
        <f>HYPERLINK("https://dl.dropboxusercontent.com/scl/fi/etoyrbgfat9qc6slc40mz/womens-long-sleeve-size-chartscarmen.jpg?rlkey=jceblgdg7jj0akavbcy29mzki&amp;dl=0","Click to download SizeChart")</f>
      </c>
      <c r="C3892" s="0" t="inlineStr">
        <is>
          <t>Carmen Womens Long Sleeve Shirt</t>
        </is>
      </c>
      <c r="D3892" s="0" t="inlineStr">
        <is>
          <t>'114521</t>
        </is>
      </c>
      <c r="E3892" s="0" t="inlineStr">
        <is>
          <t>PURDUE CARMEN W BLACK:114521F-3XL</t>
        </is>
      </c>
      <c r="F3892" s="0" t="inlineStr">
        <is>
          <t>'804114521099</t>
        </is>
      </c>
      <c r="G3892" s="0" t="inlineStr">
        <is>
          <t>WOMENS</t>
        </is>
      </c>
      <c r="H3892" s="0" t="inlineStr">
        <is>
          <t>3XL</t>
        </is>
      </c>
      <c r="I3892" s="0">
        <v>44.99</v>
      </c>
      <c r="J3892" s="0">
        <v>2</v>
      </c>
    </row>
    <row r="3893" spans="1:10" customHeight="0">
      <c r="A3893" s="0">
        <f>HYPERLINK("https://dl.dropboxusercontent.com/scl/fi/1loc0enb5ltna8ykjprso/114521-af.jpg?rlkey=so2r4lqf2qqvxyex7fimptijv&amp;dl=0","Click to download Image")</f>
      </c>
      <c r="B3893" s="0">
        <f>HYPERLINK("https://dl.dropboxusercontent.com/scl/fi/etoyrbgfat9qc6slc40mz/womens-long-sleeve-size-chartscarmen.jpg?rlkey=jceblgdg7jj0akavbcy29mzki&amp;dl=0","Click to download SizeChart")</f>
      </c>
      <c r="C3893" s="0" t="inlineStr">
        <is>
          <t>Carmen Womens Long Sleeve Shirt</t>
        </is>
      </c>
      <c r="D3893" s="0" t="inlineStr">
        <is>
          <t>'114521</t>
        </is>
      </c>
      <c r="E3893" s="0" t="inlineStr">
        <is>
          <t>PURDUE CARMEN W BLACK 12 PACK:114521Z-12PK</t>
        </is>
      </c>
      <c r="F3893" s="0" t="inlineStr">
        <is>
          <t>'804114521990</t>
        </is>
      </c>
      <c r="G3893" s="0" t="inlineStr">
        <is>
          <t>WOMENS</t>
        </is>
      </c>
      <c r="H3893" s="0" t="inlineStr">
        <is>
          <t>12 PACK</t>
        </is>
      </c>
      <c r="I3893" s="0">
        <v>491.88</v>
      </c>
      <c r="J3893" s="0">
        <v>0</v>
      </c>
    </row>
    <row r="3894" spans="1:10" customHeight="0">
      <c r="A3894" s="0">
        <f>HYPERLINK("https://dl.dropboxusercontent.com/scl/fi/ls3cg1seq0jk0ldmil675/116116-af.jpg?rlkey=shhxpw7tgzf6na2aeuakiybu3&amp;dl=0","Click to download Image")</f>
      </c>
      <c r="B3894" s="0">
        <f>HYPERLINK("https://dl.dropboxusercontent.com/scl/fi/etoyrbgfat9qc6slc40mz/womens-long-sleeve-size-chartscarmen.jpg?rlkey=jceblgdg7jj0akavbcy29mzki&amp;dl=0","Click to download SizeChart")</f>
      </c>
      <c r="C3894" s="0" t="inlineStr">
        <is>
          <t>Carmen Womens Long Sleeve Shirt</t>
        </is>
      </c>
      <c r="D3894" s="0" t="inlineStr">
        <is>
          <t>'116116</t>
        </is>
      </c>
      <c r="E3894" s="0" t="inlineStr">
        <is>
          <t>INDIANA CARMEN W CARDINAL:116116A-S</t>
        </is>
      </c>
      <c r="F3894" s="0" t="inlineStr">
        <is>
          <t>'806116116044</t>
        </is>
      </c>
      <c r="G3894" s="0" t="inlineStr">
        <is>
          <t>WOMENS</t>
        </is>
      </c>
      <c r="H3894" s="0" t="inlineStr">
        <is>
          <t>S</t>
        </is>
      </c>
      <c r="I3894" s="0">
        <v>42.99</v>
      </c>
      <c r="J3894" s="0">
        <v>8</v>
      </c>
    </row>
    <row r="3895" spans="1:10" customHeight="0">
      <c r="A3895" s="0">
        <f>HYPERLINK("https://dl.dropboxusercontent.com/scl/fi/ls3cg1seq0jk0ldmil675/116116-af.jpg?rlkey=shhxpw7tgzf6na2aeuakiybu3&amp;dl=0","Click to download Image")</f>
      </c>
      <c r="B3895" s="0">
        <f>HYPERLINK("https://dl.dropboxusercontent.com/scl/fi/etoyrbgfat9qc6slc40mz/womens-long-sleeve-size-chartscarmen.jpg?rlkey=jceblgdg7jj0akavbcy29mzki&amp;dl=0","Click to download SizeChart")</f>
      </c>
      <c r="C3895" s="0" t="inlineStr">
        <is>
          <t>Carmen Womens Long Sleeve Shirt</t>
        </is>
      </c>
      <c r="D3895" s="0" t="inlineStr">
        <is>
          <t>'116116</t>
        </is>
      </c>
      <c r="E3895" s="0" t="inlineStr">
        <is>
          <t>INDIANA CARMEN W CARDINAL:116116B-M</t>
        </is>
      </c>
      <c r="F3895" s="0" t="inlineStr">
        <is>
          <t>'806116116051</t>
        </is>
      </c>
      <c r="G3895" s="0" t="inlineStr">
        <is>
          <t>WOMENS</t>
        </is>
      </c>
      <c r="H3895" s="0" t="inlineStr">
        <is>
          <t>M</t>
        </is>
      </c>
      <c r="I3895" s="0">
        <v>42.99</v>
      </c>
      <c r="J3895" s="0">
        <v>16</v>
      </c>
    </row>
    <row r="3896" spans="1:10" customHeight="0">
      <c r="A3896" s="0">
        <f>HYPERLINK("https://dl.dropboxusercontent.com/scl/fi/ls3cg1seq0jk0ldmil675/116116-af.jpg?rlkey=shhxpw7tgzf6na2aeuakiybu3&amp;dl=0","Click to download Image")</f>
      </c>
      <c r="B3896" s="0">
        <f>HYPERLINK("https://dl.dropboxusercontent.com/scl/fi/etoyrbgfat9qc6slc40mz/womens-long-sleeve-size-chartscarmen.jpg?rlkey=jceblgdg7jj0akavbcy29mzki&amp;dl=0","Click to download SizeChart")</f>
      </c>
      <c r="C3896" s="0" t="inlineStr">
        <is>
          <t>Carmen Womens Long Sleeve Shirt</t>
        </is>
      </c>
      <c r="D3896" s="0" t="inlineStr">
        <is>
          <t>'116116</t>
        </is>
      </c>
      <c r="E3896" s="0" t="inlineStr">
        <is>
          <t>INDIANA CARMEN W CARDINAL:116116C-L</t>
        </is>
      </c>
      <c r="F3896" s="0" t="inlineStr">
        <is>
          <t>'806116116068</t>
        </is>
      </c>
      <c r="G3896" s="0" t="inlineStr">
        <is>
          <t>WOMENS</t>
        </is>
      </c>
      <c r="H3896" s="0" t="inlineStr">
        <is>
          <t>L</t>
        </is>
      </c>
      <c r="I3896" s="0">
        <v>42.99</v>
      </c>
      <c r="J3896" s="0">
        <v>16</v>
      </c>
    </row>
    <row r="3897" spans="1:10" customHeight="0">
      <c r="A3897" s="0">
        <f>HYPERLINK("https://dl.dropboxusercontent.com/scl/fi/ls3cg1seq0jk0ldmil675/116116-af.jpg?rlkey=shhxpw7tgzf6na2aeuakiybu3&amp;dl=0","Click to download Image")</f>
      </c>
      <c r="B3897" s="0">
        <f>HYPERLINK("https://dl.dropboxusercontent.com/scl/fi/etoyrbgfat9qc6slc40mz/womens-long-sleeve-size-chartscarmen.jpg?rlkey=jceblgdg7jj0akavbcy29mzki&amp;dl=0","Click to download SizeChart")</f>
      </c>
      <c r="C3897" s="0" t="inlineStr">
        <is>
          <t>Carmen Womens Long Sleeve Shirt</t>
        </is>
      </c>
      <c r="D3897" s="0" t="inlineStr">
        <is>
          <t>'116116</t>
        </is>
      </c>
      <c r="E3897" s="0" t="inlineStr">
        <is>
          <t>INDIANA CARMEN W CARDINAL:116116D-XL</t>
        </is>
      </c>
      <c r="F3897" s="0" t="inlineStr">
        <is>
          <t>'806116116075</t>
        </is>
      </c>
      <c r="G3897" s="0" t="inlineStr">
        <is>
          <t>WOMENS</t>
        </is>
      </c>
      <c r="H3897" s="0" t="inlineStr">
        <is>
          <t>XL</t>
        </is>
      </c>
      <c r="I3897" s="0">
        <v>42.99</v>
      </c>
      <c r="J3897" s="0">
        <v>8</v>
      </c>
    </row>
    <row r="3898" spans="1:10" customHeight="0">
      <c r="A3898" s="0">
        <f>HYPERLINK("https://dl.dropboxusercontent.com/scl/fi/ls3cg1seq0jk0ldmil675/116116-af.jpg?rlkey=shhxpw7tgzf6na2aeuakiybu3&amp;dl=0","Click to download Image")</f>
      </c>
      <c r="B3898" s="0">
        <f>HYPERLINK("https://dl.dropboxusercontent.com/scl/fi/etoyrbgfat9qc6slc40mz/womens-long-sleeve-size-chartscarmen.jpg?rlkey=jceblgdg7jj0akavbcy29mzki&amp;dl=0","Click to download SizeChart")</f>
      </c>
      <c r="C3898" s="0" t="inlineStr">
        <is>
          <t>Carmen Womens Long Sleeve Shirt</t>
        </is>
      </c>
      <c r="D3898" s="0" t="inlineStr">
        <is>
          <t>'116116</t>
        </is>
      </c>
      <c r="E3898" s="0" t="inlineStr">
        <is>
          <t>INDIANA CARMEN W CARDINAL:116116E-2XL</t>
        </is>
      </c>
      <c r="F3898" s="0" t="inlineStr">
        <is>
          <t>'806116116082</t>
        </is>
      </c>
      <c r="G3898" s="0" t="inlineStr">
        <is>
          <t>WOMENS</t>
        </is>
      </c>
      <c r="H3898" s="0" t="inlineStr">
        <is>
          <t>2XL</t>
        </is>
      </c>
      <c r="I3898" s="0">
        <v>44.99</v>
      </c>
      <c r="J3898" s="0">
        <v>4</v>
      </c>
    </row>
    <row r="3899" spans="1:10" customHeight="0">
      <c r="A3899" s="0">
        <f>HYPERLINK("https://dl.dropboxusercontent.com/scl/fi/ls3cg1seq0jk0ldmil675/116116-af.jpg?rlkey=shhxpw7tgzf6na2aeuakiybu3&amp;dl=0","Click to download Image")</f>
      </c>
      <c r="B3899" s="0">
        <f>HYPERLINK("https://dl.dropboxusercontent.com/scl/fi/etoyrbgfat9qc6slc40mz/womens-long-sleeve-size-chartscarmen.jpg?rlkey=jceblgdg7jj0akavbcy29mzki&amp;dl=0","Click to download SizeChart")</f>
      </c>
      <c r="C3899" s="0" t="inlineStr">
        <is>
          <t>Carmen Womens Long Sleeve Shirt</t>
        </is>
      </c>
      <c r="D3899" s="0" t="inlineStr">
        <is>
          <t>'116116</t>
        </is>
      </c>
      <c r="E3899" s="0" t="inlineStr">
        <is>
          <t>INDIANA CARMEN W CARDINAL:116116F-3XL</t>
        </is>
      </c>
      <c r="F3899" s="0" t="inlineStr">
        <is>
          <t>'806116116099</t>
        </is>
      </c>
      <c r="G3899" s="0" t="inlineStr">
        <is>
          <t>WOMENS</t>
        </is>
      </c>
      <c r="H3899" s="0" t="inlineStr">
        <is>
          <t>3XL</t>
        </is>
      </c>
      <c r="I3899" s="0">
        <v>44.99</v>
      </c>
      <c r="J3899" s="0">
        <v>1</v>
      </c>
    </row>
    <row r="3900" spans="1:10" customHeight="0">
      <c r="A3900" s="0">
        <f>HYPERLINK("https://dl.dropboxusercontent.com/scl/fi/ls3cg1seq0jk0ldmil675/116116-af.jpg?rlkey=shhxpw7tgzf6na2aeuakiybu3&amp;dl=0","Click to download Image")</f>
      </c>
      <c r="B3900" s="0">
        <f>HYPERLINK("https://dl.dropboxusercontent.com/scl/fi/etoyrbgfat9qc6slc40mz/womens-long-sleeve-size-chartscarmen.jpg?rlkey=jceblgdg7jj0akavbcy29mzki&amp;dl=0","Click to download SizeChart")</f>
      </c>
      <c r="C3900" s="0" t="inlineStr">
        <is>
          <t>Carmen Womens Long Sleeve Shirt</t>
        </is>
      </c>
      <c r="D3900" s="0" t="inlineStr">
        <is>
          <t>'116116</t>
        </is>
      </c>
      <c r="E3900" s="0" t="inlineStr">
        <is>
          <t>INDIANA CARMEN W CARDINAL 12 PACK:116116Z-12PK</t>
        </is>
      </c>
      <c r="F3900" s="0" t="inlineStr">
        <is>
          <t>'806116116990</t>
        </is>
      </c>
      <c r="G3900" s="0" t="inlineStr">
        <is>
          <t>WOMENS</t>
        </is>
      </c>
      <c r="H3900" s="0" t="inlineStr">
        <is>
          <t>12 PACK</t>
        </is>
      </c>
      <c r="I3900" s="0">
        <v>491.88</v>
      </c>
      <c r="J3900" s="0">
        <v>0</v>
      </c>
    </row>
    <row r="3901" spans="1:10" customHeight="0">
      <c r="A3901" s="0">
        <f>HYPERLINK("https://dl.dropboxusercontent.com/scl/fi/gxm3axgsckg4vyheie7vg/116115-af.jpg?rlkey=seduqgyjm8pkjk7655hrw65b9&amp;dl=0","Click to download Image")</f>
      </c>
      <c r="B3901" s="0">
        <f>HYPERLINK("https://dl.dropboxusercontent.com/scl/fi/etoyrbgfat9qc6slc40mz/womens-long-sleeve-size-chartscarmen.jpg?rlkey=jceblgdg7jj0akavbcy29mzki&amp;dl=0","Click to download SizeChart")</f>
      </c>
      <c r="C3901" s="0" t="inlineStr">
        <is>
          <t>Carmen Womens Long Sleeve Shirt</t>
        </is>
      </c>
      <c r="D3901" s="0" t="inlineStr">
        <is>
          <t>'116115</t>
        </is>
      </c>
      <c r="E3901" s="0" t="inlineStr">
        <is>
          <t>MU CARMEN W BLACK:116115A-S</t>
        </is>
      </c>
      <c r="F3901" s="0" t="inlineStr">
        <is>
          <t>'803116115046</t>
        </is>
      </c>
      <c r="G3901" s="0" t="inlineStr">
        <is>
          <t>WOMENS</t>
        </is>
      </c>
      <c r="H3901" s="0" t="inlineStr">
        <is>
          <t>S</t>
        </is>
      </c>
      <c r="I3901" s="0">
        <v>42.99</v>
      </c>
      <c r="J3901" s="0">
        <v>8</v>
      </c>
    </row>
    <row r="3902" spans="1:10" customHeight="0">
      <c r="A3902" s="0">
        <f>HYPERLINK("https://dl.dropboxusercontent.com/scl/fi/gxm3axgsckg4vyheie7vg/116115-af.jpg?rlkey=seduqgyjm8pkjk7655hrw65b9&amp;dl=0","Click to download Image")</f>
      </c>
      <c r="B3902" s="0">
        <f>HYPERLINK("https://dl.dropboxusercontent.com/scl/fi/etoyrbgfat9qc6slc40mz/womens-long-sleeve-size-chartscarmen.jpg?rlkey=jceblgdg7jj0akavbcy29mzki&amp;dl=0","Click to download SizeChart")</f>
      </c>
      <c r="C3902" s="0" t="inlineStr">
        <is>
          <t>Carmen Womens Long Sleeve Shirt</t>
        </is>
      </c>
      <c r="D3902" s="0" t="inlineStr">
        <is>
          <t>'116115</t>
        </is>
      </c>
      <c r="E3902" s="0" t="inlineStr">
        <is>
          <t>MU CARMEN W BLACK:116115B-M</t>
        </is>
      </c>
      <c r="F3902" s="0" t="inlineStr">
        <is>
          <t>'803116115053</t>
        </is>
      </c>
      <c r="G3902" s="0" t="inlineStr">
        <is>
          <t>WOMENS</t>
        </is>
      </c>
      <c r="H3902" s="0" t="inlineStr">
        <is>
          <t>M</t>
        </is>
      </c>
      <c r="I3902" s="0">
        <v>42.99</v>
      </c>
      <c r="J3902" s="0">
        <v>16</v>
      </c>
    </row>
    <row r="3903" spans="1:10" customHeight="0">
      <c r="A3903" s="0">
        <f>HYPERLINK("https://dl.dropboxusercontent.com/scl/fi/gxm3axgsckg4vyheie7vg/116115-af.jpg?rlkey=seduqgyjm8pkjk7655hrw65b9&amp;dl=0","Click to download Image")</f>
      </c>
      <c r="B3903" s="0">
        <f>HYPERLINK("https://dl.dropboxusercontent.com/scl/fi/etoyrbgfat9qc6slc40mz/womens-long-sleeve-size-chartscarmen.jpg?rlkey=jceblgdg7jj0akavbcy29mzki&amp;dl=0","Click to download SizeChart")</f>
      </c>
      <c r="C3903" s="0" t="inlineStr">
        <is>
          <t>Carmen Womens Long Sleeve Shirt</t>
        </is>
      </c>
      <c r="D3903" s="0" t="inlineStr">
        <is>
          <t>'116115</t>
        </is>
      </c>
      <c r="E3903" s="0" t="inlineStr">
        <is>
          <t>MU CARMEN W BLACK:116115C-L</t>
        </is>
      </c>
      <c r="F3903" s="0" t="inlineStr">
        <is>
          <t>'803116115060</t>
        </is>
      </c>
      <c r="G3903" s="0" t="inlineStr">
        <is>
          <t>WOMENS</t>
        </is>
      </c>
      <c r="H3903" s="0" t="inlineStr">
        <is>
          <t>L</t>
        </is>
      </c>
      <c r="I3903" s="0">
        <v>42.99</v>
      </c>
      <c r="J3903" s="0">
        <v>16</v>
      </c>
    </row>
    <row r="3904" spans="1:10" customHeight="0">
      <c r="A3904" s="0">
        <f>HYPERLINK("https://dl.dropboxusercontent.com/scl/fi/gxm3axgsckg4vyheie7vg/116115-af.jpg?rlkey=seduqgyjm8pkjk7655hrw65b9&amp;dl=0","Click to download Image")</f>
      </c>
      <c r="B3904" s="0">
        <f>HYPERLINK("https://dl.dropboxusercontent.com/scl/fi/etoyrbgfat9qc6slc40mz/womens-long-sleeve-size-chartscarmen.jpg?rlkey=jceblgdg7jj0akavbcy29mzki&amp;dl=0","Click to download SizeChart")</f>
      </c>
      <c r="C3904" s="0" t="inlineStr">
        <is>
          <t>Carmen Womens Long Sleeve Shirt</t>
        </is>
      </c>
      <c r="D3904" s="0" t="inlineStr">
        <is>
          <t>'116115</t>
        </is>
      </c>
      <c r="E3904" s="0" t="inlineStr">
        <is>
          <t>MU CARMEN W BLACK:116115D-XL</t>
        </is>
      </c>
      <c r="F3904" s="0" t="inlineStr">
        <is>
          <t>'803116115077</t>
        </is>
      </c>
      <c r="G3904" s="0" t="inlineStr">
        <is>
          <t>WOMENS</t>
        </is>
      </c>
      <c r="H3904" s="0" t="inlineStr">
        <is>
          <t>XL</t>
        </is>
      </c>
      <c r="I3904" s="0">
        <v>42.99</v>
      </c>
      <c r="J3904" s="0">
        <v>8</v>
      </c>
    </row>
    <row r="3905" spans="1:10" customHeight="0">
      <c r="A3905" s="0">
        <f>HYPERLINK("https://dl.dropboxusercontent.com/scl/fi/gxm3axgsckg4vyheie7vg/116115-af.jpg?rlkey=seduqgyjm8pkjk7655hrw65b9&amp;dl=0","Click to download Image")</f>
      </c>
      <c r="B3905" s="0">
        <f>HYPERLINK("https://dl.dropboxusercontent.com/scl/fi/etoyrbgfat9qc6slc40mz/womens-long-sleeve-size-chartscarmen.jpg?rlkey=jceblgdg7jj0akavbcy29mzki&amp;dl=0","Click to download SizeChart")</f>
      </c>
      <c r="C3905" s="0" t="inlineStr">
        <is>
          <t>Carmen Womens Long Sleeve Shirt</t>
        </is>
      </c>
      <c r="D3905" s="0" t="inlineStr">
        <is>
          <t>'116115</t>
        </is>
      </c>
      <c r="E3905" s="0" t="inlineStr">
        <is>
          <t>MU CARMEN W BLACK:116115E-2XL</t>
        </is>
      </c>
      <c r="F3905" s="0" t="inlineStr">
        <is>
          <t>'803116115084</t>
        </is>
      </c>
      <c r="G3905" s="0" t="inlineStr">
        <is>
          <t>WOMENS</t>
        </is>
      </c>
      <c r="H3905" s="0" t="inlineStr">
        <is>
          <t>2XL</t>
        </is>
      </c>
      <c r="I3905" s="0">
        <v>44.99</v>
      </c>
      <c r="J3905" s="0">
        <v>4</v>
      </c>
    </row>
    <row r="3906" spans="1:10" customHeight="0">
      <c r="A3906" s="0">
        <f>HYPERLINK("https://dl.dropboxusercontent.com/scl/fi/gxm3axgsckg4vyheie7vg/116115-af.jpg?rlkey=seduqgyjm8pkjk7655hrw65b9&amp;dl=0","Click to download Image")</f>
      </c>
      <c r="B3906" s="0">
        <f>HYPERLINK("https://dl.dropboxusercontent.com/scl/fi/etoyrbgfat9qc6slc40mz/womens-long-sleeve-size-chartscarmen.jpg?rlkey=jceblgdg7jj0akavbcy29mzki&amp;dl=0","Click to download SizeChart")</f>
      </c>
      <c r="C3906" s="0" t="inlineStr">
        <is>
          <t>Carmen Womens Long Sleeve Shirt</t>
        </is>
      </c>
      <c r="D3906" s="0" t="inlineStr">
        <is>
          <t>'116115</t>
        </is>
      </c>
      <c r="E3906" s="0" t="inlineStr">
        <is>
          <t>MU CARMEN W BLACK:116115F-3XL</t>
        </is>
      </c>
      <c r="F3906" s="0" t="inlineStr">
        <is>
          <t>'803116115091</t>
        </is>
      </c>
      <c r="G3906" s="0" t="inlineStr">
        <is>
          <t>WOMENS</t>
        </is>
      </c>
      <c r="H3906" s="0" t="inlineStr">
        <is>
          <t>3XL</t>
        </is>
      </c>
      <c r="I3906" s="0">
        <v>44.99</v>
      </c>
      <c r="J3906" s="0">
        <v>2</v>
      </c>
    </row>
    <row r="3907" spans="1:10" customHeight="0">
      <c r="A3907" s="0">
        <f>HYPERLINK("https://dl.dropboxusercontent.com/scl/fi/gxm3axgsckg4vyheie7vg/116115-af.jpg?rlkey=seduqgyjm8pkjk7655hrw65b9&amp;dl=0","Click to download Image")</f>
      </c>
      <c r="B3907" s="0">
        <f>HYPERLINK("https://dl.dropboxusercontent.com/scl/fi/etoyrbgfat9qc6slc40mz/womens-long-sleeve-size-chartscarmen.jpg?rlkey=jceblgdg7jj0akavbcy29mzki&amp;dl=0","Click to download SizeChart")</f>
      </c>
      <c r="C3907" s="0" t="inlineStr">
        <is>
          <t>Carmen Womens Long Sleeve Shirt</t>
        </is>
      </c>
      <c r="D3907" s="0" t="inlineStr">
        <is>
          <t>'116115</t>
        </is>
      </c>
      <c r="E3907" s="0" t="inlineStr">
        <is>
          <t>MU CARMEN W BLACK 12 PACK:116115Z-12PK</t>
        </is>
      </c>
      <c r="F3907" s="0" t="inlineStr">
        <is>
          <t>'803116115992</t>
        </is>
      </c>
      <c r="G3907" s="0" t="inlineStr">
        <is>
          <t>WOMENS</t>
        </is>
      </c>
      <c r="H3907" s="0" t="inlineStr">
        <is>
          <t>12 PACK</t>
        </is>
      </c>
      <c r="I3907" s="0">
        <v>491.88</v>
      </c>
      <c r="J3907" s="0">
        <v>0</v>
      </c>
    </row>
    <row r="3908" spans="1:10" customHeight="0">
      <c r="A3908" s="0">
        <f>HYPERLINK("https://dl.dropboxusercontent.com/scl/fi/172zki9mjamgbw0u5yd17/116114-af.jpg?rlkey=shq52jh115haehihhid4embbs&amp;dl=0","Click to download Image")</f>
      </c>
      <c r="B3908" s="0">
        <f>HYPERLINK("https://dl.dropboxusercontent.com/scl/fi/etoyrbgfat9qc6slc40mz/womens-long-sleeve-size-chartscarmen.jpg?rlkey=jceblgdg7jj0akavbcy29mzki&amp;dl=0","Click to download SizeChart")</f>
      </c>
      <c r="C3908" s="0" t="inlineStr">
        <is>
          <t>Carmen Womens Long Sleeve Shirt</t>
        </is>
      </c>
      <c r="D3908" s="0" t="inlineStr">
        <is>
          <t>'116114</t>
        </is>
      </c>
      <c r="E3908" s="0" t="inlineStr">
        <is>
          <t>UNI CARMEN W PURPLE:116114A-S</t>
        </is>
      </c>
      <c r="F3908" s="0" t="inlineStr">
        <is>
          <t>'802116114042</t>
        </is>
      </c>
      <c r="G3908" s="0" t="inlineStr">
        <is>
          <t>WOMENS</t>
        </is>
      </c>
      <c r="H3908" s="0" t="inlineStr">
        <is>
          <t>S</t>
        </is>
      </c>
      <c r="I3908" s="0">
        <v>42.99</v>
      </c>
      <c r="J3908" s="0">
        <v>15</v>
      </c>
    </row>
    <row r="3909" spans="1:10" customHeight="0">
      <c r="A3909" s="0">
        <f>HYPERLINK("https://dl.dropboxusercontent.com/scl/fi/172zki9mjamgbw0u5yd17/116114-af.jpg?rlkey=shq52jh115haehihhid4embbs&amp;dl=0","Click to download Image")</f>
      </c>
      <c r="B3909" s="0">
        <f>HYPERLINK("https://dl.dropboxusercontent.com/scl/fi/etoyrbgfat9qc6slc40mz/womens-long-sleeve-size-chartscarmen.jpg?rlkey=jceblgdg7jj0akavbcy29mzki&amp;dl=0","Click to download SizeChart")</f>
      </c>
      <c r="C3909" s="0" t="inlineStr">
        <is>
          <t>Carmen Womens Long Sleeve Shirt</t>
        </is>
      </c>
      <c r="D3909" s="0" t="inlineStr">
        <is>
          <t>'116114</t>
        </is>
      </c>
      <c r="E3909" s="0" t="inlineStr">
        <is>
          <t>UNI CARMEN W PURPLE:116114B-M</t>
        </is>
      </c>
      <c r="F3909" s="0" t="inlineStr">
        <is>
          <t>'802116114059</t>
        </is>
      </c>
      <c r="G3909" s="0" t="inlineStr">
        <is>
          <t>WOMENS</t>
        </is>
      </c>
      <c r="H3909" s="0" t="inlineStr">
        <is>
          <t>M</t>
        </is>
      </c>
      <c r="I3909" s="0">
        <v>42.99</v>
      </c>
      <c r="J3909" s="0">
        <v>32</v>
      </c>
    </row>
    <row r="3910" spans="1:10" customHeight="0">
      <c r="A3910" s="0">
        <f>HYPERLINK("https://dl.dropboxusercontent.com/scl/fi/172zki9mjamgbw0u5yd17/116114-af.jpg?rlkey=shq52jh115haehihhid4embbs&amp;dl=0","Click to download Image")</f>
      </c>
      <c r="B3910" s="0">
        <f>HYPERLINK("https://dl.dropboxusercontent.com/scl/fi/etoyrbgfat9qc6slc40mz/womens-long-sleeve-size-chartscarmen.jpg?rlkey=jceblgdg7jj0akavbcy29mzki&amp;dl=0","Click to download SizeChart")</f>
      </c>
      <c r="C3910" s="0" t="inlineStr">
        <is>
          <t>Carmen Womens Long Sleeve Shirt</t>
        </is>
      </c>
      <c r="D3910" s="0" t="inlineStr">
        <is>
          <t>'116114</t>
        </is>
      </c>
      <c r="E3910" s="0" t="inlineStr">
        <is>
          <t>UNI CARMEN W PURPLE:116114C-L</t>
        </is>
      </c>
      <c r="F3910" s="0" t="inlineStr">
        <is>
          <t>'802116114066</t>
        </is>
      </c>
      <c r="G3910" s="0" t="inlineStr">
        <is>
          <t>WOMENS</t>
        </is>
      </c>
      <c r="H3910" s="0" t="inlineStr">
        <is>
          <t>L</t>
        </is>
      </c>
      <c r="I3910" s="0">
        <v>42.99</v>
      </c>
      <c r="J3910" s="0">
        <v>32</v>
      </c>
    </row>
    <row r="3911" spans="1:10" customHeight="0">
      <c r="A3911" s="0">
        <f>HYPERLINK("https://dl.dropboxusercontent.com/scl/fi/172zki9mjamgbw0u5yd17/116114-af.jpg?rlkey=shq52jh115haehihhid4embbs&amp;dl=0","Click to download Image")</f>
      </c>
      <c r="B3911" s="0">
        <f>HYPERLINK("https://dl.dropboxusercontent.com/scl/fi/etoyrbgfat9qc6slc40mz/womens-long-sleeve-size-chartscarmen.jpg?rlkey=jceblgdg7jj0akavbcy29mzki&amp;dl=0","Click to download SizeChart")</f>
      </c>
      <c r="C3911" s="0" t="inlineStr">
        <is>
          <t>Carmen Womens Long Sleeve Shirt</t>
        </is>
      </c>
      <c r="D3911" s="0" t="inlineStr">
        <is>
          <t>'116114</t>
        </is>
      </c>
      <c r="E3911" s="0" t="inlineStr">
        <is>
          <t>UNI CARMEN W PURPLE:116114D-XL</t>
        </is>
      </c>
      <c r="F3911" s="0" t="inlineStr">
        <is>
          <t>'802116114073</t>
        </is>
      </c>
      <c r="G3911" s="0" t="inlineStr">
        <is>
          <t>WOMENS</t>
        </is>
      </c>
      <c r="H3911" s="0" t="inlineStr">
        <is>
          <t>XL</t>
        </is>
      </c>
      <c r="I3911" s="0">
        <v>42.99</v>
      </c>
      <c r="J3911" s="0">
        <v>16</v>
      </c>
    </row>
    <row r="3912" spans="1:10" customHeight="0">
      <c r="A3912" s="0">
        <f>HYPERLINK("https://dl.dropboxusercontent.com/scl/fi/172zki9mjamgbw0u5yd17/116114-af.jpg?rlkey=shq52jh115haehihhid4embbs&amp;dl=0","Click to download Image")</f>
      </c>
      <c r="B3912" s="0">
        <f>HYPERLINK("https://dl.dropboxusercontent.com/scl/fi/etoyrbgfat9qc6slc40mz/womens-long-sleeve-size-chartscarmen.jpg?rlkey=jceblgdg7jj0akavbcy29mzki&amp;dl=0","Click to download SizeChart")</f>
      </c>
      <c r="C3912" s="0" t="inlineStr">
        <is>
          <t>Carmen Womens Long Sleeve Shirt</t>
        </is>
      </c>
      <c r="D3912" s="0" t="inlineStr">
        <is>
          <t>'116114</t>
        </is>
      </c>
      <c r="E3912" s="0" t="inlineStr">
        <is>
          <t>UNI CARMEN W PURPLE:116114E-2XL</t>
        </is>
      </c>
      <c r="F3912" s="0" t="inlineStr">
        <is>
          <t>'802116114080</t>
        </is>
      </c>
      <c r="G3912" s="0" t="inlineStr">
        <is>
          <t>WOMENS</t>
        </is>
      </c>
      <c r="H3912" s="0" t="inlineStr">
        <is>
          <t>2XL</t>
        </is>
      </c>
      <c r="I3912" s="0">
        <v>44.99</v>
      </c>
      <c r="J3912" s="0">
        <v>8</v>
      </c>
    </row>
    <row r="3913" spans="1:10" customHeight="0">
      <c r="A3913" s="0">
        <f>HYPERLINK("https://dl.dropboxusercontent.com/scl/fi/172zki9mjamgbw0u5yd17/116114-af.jpg?rlkey=shq52jh115haehihhid4embbs&amp;dl=0","Click to download Image")</f>
      </c>
      <c r="B3913" s="0">
        <f>HYPERLINK("https://dl.dropboxusercontent.com/scl/fi/etoyrbgfat9qc6slc40mz/womens-long-sleeve-size-chartscarmen.jpg?rlkey=jceblgdg7jj0akavbcy29mzki&amp;dl=0","Click to download SizeChart")</f>
      </c>
      <c r="C3913" s="0" t="inlineStr">
        <is>
          <t>Carmen Womens Long Sleeve Shirt</t>
        </is>
      </c>
      <c r="D3913" s="0" t="inlineStr">
        <is>
          <t>'116114</t>
        </is>
      </c>
      <c r="E3913" s="0" t="inlineStr">
        <is>
          <t>UNI CARMEN W PURPLE:116114F-3XL</t>
        </is>
      </c>
      <c r="F3913" s="0" t="inlineStr">
        <is>
          <t>'802116114097</t>
        </is>
      </c>
      <c r="G3913" s="0" t="inlineStr">
        <is>
          <t>WOMENS</t>
        </is>
      </c>
      <c r="H3913" s="0" t="inlineStr">
        <is>
          <t>3XL</t>
        </is>
      </c>
      <c r="I3913" s="0">
        <v>44.99</v>
      </c>
      <c r="J3913" s="0">
        <v>4</v>
      </c>
    </row>
    <row r="3914" spans="1:10" customHeight="0">
      <c r="A3914" s="0">
        <f>HYPERLINK("https://dl.dropboxusercontent.com/scl/fi/172zki9mjamgbw0u5yd17/116114-af.jpg?rlkey=shq52jh115haehihhid4embbs&amp;dl=0","Click to download Image")</f>
      </c>
      <c r="B3914" s="0">
        <f>HYPERLINK("https://dl.dropboxusercontent.com/scl/fi/etoyrbgfat9qc6slc40mz/womens-long-sleeve-size-chartscarmen.jpg?rlkey=jceblgdg7jj0akavbcy29mzki&amp;dl=0","Click to download SizeChart")</f>
      </c>
      <c r="C3914" s="0" t="inlineStr">
        <is>
          <t>Carmen Womens Long Sleeve Shirt</t>
        </is>
      </c>
      <c r="D3914" s="0" t="inlineStr">
        <is>
          <t>'116114</t>
        </is>
      </c>
      <c r="E3914" s="0" t="inlineStr">
        <is>
          <t>UNI CARMEN W PURPLE 12 PACK:116114Z-12PK</t>
        </is>
      </c>
      <c r="F3914" s="0" t="inlineStr">
        <is>
          <t>'802116114998</t>
        </is>
      </c>
      <c r="G3914" s="0" t="inlineStr">
        <is>
          <t>WOMENS</t>
        </is>
      </c>
      <c r="H3914" s="0" t="inlineStr">
        <is>
          <t>12 PACK</t>
        </is>
      </c>
      <c r="I3914" s="0">
        <v>491.88</v>
      </c>
      <c r="J3914" s="0">
        <v>0</v>
      </c>
    </row>
    <row r="3915" spans="1:10" customHeight="0">
      <c r="A3915" s="0">
        <f>HYPERLINK("https://dl.dropboxusercontent.com/scl/fi/ifv7dnaptl2adha4iq3tp/116113-af.jpg?rlkey=lqpedgcvivl5x7p8dk0cbtehn&amp;dl=0","Click to download Image")</f>
      </c>
      <c r="B3915" s="0">
        <f>HYPERLINK("https://dl.dropboxusercontent.com/scl/fi/etoyrbgfat9qc6slc40mz/womens-long-sleeve-size-chartscarmen.jpg?rlkey=jceblgdg7jj0akavbcy29mzki&amp;dl=0","Click to download SizeChart")</f>
      </c>
      <c r="C3915" s="0" t="inlineStr">
        <is>
          <t>Carmen Womens Long Sleeve Shirt</t>
        </is>
      </c>
      <c r="D3915" s="0" t="inlineStr">
        <is>
          <t>'116113</t>
        </is>
      </c>
      <c r="E3915" s="0" t="inlineStr">
        <is>
          <t>IOWA CARMEN W GOLD:116113A-S</t>
        </is>
      </c>
      <c r="F3915" s="0" t="inlineStr">
        <is>
          <t>'800116113041</t>
        </is>
      </c>
      <c r="G3915" s="0" t="inlineStr">
        <is>
          <t>WOMENS</t>
        </is>
      </c>
      <c r="H3915" s="0" t="inlineStr">
        <is>
          <t>S</t>
        </is>
      </c>
      <c r="I3915" s="0">
        <v>42.99</v>
      </c>
      <c r="J3915" s="0">
        <v>24</v>
      </c>
    </row>
    <row r="3916" spans="1:10" customHeight="0">
      <c r="A3916" s="0">
        <f>HYPERLINK("https://dl.dropboxusercontent.com/scl/fi/ifv7dnaptl2adha4iq3tp/116113-af.jpg?rlkey=lqpedgcvivl5x7p8dk0cbtehn&amp;dl=0","Click to download Image")</f>
      </c>
      <c r="B3916" s="0">
        <f>HYPERLINK("https://dl.dropboxusercontent.com/scl/fi/etoyrbgfat9qc6slc40mz/womens-long-sleeve-size-chartscarmen.jpg?rlkey=jceblgdg7jj0akavbcy29mzki&amp;dl=0","Click to download SizeChart")</f>
      </c>
      <c r="C3916" s="0" t="inlineStr">
        <is>
          <t>Carmen Womens Long Sleeve Shirt</t>
        </is>
      </c>
      <c r="D3916" s="0" t="inlineStr">
        <is>
          <t>'116113</t>
        </is>
      </c>
      <c r="E3916" s="0" t="inlineStr">
        <is>
          <t>IOWA CARMEN W GOLD:116113B-M</t>
        </is>
      </c>
      <c r="F3916" s="0" t="inlineStr">
        <is>
          <t>'800116113058</t>
        </is>
      </c>
      <c r="G3916" s="0" t="inlineStr">
        <is>
          <t>WOMENS</t>
        </is>
      </c>
      <c r="H3916" s="0" t="inlineStr">
        <is>
          <t>M</t>
        </is>
      </c>
      <c r="I3916" s="0">
        <v>42.99</v>
      </c>
      <c r="J3916" s="0">
        <v>46</v>
      </c>
    </row>
    <row r="3917" spans="1:10" customHeight="0">
      <c r="A3917" s="0">
        <f>HYPERLINK("https://dl.dropboxusercontent.com/scl/fi/ifv7dnaptl2adha4iq3tp/116113-af.jpg?rlkey=lqpedgcvivl5x7p8dk0cbtehn&amp;dl=0","Click to download Image")</f>
      </c>
      <c r="B3917" s="0">
        <f>HYPERLINK("https://dl.dropboxusercontent.com/scl/fi/etoyrbgfat9qc6slc40mz/womens-long-sleeve-size-chartscarmen.jpg?rlkey=jceblgdg7jj0akavbcy29mzki&amp;dl=0","Click to download SizeChart")</f>
      </c>
      <c r="C3917" s="0" t="inlineStr">
        <is>
          <t>Carmen Womens Long Sleeve Shirt</t>
        </is>
      </c>
      <c r="D3917" s="0" t="inlineStr">
        <is>
          <t>'116113</t>
        </is>
      </c>
      <c r="E3917" s="0" t="inlineStr">
        <is>
          <t>IOWA CARMEN W GOLD:116113C-L</t>
        </is>
      </c>
      <c r="F3917" s="0" t="inlineStr">
        <is>
          <t>'800116113065</t>
        </is>
      </c>
      <c r="G3917" s="0" t="inlineStr">
        <is>
          <t>WOMENS</t>
        </is>
      </c>
      <c r="H3917" s="0" t="inlineStr">
        <is>
          <t>L</t>
        </is>
      </c>
      <c r="I3917" s="0">
        <v>42.99</v>
      </c>
      <c r="J3917" s="0">
        <v>48</v>
      </c>
    </row>
    <row r="3918" spans="1:10" customHeight="0">
      <c r="A3918" s="0">
        <f>HYPERLINK("https://dl.dropboxusercontent.com/scl/fi/ifv7dnaptl2adha4iq3tp/116113-af.jpg?rlkey=lqpedgcvivl5x7p8dk0cbtehn&amp;dl=0","Click to download Image")</f>
      </c>
      <c r="B3918" s="0">
        <f>HYPERLINK("https://dl.dropboxusercontent.com/scl/fi/etoyrbgfat9qc6slc40mz/womens-long-sleeve-size-chartscarmen.jpg?rlkey=jceblgdg7jj0akavbcy29mzki&amp;dl=0","Click to download SizeChart")</f>
      </c>
      <c r="C3918" s="0" t="inlineStr">
        <is>
          <t>Carmen Womens Long Sleeve Shirt</t>
        </is>
      </c>
      <c r="D3918" s="0" t="inlineStr">
        <is>
          <t>'116113</t>
        </is>
      </c>
      <c r="E3918" s="0" t="inlineStr">
        <is>
          <t>IOWA CARMEN W GOLD:116113D-XL</t>
        </is>
      </c>
      <c r="F3918" s="0" t="inlineStr">
        <is>
          <t>'800116113072</t>
        </is>
      </c>
      <c r="G3918" s="0" t="inlineStr">
        <is>
          <t>WOMENS</t>
        </is>
      </c>
      <c r="H3918" s="0" t="inlineStr">
        <is>
          <t>XL</t>
        </is>
      </c>
      <c r="I3918" s="0">
        <v>42.99</v>
      </c>
      <c r="J3918" s="0">
        <v>24</v>
      </c>
    </row>
    <row r="3919" spans="1:10" customHeight="0">
      <c r="A3919" s="0">
        <f>HYPERLINK("https://dl.dropboxusercontent.com/scl/fi/ifv7dnaptl2adha4iq3tp/116113-af.jpg?rlkey=lqpedgcvivl5x7p8dk0cbtehn&amp;dl=0","Click to download Image")</f>
      </c>
      <c r="B3919" s="0">
        <f>HYPERLINK("https://dl.dropboxusercontent.com/scl/fi/etoyrbgfat9qc6slc40mz/womens-long-sleeve-size-chartscarmen.jpg?rlkey=jceblgdg7jj0akavbcy29mzki&amp;dl=0","Click to download SizeChart")</f>
      </c>
      <c r="C3919" s="0" t="inlineStr">
        <is>
          <t>Carmen Womens Long Sleeve Shirt</t>
        </is>
      </c>
      <c r="D3919" s="0" t="inlineStr">
        <is>
          <t>'116113</t>
        </is>
      </c>
      <c r="E3919" s="0" t="inlineStr">
        <is>
          <t>IOWA CARMEN W GOLD:116113E-2XL</t>
        </is>
      </c>
      <c r="F3919" s="0" t="inlineStr">
        <is>
          <t>'800116113089</t>
        </is>
      </c>
      <c r="G3919" s="0" t="inlineStr">
        <is>
          <t>WOMENS</t>
        </is>
      </c>
      <c r="H3919" s="0" t="inlineStr">
        <is>
          <t>2XL</t>
        </is>
      </c>
      <c r="I3919" s="0">
        <v>44.99</v>
      </c>
      <c r="J3919" s="0">
        <v>12</v>
      </c>
    </row>
    <row r="3920" spans="1:10" customHeight="0">
      <c r="A3920" s="0">
        <f>HYPERLINK("https://dl.dropboxusercontent.com/scl/fi/ifv7dnaptl2adha4iq3tp/116113-af.jpg?rlkey=lqpedgcvivl5x7p8dk0cbtehn&amp;dl=0","Click to download Image")</f>
      </c>
      <c r="B3920" s="0">
        <f>HYPERLINK("https://dl.dropboxusercontent.com/scl/fi/etoyrbgfat9qc6slc40mz/womens-long-sleeve-size-chartscarmen.jpg?rlkey=jceblgdg7jj0akavbcy29mzki&amp;dl=0","Click to download SizeChart")</f>
      </c>
      <c r="C3920" s="0" t="inlineStr">
        <is>
          <t>Carmen Womens Long Sleeve Shirt</t>
        </is>
      </c>
      <c r="D3920" s="0" t="inlineStr">
        <is>
          <t>'116113</t>
        </is>
      </c>
      <c r="E3920" s="0" t="inlineStr">
        <is>
          <t>IOWA CARMEN W GOLD:116113F-3XL</t>
        </is>
      </c>
      <c r="F3920" s="0" t="inlineStr">
        <is>
          <t>'800116113096</t>
        </is>
      </c>
      <c r="G3920" s="0" t="inlineStr">
        <is>
          <t>WOMENS</t>
        </is>
      </c>
      <c r="H3920" s="0" t="inlineStr">
        <is>
          <t>3XL</t>
        </is>
      </c>
      <c r="I3920" s="0">
        <v>44.99</v>
      </c>
      <c r="J3920" s="0">
        <v>6</v>
      </c>
    </row>
    <row r="3921" spans="1:10" customHeight="0">
      <c r="A3921" s="0">
        <f>HYPERLINK("https://dl.dropboxusercontent.com/scl/fi/ifv7dnaptl2adha4iq3tp/116113-af.jpg?rlkey=lqpedgcvivl5x7p8dk0cbtehn&amp;dl=0","Click to download Image")</f>
      </c>
      <c r="B3921" s="0">
        <f>HYPERLINK("https://dl.dropboxusercontent.com/scl/fi/etoyrbgfat9qc6slc40mz/womens-long-sleeve-size-chartscarmen.jpg?rlkey=jceblgdg7jj0akavbcy29mzki&amp;dl=0","Click to download SizeChart")</f>
      </c>
      <c r="C3921" s="0" t="inlineStr">
        <is>
          <t>Carmen Womens Long Sleeve Shirt</t>
        </is>
      </c>
      <c r="D3921" s="0" t="inlineStr">
        <is>
          <t>'116113</t>
        </is>
      </c>
      <c r="E3921" s="0" t="inlineStr">
        <is>
          <t>IOWA CARMEN W GOLD 12 PACK:116113Z-12PK</t>
        </is>
      </c>
      <c r="F3921" s="0" t="inlineStr">
        <is>
          <t>'800116113997</t>
        </is>
      </c>
      <c r="G3921" s="0" t="inlineStr">
        <is>
          <t>WOMENS</t>
        </is>
      </c>
      <c r="H3921" s="0" t="inlineStr">
        <is>
          <t>12 PACK</t>
        </is>
      </c>
      <c r="I3921" s="0">
        <v>491.88</v>
      </c>
      <c r="J3921" s="0">
        <v>0</v>
      </c>
    </row>
    <row r="3922" spans="1:10" customHeight="0">
      <c r="A3922" s="0">
        <f>HYPERLINK("https://dl.dropboxusercontent.com/scl/fi/cel52qx6zqgi8f2qfr9re/z-indianna-7.jpg?rlkey=tpkwe3eeeo2mnlppt9ql5mki9&amp;dl=0","Click to download Image")</f>
      </c>
      <c r="C3922" s="0" t="inlineStr">
        <is>
          <t>Haven Toddler Dress</t>
        </is>
      </c>
      <c r="D3922" s="0" t="inlineStr">
        <is>
          <t>'111528</t>
        </is>
      </c>
      <c r="E3922" s="0" t="inlineStr">
        <is>
          <t>INDIANA HAVEN BLACK:111528A-2T</t>
        </is>
      </c>
      <c r="F3922" s="0" t="inlineStr">
        <is>
          <t>'806111528088</t>
        </is>
      </c>
      <c r="G3922" s="0" t="inlineStr">
        <is>
          <t>TODDLER</t>
        </is>
      </c>
      <c r="H3922" s="0" t="inlineStr">
        <is>
          <t>2T</t>
        </is>
      </c>
      <c r="I3922" s="0">
        <v>29.99</v>
      </c>
      <c r="J3922" s="0">
        <v>2</v>
      </c>
    </row>
    <row r="3923" spans="1:10" customHeight="0">
      <c r="A3923" s="0">
        <f>HYPERLINK("https://dl.dropboxusercontent.com/scl/fi/cel52qx6zqgi8f2qfr9re/z-indianna-7.jpg?rlkey=tpkwe3eeeo2mnlppt9ql5mki9&amp;dl=0","Click to download Image")</f>
      </c>
      <c r="C3923" s="0" t="inlineStr">
        <is>
          <t>Haven Toddler Dress</t>
        </is>
      </c>
      <c r="D3923" s="0" t="inlineStr">
        <is>
          <t>'111528</t>
        </is>
      </c>
      <c r="E3923" s="0" t="inlineStr">
        <is>
          <t>INDIANA HAVEN BLACK:111528B-3T</t>
        </is>
      </c>
      <c r="F3923" s="0" t="inlineStr">
        <is>
          <t>'806111528095</t>
        </is>
      </c>
      <c r="G3923" s="0" t="inlineStr">
        <is>
          <t>TODDLER</t>
        </is>
      </c>
      <c r="H3923" s="0" t="inlineStr">
        <is>
          <t>3T</t>
        </is>
      </c>
      <c r="I3923" s="0">
        <v>29.99</v>
      </c>
      <c r="J3923" s="0">
        <v>0</v>
      </c>
    </row>
    <row r="3924" spans="1:10" customHeight="0">
      <c r="A3924" s="0">
        <f>HYPERLINK("https://dl.dropboxusercontent.com/scl/fi/cel52qx6zqgi8f2qfr9re/z-indianna-7.jpg?rlkey=tpkwe3eeeo2mnlppt9ql5mki9&amp;dl=0","Click to download Image")</f>
      </c>
      <c r="C3924" s="0" t="inlineStr">
        <is>
          <t>Haven Toddler Dress</t>
        </is>
      </c>
      <c r="D3924" s="0" t="inlineStr">
        <is>
          <t>'111528</t>
        </is>
      </c>
      <c r="E3924" s="0" t="inlineStr">
        <is>
          <t>INDIANA HAVEN BLACK:111528C-4T</t>
        </is>
      </c>
      <c r="F3924" s="0" t="inlineStr">
        <is>
          <t>'806111528101</t>
        </is>
      </c>
      <c r="G3924" s="0" t="inlineStr">
        <is>
          <t>TODDLER</t>
        </is>
      </c>
      <c r="H3924" s="0" t="inlineStr">
        <is>
          <t>4T</t>
        </is>
      </c>
      <c r="I3924" s="0">
        <v>29.99</v>
      </c>
      <c r="J3924" s="0">
        <v>4</v>
      </c>
    </row>
    <row r="3925" spans="1:10" customHeight="0">
      <c r="A3925" s="0">
        <f>HYPERLINK("https://dl.dropboxusercontent.com/scl/fi/cel52qx6zqgi8f2qfr9re/z-indianna-7.jpg?rlkey=tpkwe3eeeo2mnlppt9ql5mki9&amp;dl=0","Click to download Image")</f>
      </c>
      <c r="C3925" s="0" t="inlineStr">
        <is>
          <t>Haven Toddler Dress</t>
        </is>
      </c>
      <c r="D3925" s="0" t="inlineStr">
        <is>
          <t>'111528</t>
        </is>
      </c>
      <c r="E3925" s="0" t="inlineStr">
        <is>
          <t>INDIANA HAVEN BLACK:111528D-5T</t>
        </is>
      </c>
      <c r="F3925" s="0" t="inlineStr">
        <is>
          <t>'806111528118</t>
        </is>
      </c>
      <c r="G3925" s="0" t="inlineStr">
        <is>
          <t>TODDLER</t>
        </is>
      </c>
      <c r="H3925" s="0" t="inlineStr">
        <is>
          <t>5T</t>
        </is>
      </c>
      <c r="I3925" s="0">
        <v>29.99</v>
      </c>
      <c r="J3925" s="0">
        <v>5</v>
      </c>
    </row>
    <row r="3926" spans="1:10" customHeight="0">
      <c r="A3926" s="0">
        <f>HYPERLINK("https://dl.dropboxusercontent.com/scl/fi/cel52qx6zqgi8f2qfr9re/z-indianna-7.jpg?rlkey=tpkwe3eeeo2mnlppt9ql5mki9&amp;dl=0","Click to download Image")</f>
      </c>
      <c r="C3926" s="0" t="inlineStr">
        <is>
          <t>Haven Toddler Dress</t>
        </is>
      </c>
      <c r="D3926" s="0" t="inlineStr">
        <is>
          <t>'111528</t>
        </is>
      </c>
      <c r="E3926" s="0" t="inlineStr">
        <is>
          <t>INDIANA HAVEN BLACK 12 PACK:111528Z-12PK</t>
        </is>
      </c>
      <c r="F3926" s="0" t="inlineStr">
        <is>
          <t>'806111528996</t>
        </is>
      </c>
      <c r="G3926" s="0" t="inlineStr">
        <is>
          <t>TODDLER</t>
        </is>
      </c>
      <c r="H3926" s="0" t="inlineStr">
        <is>
          <t>12 PACK</t>
        </is>
      </c>
      <c r="I3926" s="0">
        <v>335.88</v>
      </c>
      <c r="J3926" s="0">
        <v>0</v>
      </c>
    </row>
    <row r="3927" spans="1:10" customHeight="0">
      <c r="A3927" s="0">
        <f>HYPERLINK("https://dl.dropboxusercontent.com/scl/fi/o64fj3h7w193evirs5hdm/111527f08641.jpg?rlkey=gnufxdlxpcc5bs1dxto1pci1g&amp;dl=0","Click to download Image")</f>
      </c>
      <c r="C3927" s="0" t="inlineStr">
        <is>
          <t>Haven Toddler Dress</t>
        </is>
      </c>
      <c r="D3927" s="0" t="inlineStr">
        <is>
          <t>'111527</t>
        </is>
      </c>
      <c r="E3927" s="0" t="inlineStr">
        <is>
          <t>UNI HAVEN BLACK:111527A-2T</t>
        </is>
      </c>
      <c r="F3927" s="0" t="inlineStr">
        <is>
          <t>'802111527083</t>
        </is>
      </c>
      <c r="G3927" s="0" t="inlineStr">
        <is>
          <t>TODDLER</t>
        </is>
      </c>
      <c r="H3927" s="0" t="inlineStr">
        <is>
          <t>2T</t>
        </is>
      </c>
      <c r="I3927" s="0">
        <v>29.99</v>
      </c>
      <c r="J3927" s="0">
        <v>8</v>
      </c>
    </row>
    <row r="3928" spans="1:10" customHeight="0">
      <c r="A3928" s="0">
        <f>HYPERLINK("https://dl.dropboxusercontent.com/scl/fi/o64fj3h7w193evirs5hdm/111527f08641.jpg?rlkey=gnufxdlxpcc5bs1dxto1pci1g&amp;dl=0","Click to download Image")</f>
      </c>
      <c r="C3928" s="0" t="inlineStr">
        <is>
          <t>Haven Toddler Dress</t>
        </is>
      </c>
      <c r="D3928" s="0" t="inlineStr">
        <is>
          <t>'111527</t>
        </is>
      </c>
      <c r="E3928" s="0" t="inlineStr">
        <is>
          <t>UNI HAVEN BLACK:111527B-3T</t>
        </is>
      </c>
      <c r="F3928" s="0" t="inlineStr">
        <is>
          <t>'802111527090</t>
        </is>
      </c>
      <c r="G3928" s="0" t="inlineStr">
        <is>
          <t>TODDLER</t>
        </is>
      </c>
      <c r="H3928" s="0" t="inlineStr">
        <is>
          <t>3T</t>
        </is>
      </c>
      <c r="I3928" s="0">
        <v>29.99</v>
      </c>
      <c r="J3928" s="0">
        <v>9</v>
      </c>
    </row>
    <row r="3929" spans="1:10" customHeight="0">
      <c r="A3929" s="0">
        <f>HYPERLINK("https://dl.dropboxusercontent.com/scl/fi/o64fj3h7w193evirs5hdm/111527f08641.jpg?rlkey=gnufxdlxpcc5bs1dxto1pci1g&amp;dl=0","Click to download Image")</f>
      </c>
      <c r="C3929" s="0" t="inlineStr">
        <is>
          <t>Haven Toddler Dress</t>
        </is>
      </c>
      <c r="D3929" s="0" t="inlineStr">
        <is>
          <t>'111527</t>
        </is>
      </c>
      <c r="E3929" s="0" t="inlineStr">
        <is>
          <t>UNI HAVEN BLACK:111527C-4T</t>
        </is>
      </c>
      <c r="F3929" s="0" t="inlineStr">
        <is>
          <t>'802111527106</t>
        </is>
      </c>
      <c r="G3929" s="0" t="inlineStr">
        <is>
          <t>TODDLER</t>
        </is>
      </c>
      <c r="H3929" s="0" t="inlineStr">
        <is>
          <t>4T</t>
        </is>
      </c>
      <c r="I3929" s="0">
        <v>29.99</v>
      </c>
      <c r="J3929" s="0">
        <v>9</v>
      </c>
    </row>
    <row r="3930" spans="1:10" customHeight="0">
      <c r="A3930" s="0">
        <f>HYPERLINK("https://dl.dropboxusercontent.com/scl/fi/o64fj3h7w193evirs5hdm/111527f08641.jpg?rlkey=gnufxdlxpcc5bs1dxto1pci1g&amp;dl=0","Click to download Image")</f>
      </c>
      <c r="C3930" s="0" t="inlineStr">
        <is>
          <t>Haven Toddler Dress</t>
        </is>
      </c>
      <c r="D3930" s="0" t="inlineStr">
        <is>
          <t>'111527</t>
        </is>
      </c>
      <c r="E3930" s="0" t="inlineStr">
        <is>
          <t>UNI HAVEN BLACK:111527D-5T</t>
        </is>
      </c>
      <c r="F3930" s="0" t="inlineStr">
        <is>
          <t>'802111527113</t>
        </is>
      </c>
      <c r="G3930" s="0" t="inlineStr">
        <is>
          <t>TODDLER</t>
        </is>
      </c>
      <c r="H3930" s="0" t="inlineStr">
        <is>
          <t>5T</t>
        </is>
      </c>
      <c r="I3930" s="0">
        <v>29.99</v>
      </c>
      <c r="J3930" s="0">
        <v>9</v>
      </c>
    </row>
    <row r="3931" spans="1:10" customHeight="0">
      <c r="A3931" s="0">
        <f>HYPERLINK("https://dl.dropboxusercontent.com/scl/fi/o64fj3h7w193evirs5hdm/111527f08641.jpg?rlkey=gnufxdlxpcc5bs1dxto1pci1g&amp;dl=0","Click to download Image")</f>
      </c>
      <c r="C3931" s="0" t="inlineStr">
        <is>
          <t>Haven Toddler Dress</t>
        </is>
      </c>
      <c r="D3931" s="0" t="inlineStr">
        <is>
          <t>'111527</t>
        </is>
      </c>
      <c r="E3931" s="0" t="inlineStr">
        <is>
          <t>UNI HAVEN BLACK 12 PACK:111527Z-12PK</t>
        </is>
      </c>
      <c r="F3931" s="0" t="inlineStr">
        <is>
          <t>'802111527991</t>
        </is>
      </c>
      <c r="G3931" s="0" t="inlineStr">
        <is>
          <t>TODDLER</t>
        </is>
      </c>
      <c r="H3931" s="0" t="inlineStr">
        <is>
          <t>12 PACK</t>
        </is>
      </c>
      <c r="I3931" s="0">
        <v>335.88</v>
      </c>
      <c r="J3931" s="0">
        <v>0</v>
      </c>
    </row>
    <row r="3932" spans="1:10" customHeight="0">
      <c r="A3932" s="0">
        <f>HYPERLINK("https://dl.dropboxusercontent.com/scl/fi/5ijziqummsrhq2cwlokcp/drakehaven-0183456.jpg?rlkey=5h5ghv7nimgtvehxv5w8hb2y3&amp;dl=0","Click to download Image")</f>
      </c>
      <c r="C3932" s="0" t="inlineStr">
        <is>
          <t>Haven Toddler Dress</t>
        </is>
      </c>
      <c r="D3932" s="0" t="inlineStr">
        <is>
          <t>'130825</t>
        </is>
      </c>
      <c r="E3932" s="0" t="inlineStr">
        <is>
          <t>DRK T HAVEN BK:130825A-2T</t>
        </is>
      </c>
      <c r="F3932" s="0" t="inlineStr">
        <is>
          <t>'817130825089</t>
        </is>
      </c>
      <c r="G3932" s="0" t="inlineStr">
        <is>
          <t>TODDLER</t>
        </is>
      </c>
      <c r="H3932" s="0" t="inlineStr">
        <is>
          <t>2T</t>
        </is>
      </c>
      <c r="I3932" s="0">
        <v>29.99</v>
      </c>
      <c r="J3932" s="0">
        <v>6</v>
      </c>
    </row>
    <row r="3933" spans="1:10" customHeight="0">
      <c r="A3933" s="0">
        <f>HYPERLINK("https://dl.dropboxusercontent.com/scl/fi/5ijziqummsrhq2cwlokcp/drakehaven-0183456.jpg?rlkey=5h5ghv7nimgtvehxv5w8hb2y3&amp;dl=0","Click to download Image")</f>
      </c>
      <c r="C3933" s="0" t="inlineStr">
        <is>
          <t>Haven Toddler Dress</t>
        </is>
      </c>
      <c r="D3933" s="0" t="inlineStr">
        <is>
          <t>'130825</t>
        </is>
      </c>
      <c r="E3933" s="0" t="inlineStr">
        <is>
          <t>DRK T HAVEN BK:130825B-3T</t>
        </is>
      </c>
      <c r="F3933" s="0" t="inlineStr">
        <is>
          <t>'817130825096</t>
        </is>
      </c>
      <c r="G3933" s="0" t="inlineStr">
        <is>
          <t>TODDLER</t>
        </is>
      </c>
      <c r="H3933" s="0" t="inlineStr">
        <is>
          <t>3T</t>
        </is>
      </c>
      <c r="I3933" s="0">
        <v>29.99</v>
      </c>
      <c r="J3933" s="0">
        <v>6</v>
      </c>
    </row>
    <row r="3934" spans="1:10" customHeight="0">
      <c r="A3934" s="0">
        <f>HYPERLINK("https://dl.dropboxusercontent.com/scl/fi/5ijziqummsrhq2cwlokcp/drakehaven-0183456.jpg?rlkey=5h5ghv7nimgtvehxv5w8hb2y3&amp;dl=0","Click to download Image")</f>
      </c>
      <c r="C3934" s="0" t="inlineStr">
        <is>
          <t>Haven Toddler Dress</t>
        </is>
      </c>
      <c r="D3934" s="0" t="inlineStr">
        <is>
          <t>'130825</t>
        </is>
      </c>
      <c r="E3934" s="0" t="inlineStr">
        <is>
          <t>DRK T HAVEN BK:130825C-4T</t>
        </is>
      </c>
      <c r="F3934" s="0" t="inlineStr">
        <is>
          <t>'817130825102</t>
        </is>
      </c>
      <c r="G3934" s="0" t="inlineStr">
        <is>
          <t>TODDLER</t>
        </is>
      </c>
      <c r="H3934" s="0" t="inlineStr">
        <is>
          <t>4T</t>
        </is>
      </c>
      <c r="I3934" s="0">
        <v>29.99</v>
      </c>
      <c r="J3934" s="0">
        <v>6</v>
      </c>
    </row>
    <row r="3935" spans="1:10" customHeight="0">
      <c r="A3935" s="0">
        <f>HYPERLINK("https://dl.dropboxusercontent.com/scl/fi/5ijziqummsrhq2cwlokcp/drakehaven-0183456.jpg?rlkey=5h5ghv7nimgtvehxv5w8hb2y3&amp;dl=0","Click to download Image")</f>
      </c>
      <c r="C3935" s="0" t="inlineStr">
        <is>
          <t>Haven Toddler Dress</t>
        </is>
      </c>
      <c r="D3935" s="0" t="inlineStr">
        <is>
          <t>'130825</t>
        </is>
      </c>
      <c r="E3935" s="0" t="inlineStr">
        <is>
          <t>DRK T HAVEN BK:130825D-5T</t>
        </is>
      </c>
      <c r="F3935" s="0" t="inlineStr">
        <is>
          <t>'817130825119</t>
        </is>
      </c>
      <c r="G3935" s="0" t="inlineStr">
        <is>
          <t>TODDLER</t>
        </is>
      </c>
      <c r="H3935" s="0" t="inlineStr">
        <is>
          <t>5T</t>
        </is>
      </c>
      <c r="I3935" s="0">
        <v>29.99</v>
      </c>
      <c r="J3935" s="0">
        <v>5</v>
      </c>
    </row>
    <row r="3936" spans="1:10" customHeight="0">
      <c r="A3936" s="0">
        <f>HYPERLINK("https://dl.dropboxusercontent.com/scl/fi/vw0293jk57vc8s3m59jkk/isu-af.jpg?rlkey=pybnb8of0uilwkadjw8bpm5e2&amp;dl=0","Click to download Image")</f>
      </c>
      <c r="B3936" s="0">
        <f>HYPERLINK("https://dl.dropboxusercontent.com/scl/fi/tfbum6nyxy5jpr0ewh85q/womens-tank-top-size-chartshastings.jpg?rlkey=j6c1vtzvnmd7uir5s02h06ong&amp;dl=0","Click to download SizeChart")</f>
      </c>
      <c r="C3936" s="0" t="inlineStr">
        <is>
          <t>Hastings Womens Tank Top</t>
        </is>
      </c>
      <c r="D3936" s="0" t="inlineStr">
        <is>
          <t>'109669</t>
        </is>
      </c>
      <c r="E3936" s="0" t="inlineStr">
        <is>
          <t>ISU HASTINGS:109669A-S</t>
        </is>
      </c>
      <c r="F3936" s="0" t="inlineStr">
        <is>
          <t>'801109669040</t>
        </is>
      </c>
      <c r="G3936" s="0" t="inlineStr">
        <is>
          <t>WOMENS</t>
        </is>
      </c>
      <c r="H3936" s="0" t="inlineStr">
        <is>
          <t>S</t>
        </is>
      </c>
      <c r="I3936" s="0">
        <v>29.99</v>
      </c>
      <c r="J3936" s="0">
        <v>8</v>
      </c>
    </row>
    <row r="3937" spans="1:10" customHeight="0">
      <c r="A3937" s="0">
        <f>HYPERLINK("https://dl.dropboxusercontent.com/scl/fi/vw0293jk57vc8s3m59jkk/isu-af.jpg?rlkey=pybnb8of0uilwkadjw8bpm5e2&amp;dl=0","Click to download Image")</f>
      </c>
      <c r="B3937" s="0">
        <f>HYPERLINK("https://dl.dropboxusercontent.com/scl/fi/tfbum6nyxy5jpr0ewh85q/womens-tank-top-size-chartshastings.jpg?rlkey=j6c1vtzvnmd7uir5s02h06ong&amp;dl=0","Click to download SizeChart")</f>
      </c>
      <c r="C3937" s="0" t="inlineStr">
        <is>
          <t>Hastings Womens Tank Top</t>
        </is>
      </c>
      <c r="D3937" s="0" t="inlineStr">
        <is>
          <t>'109669</t>
        </is>
      </c>
      <c r="E3937" s="0" t="inlineStr">
        <is>
          <t>ISU HASTINGS:109669B-M</t>
        </is>
      </c>
      <c r="F3937" s="0" t="inlineStr">
        <is>
          <t>'801109669057</t>
        </is>
      </c>
      <c r="G3937" s="0" t="inlineStr">
        <is>
          <t>WOMENS</t>
        </is>
      </c>
      <c r="H3937" s="0" t="inlineStr">
        <is>
          <t>M</t>
        </is>
      </c>
      <c r="I3937" s="0">
        <v>29.99</v>
      </c>
      <c r="J3937" s="0">
        <v>22</v>
      </c>
    </row>
    <row r="3938" spans="1:10" customHeight="0">
      <c r="A3938" s="0">
        <f>HYPERLINK("https://dl.dropboxusercontent.com/scl/fi/vw0293jk57vc8s3m59jkk/isu-af.jpg?rlkey=pybnb8of0uilwkadjw8bpm5e2&amp;dl=0","Click to download Image")</f>
      </c>
      <c r="B3938" s="0">
        <f>HYPERLINK("https://dl.dropboxusercontent.com/scl/fi/tfbum6nyxy5jpr0ewh85q/womens-tank-top-size-chartshastings.jpg?rlkey=j6c1vtzvnmd7uir5s02h06ong&amp;dl=0","Click to download SizeChart")</f>
      </c>
      <c r="C3938" s="0" t="inlineStr">
        <is>
          <t>Hastings Womens Tank Top</t>
        </is>
      </c>
      <c r="D3938" s="0" t="inlineStr">
        <is>
          <t>'109669</t>
        </is>
      </c>
      <c r="E3938" s="0" t="inlineStr">
        <is>
          <t>ISU HASTINGS:109669C-L</t>
        </is>
      </c>
      <c r="F3938" s="0" t="inlineStr">
        <is>
          <t>'801109669064</t>
        </is>
      </c>
      <c r="G3938" s="0" t="inlineStr">
        <is>
          <t>WOMENS</t>
        </is>
      </c>
      <c r="H3938" s="0" t="inlineStr">
        <is>
          <t>L</t>
        </is>
      </c>
      <c r="I3938" s="0">
        <v>29.99</v>
      </c>
      <c r="J3938" s="0">
        <v>18</v>
      </c>
    </row>
    <row r="3939" spans="1:10" customHeight="0">
      <c r="A3939" s="0">
        <f>HYPERLINK("https://dl.dropboxusercontent.com/scl/fi/vw0293jk57vc8s3m59jkk/isu-af.jpg?rlkey=pybnb8of0uilwkadjw8bpm5e2&amp;dl=0","Click to download Image")</f>
      </c>
      <c r="B3939" s="0">
        <f>HYPERLINK("https://dl.dropboxusercontent.com/scl/fi/tfbum6nyxy5jpr0ewh85q/womens-tank-top-size-chartshastings.jpg?rlkey=j6c1vtzvnmd7uir5s02h06ong&amp;dl=0","Click to download SizeChart")</f>
      </c>
      <c r="C3939" s="0" t="inlineStr">
        <is>
          <t>Hastings Womens Tank Top</t>
        </is>
      </c>
      <c r="D3939" s="0" t="inlineStr">
        <is>
          <t>'109669</t>
        </is>
      </c>
      <c r="E3939" s="0" t="inlineStr">
        <is>
          <t>ISU HASTINGS:109669D-XL</t>
        </is>
      </c>
      <c r="F3939" s="0" t="inlineStr">
        <is>
          <t>'801109669071</t>
        </is>
      </c>
      <c r="G3939" s="0" t="inlineStr">
        <is>
          <t>WOMENS</t>
        </is>
      </c>
      <c r="H3939" s="0" t="inlineStr">
        <is>
          <t>XL</t>
        </is>
      </c>
      <c r="I3939" s="0">
        <v>29.99</v>
      </c>
      <c r="J3939" s="0">
        <v>1</v>
      </c>
    </row>
    <row r="3940" spans="1:10" customHeight="0">
      <c r="A3940" s="0">
        <f>HYPERLINK("https://dl.dropboxusercontent.com/scl/fi/vw0293jk57vc8s3m59jkk/isu-af.jpg?rlkey=pybnb8of0uilwkadjw8bpm5e2&amp;dl=0","Click to download Image")</f>
      </c>
      <c r="B3940" s="0">
        <f>HYPERLINK("https://dl.dropboxusercontent.com/scl/fi/tfbum6nyxy5jpr0ewh85q/womens-tank-top-size-chartshastings.jpg?rlkey=j6c1vtzvnmd7uir5s02h06ong&amp;dl=0","Click to download SizeChart")</f>
      </c>
      <c r="C3940" s="0" t="inlineStr">
        <is>
          <t>Hastings Womens Tank Top</t>
        </is>
      </c>
      <c r="D3940" s="0" t="inlineStr">
        <is>
          <t>'109669</t>
        </is>
      </c>
      <c r="E3940" s="0" t="inlineStr">
        <is>
          <t>ISU HASTINGS:109669E-2XL</t>
        </is>
      </c>
      <c r="F3940" s="0" t="inlineStr">
        <is>
          <t>'801109669088</t>
        </is>
      </c>
      <c r="G3940" s="0" t="inlineStr">
        <is>
          <t>WOMENS</t>
        </is>
      </c>
      <c r="H3940" s="0" t="inlineStr">
        <is>
          <t>2XL</t>
        </is>
      </c>
      <c r="I3940" s="0">
        <v>31.99</v>
      </c>
      <c r="J3940" s="0">
        <v>0</v>
      </c>
    </row>
    <row r="3941" spans="1:10" customHeight="0">
      <c r="A3941" s="0">
        <f>HYPERLINK("https://dl.dropboxusercontent.com/scl/fi/vw0293jk57vc8s3m59jkk/isu-af.jpg?rlkey=pybnb8of0uilwkadjw8bpm5e2&amp;dl=0","Click to download Image")</f>
      </c>
      <c r="B3941" s="0">
        <f>HYPERLINK("https://dl.dropboxusercontent.com/scl/fi/tfbum6nyxy5jpr0ewh85q/womens-tank-top-size-chartshastings.jpg?rlkey=j6c1vtzvnmd7uir5s02h06ong&amp;dl=0","Click to download SizeChart")</f>
      </c>
      <c r="C3941" s="0" t="inlineStr">
        <is>
          <t>Hastings Womens Tank Top</t>
        </is>
      </c>
      <c r="D3941" s="0" t="inlineStr">
        <is>
          <t>'109669</t>
        </is>
      </c>
      <c r="E3941" s="0" t="inlineStr">
        <is>
          <t>ISU HASTINGS:109669F-3XL</t>
        </is>
      </c>
      <c r="F3941" s="0" t="inlineStr">
        <is>
          <t>'801109669095</t>
        </is>
      </c>
      <c r="G3941" s="0" t="inlineStr">
        <is>
          <t>WOMENS</t>
        </is>
      </c>
      <c r="H3941" s="0" t="inlineStr">
        <is>
          <t>3XL</t>
        </is>
      </c>
      <c r="I3941" s="0">
        <v>31.99</v>
      </c>
      <c r="J3941" s="0">
        <v>0</v>
      </c>
    </row>
    <row r="3942" spans="1:10" customHeight="0">
      <c r="A3942" s="0">
        <f>HYPERLINK("https://dl.dropboxusercontent.com/scl/fi/vw0293jk57vc8s3m59jkk/isu-af.jpg?rlkey=pybnb8of0uilwkadjw8bpm5e2&amp;dl=0","Click to download Image")</f>
      </c>
      <c r="B3942" s="0">
        <f>HYPERLINK("https://dl.dropboxusercontent.com/scl/fi/tfbum6nyxy5jpr0ewh85q/womens-tank-top-size-chartshastings.jpg?rlkey=j6c1vtzvnmd7uir5s02h06ong&amp;dl=0","Click to download SizeChart")</f>
      </c>
      <c r="C3942" s="0" t="inlineStr">
        <is>
          <t>Hastings Womens Tank Top</t>
        </is>
      </c>
      <c r="D3942" s="0" t="inlineStr">
        <is>
          <t>'109669</t>
        </is>
      </c>
      <c r="E3942" s="0" t="inlineStr">
        <is>
          <t>ISU HASTINGS 12 PACK:109669Z-12PK</t>
        </is>
      </c>
      <c r="F3942" s="0" t="inlineStr">
        <is>
          <t>'801109669996</t>
        </is>
      </c>
      <c r="G3942" s="0" t="inlineStr">
        <is>
          <t>WOMENS</t>
        </is>
      </c>
      <c r="H3942" s="0" t="inlineStr">
        <is>
          <t>12 PACK</t>
        </is>
      </c>
      <c r="I3942" s="0">
        <v>335.88</v>
      </c>
      <c r="J3942" s="0">
        <v>0</v>
      </c>
    </row>
    <row r="3943" spans="1:10" customHeight="0">
      <c r="A3943" s="0">
        <f>HYPERLINK("https://dl.dropboxusercontent.com/scl/fi/c753wgicl5pqd3fvp9gkw/hastings-tn2.jpg?rlkey=876ois4bqcapjtplosmdosblc&amp;dl=0","Click to download Image")</f>
      </c>
      <c r="B3943" s="0">
        <f>HYPERLINK("https://dl.dropboxusercontent.com/scl/fi/tfbum6nyxy5jpr0ewh85q/womens-tank-top-size-chartshastings.jpg?rlkey=j6c1vtzvnmd7uir5s02h06ong&amp;dl=0","Click to download SizeChart")</f>
      </c>
      <c r="C3943" s="0" t="inlineStr">
        <is>
          <t>Hastings Womens Tank Top</t>
        </is>
      </c>
      <c r="D3943" s="0" t="inlineStr">
        <is>
          <t>'109668</t>
        </is>
      </c>
      <c r="E3943" s="0" t="inlineStr">
        <is>
          <t>IOWA HASTINGS:109668A-S</t>
        </is>
      </c>
      <c r="F3943" s="0" t="inlineStr">
        <is>
          <t>'800109668046</t>
        </is>
      </c>
      <c r="G3943" s="0" t="inlineStr">
        <is>
          <t>WOMENS</t>
        </is>
      </c>
      <c r="H3943" s="0" t="inlineStr">
        <is>
          <t>S</t>
        </is>
      </c>
      <c r="I3943" s="0">
        <v>29.99</v>
      </c>
      <c r="J3943" s="0">
        <v>0</v>
      </c>
    </row>
    <row r="3944" spans="1:10" customHeight="0">
      <c r="A3944" s="0">
        <f>HYPERLINK("https://dl.dropboxusercontent.com/scl/fi/c753wgicl5pqd3fvp9gkw/hastings-tn2.jpg?rlkey=876ois4bqcapjtplosmdosblc&amp;dl=0","Click to download Image")</f>
      </c>
      <c r="B3944" s="0">
        <f>HYPERLINK("https://dl.dropboxusercontent.com/scl/fi/tfbum6nyxy5jpr0ewh85q/womens-tank-top-size-chartshastings.jpg?rlkey=j6c1vtzvnmd7uir5s02h06ong&amp;dl=0","Click to download SizeChart")</f>
      </c>
      <c r="C3944" s="0" t="inlineStr">
        <is>
          <t>Hastings Womens Tank Top</t>
        </is>
      </c>
      <c r="D3944" s="0" t="inlineStr">
        <is>
          <t>'109668</t>
        </is>
      </c>
      <c r="E3944" s="0" t="inlineStr">
        <is>
          <t>IOWA HASTINGS:109668B-M</t>
        </is>
      </c>
      <c r="F3944" s="0" t="inlineStr">
        <is>
          <t>'800109668053</t>
        </is>
      </c>
      <c r="G3944" s="0" t="inlineStr">
        <is>
          <t>WOMENS</t>
        </is>
      </c>
      <c r="H3944" s="0" t="inlineStr">
        <is>
          <t>M</t>
        </is>
      </c>
      <c r="I3944" s="0">
        <v>29.99</v>
      </c>
      <c r="J3944" s="0">
        <v>17</v>
      </c>
    </row>
    <row r="3945" spans="1:10" customHeight="0">
      <c r="A3945" s="0">
        <f>HYPERLINK("https://dl.dropboxusercontent.com/scl/fi/c753wgicl5pqd3fvp9gkw/hastings-tn2.jpg?rlkey=876ois4bqcapjtplosmdosblc&amp;dl=0","Click to download Image")</f>
      </c>
      <c r="B3945" s="0">
        <f>HYPERLINK("https://dl.dropboxusercontent.com/scl/fi/tfbum6nyxy5jpr0ewh85q/womens-tank-top-size-chartshastings.jpg?rlkey=j6c1vtzvnmd7uir5s02h06ong&amp;dl=0","Click to download SizeChart")</f>
      </c>
      <c r="C3945" s="0" t="inlineStr">
        <is>
          <t>Hastings Womens Tank Top</t>
        </is>
      </c>
      <c r="D3945" s="0" t="inlineStr">
        <is>
          <t>'109668</t>
        </is>
      </c>
      <c r="E3945" s="0" t="inlineStr">
        <is>
          <t>IOWA HASTINGS:109668C-L</t>
        </is>
      </c>
      <c r="F3945" s="0" t="inlineStr">
        <is>
          <t>'800109668060</t>
        </is>
      </c>
      <c r="G3945" s="0" t="inlineStr">
        <is>
          <t>WOMENS</t>
        </is>
      </c>
      <c r="H3945" s="0" t="inlineStr">
        <is>
          <t>L</t>
        </is>
      </c>
      <c r="I3945" s="0">
        <v>29.99</v>
      </c>
      <c r="J3945" s="0">
        <v>4</v>
      </c>
    </row>
    <row r="3946" spans="1:10" customHeight="0">
      <c r="A3946" s="0">
        <f>HYPERLINK("https://dl.dropboxusercontent.com/scl/fi/c753wgicl5pqd3fvp9gkw/hastings-tn2.jpg?rlkey=876ois4bqcapjtplosmdosblc&amp;dl=0","Click to download Image")</f>
      </c>
      <c r="B3946" s="0">
        <f>HYPERLINK("https://dl.dropboxusercontent.com/scl/fi/tfbum6nyxy5jpr0ewh85q/womens-tank-top-size-chartshastings.jpg?rlkey=j6c1vtzvnmd7uir5s02h06ong&amp;dl=0","Click to download SizeChart")</f>
      </c>
      <c r="C3946" s="0" t="inlineStr">
        <is>
          <t>Hastings Womens Tank Top</t>
        </is>
      </c>
      <c r="D3946" s="0" t="inlineStr">
        <is>
          <t>'109668</t>
        </is>
      </c>
      <c r="E3946" s="0" t="inlineStr">
        <is>
          <t>IOWA HASTINGS:109668D-XL</t>
        </is>
      </c>
      <c r="F3946" s="0" t="inlineStr">
        <is>
          <t>'800109668077</t>
        </is>
      </c>
      <c r="G3946" s="0" t="inlineStr">
        <is>
          <t>WOMENS</t>
        </is>
      </c>
      <c r="H3946" s="0" t="inlineStr">
        <is>
          <t>XL</t>
        </is>
      </c>
      <c r="I3946" s="0">
        <v>29.99</v>
      </c>
      <c r="J3946" s="0">
        <v>0</v>
      </c>
    </row>
    <row r="3947" spans="1:10" customHeight="0">
      <c r="A3947" s="0">
        <f>HYPERLINK("https://dl.dropboxusercontent.com/scl/fi/c753wgicl5pqd3fvp9gkw/hastings-tn2.jpg?rlkey=876ois4bqcapjtplosmdosblc&amp;dl=0","Click to download Image")</f>
      </c>
      <c r="B3947" s="0">
        <f>HYPERLINK("https://dl.dropboxusercontent.com/scl/fi/tfbum6nyxy5jpr0ewh85q/womens-tank-top-size-chartshastings.jpg?rlkey=j6c1vtzvnmd7uir5s02h06ong&amp;dl=0","Click to download SizeChart")</f>
      </c>
      <c r="C3947" s="0" t="inlineStr">
        <is>
          <t>Hastings Womens Tank Top</t>
        </is>
      </c>
      <c r="D3947" s="0" t="inlineStr">
        <is>
          <t>'109668</t>
        </is>
      </c>
      <c r="E3947" s="0" t="inlineStr">
        <is>
          <t>IOWA HASTINGS:109668E-2XL</t>
        </is>
      </c>
      <c r="F3947" s="0" t="inlineStr">
        <is>
          <t>'800109668084</t>
        </is>
      </c>
      <c r="G3947" s="0" t="inlineStr">
        <is>
          <t>WOMENS</t>
        </is>
      </c>
      <c r="H3947" s="0" t="inlineStr">
        <is>
          <t>2XL</t>
        </is>
      </c>
      <c r="I3947" s="0">
        <v>31.99</v>
      </c>
      <c r="J3947" s="0">
        <v>0</v>
      </c>
    </row>
    <row r="3948" spans="1:10" customHeight="0">
      <c r="A3948" s="0">
        <f>HYPERLINK("https://dl.dropboxusercontent.com/scl/fi/c753wgicl5pqd3fvp9gkw/hastings-tn2.jpg?rlkey=876ois4bqcapjtplosmdosblc&amp;dl=0","Click to download Image")</f>
      </c>
      <c r="B3948" s="0">
        <f>HYPERLINK("https://dl.dropboxusercontent.com/scl/fi/tfbum6nyxy5jpr0ewh85q/womens-tank-top-size-chartshastings.jpg?rlkey=j6c1vtzvnmd7uir5s02h06ong&amp;dl=0","Click to download SizeChart")</f>
      </c>
      <c r="C3948" s="0" t="inlineStr">
        <is>
          <t>Hastings Womens Tank Top</t>
        </is>
      </c>
      <c r="D3948" s="0" t="inlineStr">
        <is>
          <t>'109668</t>
        </is>
      </c>
      <c r="E3948" s="0" t="inlineStr">
        <is>
          <t>IOWA HASTINGS:109668F-3XL</t>
        </is>
      </c>
      <c r="F3948" s="0" t="inlineStr">
        <is>
          <t>'800109668091</t>
        </is>
      </c>
      <c r="G3948" s="0" t="inlineStr">
        <is>
          <t>WOMENS</t>
        </is>
      </c>
      <c r="H3948" s="0" t="inlineStr">
        <is>
          <t>3XL</t>
        </is>
      </c>
      <c r="I3948" s="0">
        <v>31.99</v>
      </c>
      <c r="J3948" s="0">
        <v>0</v>
      </c>
    </row>
    <row r="3949" spans="1:10" customHeight="0">
      <c r="A3949" s="0">
        <f>HYPERLINK("https://dl.dropboxusercontent.com/scl/fi/c753wgicl5pqd3fvp9gkw/hastings-tn2.jpg?rlkey=876ois4bqcapjtplosmdosblc&amp;dl=0","Click to download Image")</f>
      </c>
      <c r="B3949" s="0">
        <f>HYPERLINK("https://dl.dropboxusercontent.com/scl/fi/tfbum6nyxy5jpr0ewh85q/womens-tank-top-size-chartshastings.jpg?rlkey=j6c1vtzvnmd7uir5s02h06ong&amp;dl=0","Click to download SizeChart")</f>
      </c>
      <c r="C3949" s="0" t="inlineStr">
        <is>
          <t>Hastings Womens Tank Top</t>
        </is>
      </c>
      <c r="D3949" s="0" t="inlineStr">
        <is>
          <t>'109668</t>
        </is>
      </c>
      <c r="E3949" s="0" t="inlineStr">
        <is>
          <t>IOWA HASTINGS 12 PACK:109668Z-12PK</t>
        </is>
      </c>
      <c r="F3949" s="0" t="inlineStr">
        <is>
          <t>'800109688105</t>
        </is>
      </c>
      <c r="G3949" s="0" t="inlineStr">
        <is>
          <t>WOMENS</t>
        </is>
      </c>
      <c r="H3949" s="0" t="inlineStr">
        <is>
          <t>12 PACK</t>
        </is>
      </c>
      <c r="I3949" s="0">
        <v>335.88</v>
      </c>
      <c r="J3949" s="0">
        <v>0</v>
      </c>
    </row>
    <row r="3950" spans="1:10" customHeight="0">
      <c r="A3950" s="0">
        <f>HYPERLINK("https://dl.dropboxusercontent.com/scl/fi/th01ore907m3l42h9nf3d/uni.jpg?rlkey=wok0sgoezwgm6yvlfqcyu6iao&amp;dl=0","Click to download Image")</f>
      </c>
      <c r="B3950" s="0">
        <f>HYPERLINK("https://dl.dropboxusercontent.com/scl/fi/tfbum6nyxy5jpr0ewh85q/womens-tank-top-size-chartshastings.jpg?rlkey=j6c1vtzvnmd7uir5s02h06ong&amp;dl=0","Click to download SizeChart")</f>
      </c>
      <c r="C3950" s="0" t="inlineStr">
        <is>
          <t>Hastings Womens Tank Top</t>
        </is>
      </c>
      <c r="D3950" s="0" t="inlineStr">
        <is>
          <t>'111739</t>
        </is>
      </c>
      <c r="E3950" s="0" t="inlineStr">
        <is>
          <t>UNI HASTINGS GOLD:111739A-S</t>
        </is>
      </c>
      <c r="F3950" s="0" t="inlineStr">
        <is>
          <t>'802111739042</t>
        </is>
      </c>
      <c r="G3950" s="0" t="inlineStr">
        <is>
          <t>WOMENS</t>
        </is>
      </c>
      <c r="H3950" s="0" t="inlineStr">
        <is>
          <t>S</t>
        </is>
      </c>
      <c r="I3950" s="0">
        <v>29.99</v>
      </c>
      <c r="J3950" s="0">
        <v>8</v>
      </c>
    </row>
    <row r="3951" spans="1:10" customHeight="0">
      <c r="A3951" s="0">
        <f>HYPERLINK("https://dl.dropboxusercontent.com/scl/fi/th01ore907m3l42h9nf3d/uni.jpg?rlkey=wok0sgoezwgm6yvlfqcyu6iao&amp;dl=0","Click to download Image")</f>
      </c>
      <c r="B3951" s="0">
        <f>HYPERLINK("https://dl.dropboxusercontent.com/scl/fi/tfbum6nyxy5jpr0ewh85q/womens-tank-top-size-chartshastings.jpg?rlkey=j6c1vtzvnmd7uir5s02h06ong&amp;dl=0","Click to download SizeChart")</f>
      </c>
      <c r="C3951" s="0" t="inlineStr">
        <is>
          <t>Hastings Womens Tank Top</t>
        </is>
      </c>
      <c r="D3951" s="0" t="inlineStr">
        <is>
          <t>'111739</t>
        </is>
      </c>
      <c r="E3951" s="0" t="inlineStr">
        <is>
          <t>UNI HASTINGS GOLD:111739B-M</t>
        </is>
      </c>
      <c r="F3951" s="0" t="inlineStr">
        <is>
          <t>'802111739059</t>
        </is>
      </c>
      <c r="G3951" s="0" t="inlineStr">
        <is>
          <t>WOMENS</t>
        </is>
      </c>
      <c r="H3951" s="0" t="inlineStr">
        <is>
          <t>M</t>
        </is>
      </c>
      <c r="I3951" s="0">
        <v>29.99</v>
      </c>
      <c r="J3951" s="0">
        <v>16</v>
      </c>
    </row>
    <row r="3952" spans="1:10" customHeight="0">
      <c r="A3952" s="0">
        <f>HYPERLINK("https://dl.dropboxusercontent.com/scl/fi/th01ore907m3l42h9nf3d/uni.jpg?rlkey=wok0sgoezwgm6yvlfqcyu6iao&amp;dl=0","Click to download Image")</f>
      </c>
      <c r="B3952" s="0">
        <f>HYPERLINK("https://dl.dropboxusercontent.com/scl/fi/tfbum6nyxy5jpr0ewh85q/womens-tank-top-size-chartshastings.jpg?rlkey=j6c1vtzvnmd7uir5s02h06ong&amp;dl=0","Click to download SizeChart")</f>
      </c>
      <c r="C3952" s="0" t="inlineStr">
        <is>
          <t>Hastings Womens Tank Top</t>
        </is>
      </c>
      <c r="D3952" s="0" t="inlineStr">
        <is>
          <t>'111739</t>
        </is>
      </c>
      <c r="E3952" s="0" t="inlineStr">
        <is>
          <t>UNI HASTINGS GOLD:111739C-L</t>
        </is>
      </c>
      <c r="F3952" s="0" t="inlineStr">
        <is>
          <t>'802111739066</t>
        </is>
      </c>
      <c r="G3952" s="0" t="inlineStr">
        <is>
          <t>WOMENS</t>
        </is>
      </c>
      <c r="H3952" s="0" t="inlineStr">
        <is>
          <t>L</t>
        </is>
      </c>
      <c r="I3952" s="0">
        <v>29.99</v>
      </c>
      <c r="J3952" s="0">
        <v>16</v>
      </c>
    </row>
    <row r="3953" spans="1:10" customHeight="0">
      <c r="A3953" s="0">
        <f>HYPERLINK("https://dl.dropboxusercontent.com/scl/fi/th01ore907m3l42h9nf3d/uni.jpg?rlkey=wok0sgoezwgm6yvlfqcyu6iao&amp;dl=0","Click to download Image")</f>
      </c>
      <c r="B3953" s="0">
        <f>HYPERLINK("https://dl.dropboxusercontent.com/scl/fi/tfbum6nyxy5jpr0ewh85q/womens-tank-top-size-chartshastings.jpg?rlkey=j6c1vtzvnmd7uir5s02h06ong&amp;dl=0","Click to download SizeChart")</f>
      </c>
      <c r="C3953" s="0" t="inlineStr">
        <is>
          <t>Hastings Womens Tank Top</t>
        </is>
      </c>
      <c r="D3953" s="0" t="inlineStr">
        <is>
          <t>'111739</t>
        </is>
      </c>
      <c r="E3953" s="0" t="inlineStr">
        <is>
          <t>UNI HASTINGS GOLD:111739D-XL</t>
        </is>
      </c>
      <c r="F3953" s="0" t="inlineStr">
        <is>
          <t>'802111739073</t>
        </is>
      </c>
      <c r="G3953" s="0" t="inlineStr">
        <is>
          <t>WOMENS</t>
        </is>
      </c>
      <c r="H3953" s="0" t="inlineStr">
        <is>
          <t>XL</t>
        </is>
      </c>
      <c r="I3953" s="0">
        <v>29.99</v>
      </c>
      <c r="J3953" s="0">
        <v>8</v>
      </c>
    </row>
    <row r="3954" spans="1:10" customHeight="0">
      <c r="A3954" s="0">
        <f>HYPERLINK("https://dl.dropboxusercontent.com/scl/fi/th01ore907m3l42h9nf3d/uni.jpg?rlkey=wok0sgoezwgm6yvlfqcyu6iao&amp;dl=0","Click to download Image")</f>
      </c>
      <c r="B3954" s="0">
        <f>HYPERLINK("https://dl.dropboxusercontent.com/scl/fi/tfbum6nyxy5jpr0ewh85q/womens-tank-top-size-chartshastings.jpg?rlkey=j6c1vtzvnmd7uir5s02h06ong&amp;dl=0","Click to download SizeChart")</f>
      </c>
      <c r="C3954" s="0" t="inlineStr">
        <is>
          <t>Hastings Womens Tank Top</t>
        </is>
      </c>
      <c r="D3954" s="0" t="inlineStr">
        <is>
          <t>'111739</t>
        </is>
      </c>
      <c r="E3954" s="0" t="inlineStr">
        <is>
          <t>UNI HASTINGS GOLD:111739E-2XL</t>
        </is>
      </c>
      <c r="F3954" s="0" t="inlineStr">
        <is>
          <t>'802111739080</t>
        </is>
      </c>
      <c r="G3954" s="0" t="inlineStr">
        <is>
          <t>WOMENS</t>
        </is>
      </c>
      <c r="H3954" s="0" t="inlineStr">
        <is>
          <t>2XL</t>
        </is>
      </c>
      <c r="I3954" s="0">
        <v>31.99</v>
      </c>
      <c r="J3954" s="0">
        <v>4</v>
      </c>
    </row>
    <row r="3955" spans="1:10" customHeight="0">
      <c r="A3955" s="0">
        <f>HYPERLINK("https://dl.dropboxusercontent.com/scl/fi/th01ore907m3l42h9nf3d/uni.jpg?rlkey=wok0sgoezwgm6yvlfqcyu6iao&amp;dl=0","Click to download Image")</f>
      </c>
      <c r="B3955" s="0">
        <f>HYPERLINK("https://dl.dropboxusercontent.com/scl/fi/tfbum6nyxy5jpr0ewh85q/womens-tank-top-size-chartshastings.jpg?rlkey=j6c1vtzvnmd7uir5s02h06ong&amp;dl=0","Click to download SizeChart")</f>
      </c>
      <c r="C3955" s="0" t="inlineStr">
        <is>
          <t>Hastings Womens Tank Top</t>
        </is>
      </c>
      <c r="D3955" s="0" t="inlineStr">
        <is>
          <t>'111739</t>
        </is>
      </c>
      <c r="E3955" s="0" t="inlineStr">
        <is>
          <t>UNI HASTINGS GOLD:111739F-3XL</t>
        </is>
      </c>
      <c r="F3955" s="0" t="inlineStr">
        <is>
          <t>'802111739097</t>
        </is>
      </c>
      <c r="G3955" s="0" t="inlineStr">
        <is>
          <t>WOMENS</t>
        </is>
      </c>
      <c r="H3955" s="0" t="inlineStr">
        <is>
          <t>3XL</t>
        </is>
      </c>
      <c r="I3955" s="0">
        <v>31.99</v>
      </c>
      <c r="J3955" s="0">
        <v>1</v>
      </c>
    </row>
    <row r="3956" spans="1:10" customHeight="0">
      <c r="A3956" s="0">
        <f>HYPERLINK("https://dl.dropboxusercontent.com/scl/fi/th01ore907m3l42h9nf3d/uni.jpg?rlkey=wok0sgoezwgm6yvlfqcyu6iao&amp;dl=0","Click to download Image")</f>
      </c>
      <c r="B3956" s="0">
        <f>HYPERLINK("https://dl.dropboxusercontent.com/scl/fi/tfbum6nyxy5jpr0ewh85q/womens-tank-top-size-chartshastings.jpg?rlkey=j6c1vtzvnmd7uir5s02h06ong&amp;dl=0","Click to download SizeChart")</f>
      </c>
      <c r="C3956" s="0" t="inlineStr">
        <is>
          <t>Hastings Womens Tank Top</t>
        </is>
      </c>
      <c r="D3956" s="0" t="inlineStr">
        <is>
          <t>'111739</t>
        </is>
      </c>
      <c r="E3956" s="0" t="inlineStr">
        <is>
          <t>UNI HASTINGS 12 PACK:111739Z-12PK</t>
        </is>
      </c>
      <c r="F3956" s="0" t="inlineStr">
        <is>
          <t>'802111739998</t>
        </is>
      </c>
      <c r="G3956" s="0" t="inlineStr">
        <is>
          <t>WOMENS</t>
        </is>
      </c>
      <c r="H3956" s="0" t="inlineStr">
        <is>
          <t>12 PACK</t>
        </is>
      </c>
      <c r="I3956" s="0">
        <v>335.88</v>
      </c>
      <c r="J3956" s="0">
        <v>0</v>
      </c>
    </row>
    <row r="3957" spans="1:10" customHeight="0">
      <c r="A3957" s="0">
        <f>HYPERLINK("https://dl.dropboxusercontent.com/scl/fi/h2p8rme21crkc1b4a91xg/106785-af.jpg?rlkey=rjv6vc79u11s29zteoca0pwwz&amp;dl=0","Click to download Image")</f>
      </c>
      <c r="B3957" s="0">
        <f>HYPERLINK("https://dl.dropboxusercontent.com/scl/fi/w301eufogv8kl8f804zyn/womens-size-chartscleopatra.jpg?rlkey=m11q3tcubh7jyd5je4y4udzh3&amp;dl=0","Click to download SizeChart")</f>
      </c>
      <c r="C3957" s="0" t="inlineStr">
        <is>
          <t>Cleopatra Women's Down Fill Puffer Jacket</t>
        </is>
      </c>
      <c r="D3957" s="0" t="inlineStr">
        <is>
          <t>'106785</t>
        </is>
      </c>
      <c r="E3957" s="0" t="inlineStr">
        <is>
          <t>IA CLEOPATRA:106785A - S</t>
        </is>
      </c>
      <c r="F3957" s="0" t="inlineStr">
        <is>
          <t>'000000000000</t>
        </is>
      </c>
      <c r="G3957" s="0" t="inlineStr">
        <is>
          <t>WOMENS</t>
        </is>
      </c>
      <c r="H3957" s="0" t="inlineStr">
        <is>
          <t>S</t>
        </is>
      </c>
      <c r="I3957" s="0">
        <v>149.99</v>
      </c>
      <c r="J3957" s="0">
        <v>31</v>
      </c>
    </row>
    <row r="3958" spans="1:10" customHeight="0">
      <c r="A3958" s="0">
        <f>HYPERLINK("https://dl.dropboxusercontent.com/scl/fi/h2p8rme21crkc1b4a91xg/106785-af.jpg?rlkey=rjv6vc79u11s29zteoca0pwwz&amp;dl=0","Click to download Image")</f>
      </c>
      <c r="B3958" s="0">
        <f>HYPERLINK("https://dl.dropboxusercontent.com/scl/fi/w301eufogv8kl8f804zyn/womens-size-chartscleopatra.jpg?rlkey=m11q3tcubh7jyd5je4y4udzh3&amp;dl=0","Click to download SizeChart")</f>
      </c>
      <c r="C3958" s="0" t="inlineStr">
        <is>
          <t>Cleopatra Women's Down Fill Puffer Jacket</t>
        </is>
      </c>
      <c r="D3958" s="0" t="inlineStr">
        <is>
          <t>'106785</t>
        </is>
      </c>
      <c r="E3958" s="0" t="inlineStr">
        <is>
          <t>IA CLEOPATRA:106785B - M</t>
        </is>
      </c>
      <c r="F3958" s="0" t="inlineStr">
        <is>
          <t>'000000000000</t>
        </is>
      </c>
      <c r="G3958" s="0" t="inlineStr">
        <is>
          <t>WOMENS</t>
        </is>
      </c>
      <c r="H3958" s="0" t="inlineStr">
        <is>
          <t>M</t>
        </is>
      </c>
      <c r="I3958" s="0">
        <v>149.99</v>
      </c>
      <c r="J3958" s="0">
        <v>62</v>
      </c>
    </row>
    <row r="3959" spans="1:10" customHeight="0">
      <c r="A3959" s="0">
        <f>HYPERLINK("https://dl.dropboxusercontent.com/scl/fi/h2p8rme21crkc1b4a91xg/106785-af.jpg?rlkey=rjv6vc79u11s29zteoca0pwwz&amp;dl=0","Click to download Image")</f>
      </c>
      <c r="B3959" s="0">
        <f>HYPERLINK("https://dl.dropboxusercontent.com/scl/fi/w301eufogv8kl8f804zyn/womens-size-chartscleopatra.jpg?rlkey=m11q3tcubh7jyd5je4y4udzh3&amp;dl=0","Click to download SizeChart")</f>
      </c>
      <c r="C3959" s="0" t="inlineStr">
        <is>
          <t>Cleopatra Women's Down Fill Puffer Jacket</t>
        </is>
      </c>
      <c r="D3959" s="0" t="inlineStr">
        <is>
          <t>'106785</t>
        </is>
      </c>
      <c r="E3959" s="0" t="inlineStr">
        <is>
          <t>IA CLEOPATRA:106785C - L</t>
        </is>
      </c>
      <c r="F3959" s="0" t="inlineStr">
        <is>
          <t>'000000000000</t>
        </is>
      </c>
      <c r="G3959" s="0" t="inlineStr">
        <is>
          <t>WOMENS</t>
        </is>
      </c>
      <c r="H3959" s="0" t="inlineStr">
        <is>
          <t>L</t>
        </is>
      </c>
      <c r="I3959" s="0">
        <v>149.99</v>
      </c>
      <c r="J3959" s="0">
        <v>60</v>
      </c>
    </row>
    <row r="3960" spans="1:10" customHeight="0">
      <c r="A3960" s="0">
        <f>HYPERLINK("https://dl.dropboxusercontent.com/scl/fi/h2p8rme21crkc1b4a91xg/106785-af.jpg?rlkey=rjv6vc79u11s29zteoca0pwwz&amp;dl=0","Click to download Image")</f>
      </c>
      <c r="B3960" s="0">
        <f>HYPERLINK("https://dl.dropboxusercontent.com/scl/fi/w301eufogv8kl8f804zyn/womens-size-chartscleopatra.jpg?rlkey=m11q3tcubh7jyd5je4y4udzh3&amp;dl=0","Click to download SizeChart")</f>
      </c>
      <c r="C3960" s="0" t="inlineStr">
        <is>
          <t>Cleopatra Women's Down Fill Puffer Jacket</t>
        </is>
      </c>
      <c r="D3960" s="0" t="inlineStr">
        <is>
          <t>'106785</t>
        </is>
      </c>
      <c r="E3960" s="0" t="inlineStr">
        <is>
          <t>IA CLEOPATRA:106785D - XL</t>
        </is>
      </c>
      <c r="F3960" s="0" t="inlineStr">
        <is>
          <t>'000000000000</t>
        </is>
      </c>
      <c r="G3960" s="0" t="inlineStr">
        <is>
          <t>WOMENS</t>
        </is>
      </c>
      <c r="H3960" s="0" t="inlineStr">
        <is>
          <t>XL</t>
        </is>
      </c>
      <c r="I3960" s="0">
        <v>149.99</v>
      </c>
      <c r="J3960" s="0">
        <v>24</v>
      </c>
    </row>
    <row r="3961" spans="1:10" customHeight="0">
      <c r="A3961" s="0">
        <f>HYPERLINK("https://dl.dropboxusercontent.com/scl/fi/h2p8rme21crkc1b4a91xg/106785-af.jpg?rlkey=rjv6vc79u11s29zteoca0pwwz&amp;dl=0","Click to download Image")</f>
      </c>
      <c r="B3961" s="0">
        <f>HYPERLINK("https://dl.dropboxusercontent.com/scl/fi/w301eufogv8kl8f804zyn/womens-size-chartscleopatra.jpg?rlkey=m11q3tcubh7jyd5je4y4udzh3&amp;dl=0","Click to download SizeChart")</f>
      </c>
      <c r="C3961" s="0" t="inlineStr">
        <is>
          <t>Cleopatra Women's Down Fill Puffer Jacket</t>
        </is>
      </c>
      <c r="D3961" s="0" t="inlineStr">
        <is>
          <t>'106785</t>
        </is>
      </c>
      <c r="E3961" s="0" t="inlineStr">
        <is>
          <t>IA CLEOPATRA:106785E - 2XL</t>
        </is>
      </c>
      <c r="F3961" s="0" t="inlineStr">
        <is>
          <t>'000000000000</t>
        </is>
      </c>
      <c r="G3961" s="0" t="inlineStr">
        <is>
          <t>WOMENS</t>
        </is>
      </c>
      <c r="H3961" s="0" t="inlineStr">
        <is>
          <t>2XL</t>
        </is>
      </c>
      <c r="I3961" s="0">
        <v>151.99</v>
      </c>
      <c r="J3961" s="0">
        <v>5</v>
      </c>
    </row>
    <row r="3962" spans="1:10" customHeight="0">
      <c r="A3962" s="0">
        <f>HYPERLINK("https://dl.dropboxusercontent.com/scl/fi/h2p8rme21crkc1b4a91xg/106785-af.jpg?rlkey=rjv6vc79u11s29zteoca0pwwz&amp;dl=0","Click to download Image")</f>
      </c>
      <c r="B3962" s="0">
        <f>HYPERLINK("https://dl.dropboxusercontent.com/scl/fi/w301eufogv8kl8f804zyn/womens-size-chartscleopatra.jpg?rlkey=m11q3tcubh7jyd5je4y4udzh3&amp;dl=0","Click to download SizeChart")</f>
      </c>
      <c r="C3962" s="0" t="inlineStr">
        <is>
          <t>Cleopatra Women's Down Fill Puffer Jacket</t>
        </is>
      </c>
      <c r="D3962" s="0" t="inlineStr">
        <is>
          <t>'106785</t>
        </is>
      </c>
      <c r="E3962" s="0" t="inlineStr">
        <is>
          <t>IA CLEOPATRA:106785F - 3XL</t>
        </is>
      </c>
      <c r="F3962" s="0" t="inlineStr">
        <is>
          <t>'000000000000</t>
        </is>
      </c>
      <c r="G3962" s="0" t="inlineStr">
        <is>
          <t>WOMENS</t>
        </is>
      </c>
      <c r="H3962" s="0" t="inlineStr">
        <is>
          <t>3XL</t>
        </is>
      </c>
      <c r="I3962" s="0">
        <v>151.99</v>
      </c>
      <c r="J3962" s="0">
        <v>5</v>
      </c>
    </row>
    <row r="3963" spans="1:10" customHeight="0">
      <c r="A3963" s="0">
        <f>HYPERLINK("https://dl.dropboxusercontent.com/scl/fi/e7na087y4260ddw2lp5gd/109001af.jpg?rlkey=wsrhi5kcrw15ucw8oyki95w0e&amp;dl=0","Click to download Image")</f>
      </c>
      <c r="B3963" s="0">
        <f>HYPERLINK("https://dl.dropboxusercontent.com/scl/fi/w301eufogv8kl8f804zyn/womens-size-chartscleopatra.jpg?rlkey=m11q3tcubh7jyd5je4y4udzh3&amp;dl=0","Click to download SizeChart")</f>
      </c>
      <c r="C3963" s="0" t="inlineStr">
        <is>
          <t>Cleopatra Women's Down Fill Puffer Jacket</t>
        </is>
      </c>
      <c r="D3963" s="0" t="inlineStr">
        <is>
          <t>'109001</t>
        </is>
      </c>
      <c r="E3963" s="0" t="inlineStr">
        <is>
          <t>IA CLEOPATRA - SILVER:109001A-S</t>
        </is>
      </c>
      <c r="F3963" s="0" t="inlineStr">
        <is>
          <t>'800109001010</t>
        </is>
      </c>
      <c r="G3963" s="0" t="inlineStr">
        <is>
          <t>WOMENS</t>
        </is>
      </c>
      <c r="H3963" s="0" t="inlineStr">
        <is>
          <t>S</t>
        </is>
      </c>
      <c r="I3963" s="0">
        <v>149.99</v>
      </c>
      <c r="J3963" s="0">
        <v>8</v>
      </c>
    </row>
    <row r="3964" spans="1:10" customHeight="0">
      <c r="A3964" s="0">
        <f>HYPERLINK("https://dl.dropboxusercontent.com/scl/fi/e7na087y4260ddw2lp5gd/109001af.jpg?rlkey=wsrhi5kcrw15ucw8oyki95w0e&amp;dl=0","Click to download Image")</f>
      </c>
      <c r="B3964" s="0">
        <f>HYPERLINK("https://dl.dropboxusercontent.com/scl/fi/w301eufogv8kl8f804zyn/womens-size-chartscleopatra.jpg?rlkey=m11q3tcubh7jyd5je4y4udzh3&amp;dl=0","Click to download SizeChart")</f>
      </c>
      <c r="C3964" s="0" t="inlineStr">
        <is>
          <t>Cleopatra Women's Down Fill Puffer Jacket</t>
        </is>
      </c>
      <c r="D3964" s="0" t="inlineStr">
        <is>
          <t>'109001</t>
        </is>
      </c>
      <c r="E3964" s="0" t="inlineStr">
        <is>
          <t>IA CLEOPATRA - SILVER:109001B-M</t>
        </is>
      </c>
      <c r="F3964" s="0" t="inlineStr">
        <is>
          <t>'800109001027</t>
        </is>
      </c>
      <c r="G3964" s="0" t="inlineStr">
        <is>
          <t>WOMENS</t>
        </is>
      </c>
      <c r="H3964" s="0" t="inlineStr">
        <is>
          <t>M</t>
        </is>
      </c>
      <c r="I3964" s="0">
        <v>149.99</v>
      </c>
      <c r="J3964" s="0">
        <v>16</v>
      </c>
    </row>
    <row r="3965" spans="1:10" customHeight="0">
      <c r="A3965" s="0">
        <f>HYPERLINK("https://dl.dropboxusercontent.com/scl/fi/e7na087y4260ddw2lp5gd/109001af.jpg?rlkey=wsrhi5kcrw15ucw8oyki95w0e&amp;dl=0","Click to download Image")</f>
      </c>
      <c r="B3965" s="0">
        <f>HYPERLINK("https://dl.dropboxusercontent.com/scl/fi/w301eufogv8kl8f804zyn/womens-size-chartscleopatra.jpg?rlkey=m11q3tcubh7jyd5je4y4udzh3&amp;dl=0","Click to download SizeChart")</f>
      </c>
      <c r="C3965" s="0" t="inlineStr">
        <is>
          <t>Cleopatra Women's Down Fill Puffer Jacket</t>
        </is>
      </c>
      <c r="D3965" s="0" t="inlineStr">
        <is>
          <t>'109001</t>
        </is>
      </c>
      <c r="E3965" s="0" t="inlineStr">
        <is>
          <t>IA CLEOPATRA - SILVER:109001C-L</t>
        </is>
      </c>
      <c r="F3965" s="0" t="inlineStr">
        <is>
          <t>'800109001034</t>
        </is>
      </c>
      <c r="G3965" s="0" t="inlineStr">
        <is>
          <t>WOMENS</t>
        </is>
      </c>
      <c r="H3965" s="0" t="inlineStr">
        <is>
          <t>L</t>
        </is>
      </c>
      <c r="I3965" s="0">
        <v>149.99</v>
      </c>
      <c r="J3965" s="0">
        <v>16</v>
      </c>
    </row>
    <row r="3966" spans="1:10" customHeight="0">
      <c r="A3966" s="0">
        <f>HYPERLINK("https://dl.dropboxusercontent.com/scl/fi/e7na087y4260ddw2lp5gd/109001af.jpg?rlkey=wsrhi5kcrw15ucw8oyki95w0e&amp;dl=0","Click to download Image")</f>
      </c>
      <c r="B3966" s="0">
        <f>HYPERLINK("https://dl.dropboxusercontent.com/scl/fi/w301eufogv8kl8f804zyn/womens-size-chartscleopatra.jpg?rlkey=m11q3tcubh7jyd5je4y4udzh3&amp;dl=0","Click to download SizeChart")</f>
      </c>
      <c r="C3966" s="0" t="inlineStr">
        <is>
          <t>Cleopatra Women's Down Fill Puffer Jacket</t>
        </is>
      </c>
      <c r="D3966" s="0" t="inlineStr">
        <is>
          <t>'109001</t>
        </is>
      </c>
      <c r="E3966" s="0" t="inlineStr">
        <is>
          <t>IA CLEOPATRA - SILVER:109001D-XL</t>
        </is>
      </c>
      <c r="F3966" s="0" t="inlineStr">
        <is>
          <t>'800109001041</t>
        </is>
      </c>
      <c r="G3966" s="0" t="inlineStr">
        <is>
          <t>WOMENS</t>
        </is>
      </c>
      <c r="H3966" s="0" t="inlineStr">
        <is>
          <t>XL</t>
        </is>
      </c>
      <c r="I3966" s="0">
        <v>149.99</v>
      </c>
      <c r="J3966" s="0">
        <v>8</v>
      </c>
    </row>
    <row r="3967" spans="1:10" customHeight="0">
      <c r="A3967" s="0">
        <f>HYPERLINK("https://dl.dropboxusercontent.com/scl/fi/e7na087y4260ddw2lp5gd/109001af.jpg?rlkey=wsrhi5kcrw15ucw8oyki95w0e&amp;dl=0","Click to download Image")</f>
      </c>
      <c r="B3967" s="0">
        <f>HYPERLINK("https://dl.dropboxusercontent.com/scl/fi/w301eufogv8kl8f804zyn/womens-size-chartscleopatra.jpg?rlkey=m11q3tcubh7jyd5je4y4udzh3&amp;dl=0","Click to download SizeChart")</f>
      </c>
      <c r="C3967" s="0" t="inlineStr">
        <is>
          <t>Cleopatra Women's Down Fill Puffer Jacket</t>
        </is>
      </c>
      <c r="D3967" s="0" t="inlineStr">
        <is>
          <t>'109001</t>
        </is>
      </c>
      <c r="E3967" s="0" t="inlineStr">
        <is>
          <t>IA CLEOPATRA - SILVER:109001E-2XL</t>
        </is>
      </c>
      <c r="F3967" s="0" t="inlineStr">
        <is>
          <t>'800109001058</t>
        </is>
      </c>
      <c r="G3967" s="0" t="inlineStr">
        <is>
          <t>WOMENS</t>
        </is>
      </c>
      <c r="H3967" s="0" t="inlineStr">
        <is>
          <t>2XL</t>
        </is>
      </c>
      <c r="I3967" s="0">
        <v>151.99</v>
      </c>
      <c r="J3967" s="0">
        <v>2</v>
      </c>
    </row>
    <row r="3968" spans="1:10" customHeight="0">
      <c r="A3968" s="0">
        <f>HYPERLINK("https://dl.dropboxusercontent.com/scl/fi/e7na087y4260ddw2lp5gd/109001af.jpg?rlkey=wsrhi5kcrw15ucw8oyki95w0e&amp;dl=0","Click to download Image")</f>
      </c>
      <c r="B3968" s="0">
        <f>HYPERLINK("https://dl.dropboxusercontent.com/scl/fi/w301eufogv8kl8f804zyn/womens-size-chartscleopatra.jpg?rlkey=m11q3tcubh7jyd5je4y4udzh3&amp;dl=0","Click to download SizeChart")</f>
      </c>
      <c r="C3968" s="0" t="inlineStr">
        <is>
          <t>Cleopatra Women's Down Fill Puffer Jacket</t>
        </is>
      </c>
      <c r="D3968" s="0" t="inlineStr">
        <is>
          <t>'109001</t>
        </is>
      </c>
      <c r="E3968" s="0" t="inlineStr">
        <is>
          <t>IA CLEOPATRA - SILVER:109001F-3XL</t>
        </is>
      </c>
      <c r="F3968" s="0" t="inlineStr">
        <is>
          <t>'800109001065</t>
        </is>
      </c>
      <c r="G3968" s="0" t="inlineStr">
        <is>
          <t>WOMENS</t>
        </is>
      </c>
      <c r="H3968" s="0" t="inlineStr">
        <is>
          <t>3XL</t>
        </is>
      </c>
      <c r="I3968" s="0">
        <v>151.99</v>
      </c>
      <c r="J3968" s="0">
        <v>2</v>
      </c>
    </row>
    <row r="3969" spans="1:10" customHeight="0">
      <c r="A3969" s="0">
        <f>HYPERLINK("https://dl.dropboxusercontent.com/scl/fi/7d2l7yroc8sd7n95czxm1/108993af.jpg?rlkey=050esipbicnj5bymrgylpn9r0&amp;dl=0","Click to download Image")</f>
      </c>
      <c r="B3969" s="0">
        <f>HYPERLINK("https://dl.dropboxusercontent.com/scl/fi/w301eufogv8kl8f804zyn/womens-size-chartscleopatra.jpg?rlkey=m11q3tcubh7jyd5je4y4udzh3&amp;dl=0","Click to download SizeChart")</f>
      </c>
      <c r="C3969" s="0" t="inlineStr">
        <is>
          <t>Cleopatra Women's Down Fill Puffer Jacket</t>
        </is>
      </c>
      <c r="D3969" s="0" t="inlineStr">
        <is>
          <t>'108993</t>
        </is>
      </c>
      <c r="E3969" s="0" t="inlineStr">
        <is>
          <t>IA CLEOPATRA -WHITE:108993A-S</t>
        </is>
      </c>
      <c r="F3969" s="0" t="inlineStr">
        <is>
          <t>'800108993019</t>
        </is>
      </c>
      <c r="G3969" s="0" t="inlineStr">
        <is>
          <t>WOMENS</t>
        </is>
      </c>
      <c r="H3969" s="0" t="inlineStr">
        <is>
          <t>S</t>
        </is>
      </c>
      <c r="I3969" s="0">
        <v>149.99</v>
      </c>
      <c r="J3969" s="0">
        <v>4</v>
      </c>
    </row>
    <row r="3970" spans="1:10" customHeight="0">
      <c r="A3970" s="0">
        <f>HYPERLINK("https://dl.dropboxusercontent.com/scl/fi/7d2l7yroc8sd7n95czxm1/108993af.jpg?rlkey=050esipbicnj5bymrgylpn9r0&amp;dl=0","Click to download Image")</f>
      </c>
      <c r="B3970" s="0">
        <f>HYPERLINK("https://dl.dropboxusercontent.com/scl/fi/w301eufogv8kl8f804zyn/womens-size-chartscleopatra.jpg?rlkey=m11q3tcubh7jyd5je4y4udzh3&amp;dl=0","Click to download SizeChart")</f>
      </c>
      <c r="C3970" s="0" t="inlineStr">
        <is>
          <t>Cleopatra Women's Down Fill Puffer Jacket</t>
        </is>
      </c>
      <c r="D3970" s="0" t="inlineStr">
        <is>
          <t>'108993</t>
        </is>
      </c>
      <c r="E3970" s="0" t="inlineStr">
        <is>
          <t>IA CLEOPATRA -WHITE:108993B-M</t>
        </is>
      </c>
      <c r="F3970" s="0" t="inlineStr">
        <is>
          <t>'800108993026</t>
        </is>
      </c>
      <c r="G3970" s="0" t="inlineStr">
        <is>
          <t>WOMENS</t>
        </is>
      </c>
      <c r="H3970" s="0" t="inlineStr">
        <is>
          <t>M</t>
        </is>
      </c>
      <c r="I3970" s="0">
        <v>149.99</v>
      </c>
      <c r="J3970" s="0">
        <v>9</v>
      </c>
    </row>
    <row r="3971" spans="1:10" customHeight="0">
      <c r="A3971" s="0">
        <f>HYPERLINK("https://dl.dropboxusercontent.com/scl/fi/7d2l7yroc8sd7n95czxm1/108993af.jpg?rlkey=050esipbicnj5bymrgylpn9r0&amp;dl=0","Click to download Image")</f>
      </c>
      <c r="B3971" s="0">
        <f>HYPERLINK("https://dl.dropboxusercontent.com/scl/fi/w301eufogv8kl8f804zyn/womens-size-chartscleopatra.jpg?rlkey=m11q3tcubh7jyd5je4y4udzh3&amp;dl=0","Click to download SizeChart")</f>
      </c>
      <c r="C3971" s="0" t="inlineStr">
        <is>
          <t>Cleopatra Women's Down Fill Puffer Jacket</t>
        </is>
      </c>
      <c r="D3971" s="0" t="inlineStr">
        <is>
          <t>'108993</t>
        </is>
      </c>
      <c r="E3971" s="0" t="inlineStr">
        <is>
          <t>IA CLEOPATRA -WHITE:108993C-L</t>
        </is>
      </c>
      <c r="F3971" s="0" t="inlineStr">
        <is>
          <t>'800108993033</t>
        </is>
      </c>
      <c r="G3971" s="0" t="inlineStr">
        <is>
          <t>WOMENS</t>
        </is>
      </c>
      <c r="H3971" s="0" t="inlineStr">
        <is>
          <t>L</t>
        </is>
      </c>
      <c r="I3971" s="0">
        <v>149.99</v>
      </c>
      <c r="J3971" s="0">
        <v>7</v>
      </c>
    </row>
    <row r="3972" spans="1:10" customHeight="0">
      <c r="A3972" s="0">
        <f>HYPERLINK("https://dl.dropboxusercontent.com/scl/fi/7d2l7yroc8sd7n95czxm1/108993af.jpg?rlkey=050esipbicnj5bymrgylpn9r0&amp;dl=0","Click to download Image")</f>
      </c>
      <c r="B3972" s="0">
        <f>HYPERLINK("https://dl.dropboxusercontent.com/scl/fi/w301eufogv8kl8f804zyn/womens-size-chartscleopatra.jpg?rlkey=m11q3tcubh7jyd5je4y4udzh3&amp;dl=0","Click to download SizeChart")</f>
      </c>
      <c r="C3972" s="0" t="inlineStr">
        <is>
          <t>Cleopatra Women's Down Fill Puffer Jacket</t>
        </is>
      </c>
      <c r="D3972" s="0" t="inlineStr">
        <is>
          <t>'108993</t>
        </is>
      </c>
      <c r="E3972" s="0" t="inlineStr">
        <is>
          <t>IA CLEOPATRA -WHITE:108993D-XL</t>
        </is>
      </c>
      <c r="F3972" s="0" t="inlineStr">
        <is>
          <t>'800108993040</t>
        </is>
      </c>
      <c r="G3972" s="0" t="inlineStr">
        <is>
          <t>WOMENS</t>
        </is>
      </c>
      <c r="H3972" s="0" t="inlineStr">
        <is>
          <t>XL</t>
        </is>
      </c>
      <c r="I3972" s="0">
        <v>149.99</v>
      </c>
      <c r="J3972" s="0">
        <v>3</v>
      </c>
    </row>
    <row r="3973" spans="1:10" customHeight="0">
      <c r="A3973" s="0">
        <f>HYPERLINK("https://dl.dropboxusercontent.com/scl/fi/7d2l7yroc8sd7n95czxm1/108993af.jpg?rlkey=050esipbicnj5bymrgylpn9r0&amp;dl=0","Click to download Image")</f>
      </c>
      <c r="B3973" s="0">
        <f>HYPERLINK("https://dl.dropboxusercontent.com/scl/fi/w301eufogv8kl8f804zyn/womens-size-chartscleopatra.jpg?rlkey=m11q3tcubh7jyd5je4y4udzh3&amp;dl=0","Click to download SizeChart")</f>
      </c>
      <c r="C3973" s="0" t="inlineStr">
        <is>
          <t>Cleopatra Women's Down Fill Puffer Jacket</t>
        </is>
      </c>
      <c r="D3973" s="0" t="inlineStr">
        <is>
          <t>'108993</t>
        </is>
      </c>
      <c r="E3973" s="0" t="inlineStr">
        <is>
          <t>IA CLEOPATRA -WHITE:108993E-2XL</t>
        </is>
      </c>
      <c r="F3973" s="0" t="inlineStr">
        <is>
          <t>'800108993057</t>
        </is>
      </c>
      <c r="G3973" s="0" t="inlineStr">
        <is>
          <t>WOMENS</t>
        </is>
      </c>
      <c r="H3973" s="0" t="inlineStr">
        <is>
          <t>2XL</t>
        </is>
      </c>
      <c r="I3973" s="0">
        <v>151.99</v>
      </c>
      <c r="J3973" s="0">
        <v>0</v>
      </c>
    </row>
    <row r="3974" spans="1:10" customHeight="0">
      <c r="A3974" s="0">
        <f>HYPERLINK("https://dl.dropboxusercontent.com/scl/fi/7d2l7yroc8sd7n95czxm1/108993af.jpg?rlkey=050esipbicnj5bymrgylpn9r0&amp;dl=0","Click to download Image")</f>
      </c>
      <c r="B3974" s="0">
        <f>HYPERLINK("https://dl.dropboxusercontent.com/scl/fi/w301eufogv8kl8f804zyn/womens-size-chartscleopatra.jpg?rlkey=m11q3tcubh7jyd5je4y4udzh3&amp;dl=0","Click to download SizeChart")</f>
      </c>
      <c r="C3974" s="0" t="inlineStr">
        <is>
          <t>Cleopatra Women's Down Fill Puffer Jacket</t>
        </is>
      </c>
      <c r="D3974" s="0" t="inlineStr">
        <is>
          <t>'108993</t>
        </is>
      </c>
      <c r="E3974" s="0" t="inlineStr">
        <is>
          <t>IA CLEOPATRA -WHITE:108993F-3XL</t>
        </is>
      </c>
      <c r="F3974" s="0" t="inlineStr">
        <is>
          <t>'800108993064</t>
        </is>
      </c>
      <c r="G3974" s="0" t="inlineStr">
        <is>
          <t>WOMENS</t>
        </is>
      </c>
      <c r="H3974" s="0" t="inlineStr">
        <is>
          <t>3XL</t>
        </is>
      </c>
      <c r="I3974" s="0">
        <v>151.99</v>
      </c>
      <c r="J3974" s="0">
        <v>2</v>
      </c>
    </row>
    <row r="3975" spans="1:10" customHeight="0">
      <c r="A3975" s="0">
        <f>HYPERLINK("https://dl.dropboxusercontent.com/scl/fi/15j8uia16ot8gwexuyg5n/108920-af.jpg?rlkey=0qgggnnbhzojd7whf7kmduc1q&amp;dl=0","Click to download Image")</f>
      </c>
      <c r="B3975" s="0">
        <f>HYPERLINK("https://dl.dropboxusercontent.com/scl/fi/w301eufogv8kl8f804zyn/womens-size-chartscleopatra.jpg?rlkey=m11q3tcubh7jyd5je4y4udzh3&amp;dl=0","Click to download SizeChart")</f>
      </c>
      <c r="C3975" s="0" t="inlineStr">
        <is>
          <t>Cleopatra Women's Down Fill Puffer Jacket</t>
        </is>
      </c>
      <c r="D3975" s="0" t="inlineStr">
        <is>
          <t>'108920</t>
        </is>
      </c>
      <c r="E3975" s="0" t="inlineStr">
        <is>
          <t>ISU CLEOPATRA:108920A-S</t>
        </is>
      </c>
      <c r="F3975" s="0" t="inlineStr">
        <is>
          <t>'800108920015</t>
        </is>
      </c>
      <c r="G3975" s="0" t="inlineStr">
        <is>
          <t>WOMENS</t>
        </is>
      </c>
      <c r="H3975" s="0" t="inlineStr">
        <is>
          <t>S</t>
        </is>
      </c>
      <c r="I3975" s="0">
        <v>149.99</v>
      </c>
      <c r="J3975" s="0">
        <v>7</v>
      </c>
    </row>
    <row r="3976" spans="1:10" customHeight="0">
      <c r="A3976" s="0">
        <f>HYPERLINK("https://dl.dropboxusercontent.com/scl/fi/15j8uia16ot8gwexuyg5n/108920-af.jpg?rlkey=0qgggnnbhzojd7whf7kmduc1q&amp;dl=0","Click to download Image")</f>
      </c>
      <c r="B3976" s="0">
        <f>HYPERLINK("https://dl.dropboxusercontent.com/scl/fi/w301eufogv8kl8f804zyn/womens-size-chartscleopatra.jpg?rlkey=m11q3tcubh7jyd5je4y4udzh3&amp;dl=0","Click to download SizeChart")</f>
      </c>
      <c r="C3976" s="0" t="inlineStr">
        <is>
          <t>Cleopatra Women's Down Fill Puffer Jacket</t>
        </is>
      </c>
      <c r="D3976" s="0" t="inlineStr">
        <is>
          <t>'108920</t>
        </is>
      </c>
      <c r="E3976" s="0" t="inlineStr">
        <is>
          <t>ISU CLEOPATRA:108920B-M</t>
        </is>
      </c>
      <c r="F3976" s="0" t="inlineStr">
        <is>
          <t>'800108920022</t>
        </is>
      </c>
      <c r="G3976" s="0" t="inlineStr">
        <is>
          <t>WOMENS</t>
        </is>
      </c>
      <c r="H3976" s="0" t="inlineStr">
        <is>
          <t>M</t>
        </is>
      </c>
      <c r="I3976" s="0">
        <v>149.99</v>
      </c>
      <c r="J3976" s="0">
        <v>24</v>
      </c>
    </row>
    <row r="3977" spans="1:10" customHeight="0">
      <c r="A3977" s="0">
        <f>HYPERLINK("https://dl.dropboxusercontent.com/scl/fi/15j8uia16ot8gwexuyg5n/108920-af.jpg?rlkey=0qgggnnbhzojd7whf7kmduc1q&amp;dl=0","Click to download Image")</f>
      </c>
      <c r="B3977" s="0">
        <f>HYPERLINK("https://dl.dropboxusercontent.com/scl/fi/w301eufogv8kl8f804zyn/womens-size-chartscleopatra.jpg?rlkey=m11q3tcubh7jyd5je4y4udzh3&amp;dl=0","Click to download SizeChart")</f>
      </c>
      <c r="C3977" s="0" t="inlineStr">
        <is>
          <t>Cleopatra Women's Down Fill Puffer Jacket</t>
        </is>
      </c>
      <c r="D3977" s="0" t="inlineStr">
        <is>
          <t>'108920</t>
        </is>
      </c>
      <c r="E3977" s="0" t="inlineStr">
        <is>
          <t>ISU CLEOPATRA:108920C-L</t>
        </is>
      </c>
      <c r="F3977" s="0" t="inlineStr">
        <is>
          <t>'800108920039</t>
        </is>
      </c>
      <c r="G3977" s="0" t="inlineStr">
        <is>
          <t>WOMENS</t>
        </is>
      </c>
      <c r="H3977" s="0" t="inlineStr">
        <is>
          <t>L</t>
        </is>
      </c>
      <c r="I3977" s="0">
        <v>149.99</v>
      </c>
      <c r="J3977" s="0">
        <v>23</v>
      </c>
    </row>
    <row r="3978" spans="1:10" customHeight="0">
      <c r="A3978" s="0">
        <f>HYPERLINK("https://dl.dropboxusercontent.com/scl/fi/15j8uia16ot8gwexuyg5n/108920-af.jpg?rlkey=0qgggnnbhzojd7whf7kmduc1q&amp;dl=0","Click to download Image")</f>
      </c>
      <c r="B3978" s="0">
        <f>HYPERLINK("https://dl.dropboxusercontent.com/scl/fi/w301eufogv8kl8f804zyn/womens-size-chartscleopatra.jpg?rlkey=m11q3tcubh7jyd5je4y4udzh3&amp;dl=0","Click to download SizeChart")</f>
      </c>
      <c r="C3978" s="0" t="inlineStr">
        <is>
          <t>Cleopatra Women's Down Fill Puffer Jacket</t>
        </is>
      </c>
      <c r="D3978" s="0" t="inlineStr">
        <is>
          <t>'108920</t>
        </is>
      </c>
      <c r="E3978" s="0" t="inlineStr">
        <is>
          <t>ISU CLEOPATRA:108920D-XL</t>
        </is>
      </c>
      <c r="F3978" s="0" t="inlineStr">
        <is>
          <t>'800108920046</t>
        </is>
      </c>
      <c r="G3978" s="0" t="inlineStr">
        <is>
          <t>WOMENS</t>
        </is>
      </c>
      <c r="H3978" s="0" t="inlineStr">
        <is>
          <t>XL</t>
        </is>
      </c>
      <c r="I3978" s="0">
        <v>149.99</v>
      </c>
      <c r="J3978" s="0">
        <v>11</v>
      </c>
    </row>
    <row r="3979" spans="1:10" customHeight="0">
      <c r="A3979" s="0">
        <f>HYPERLINK("https://dl.dropboxusercontent.com/scl/fi/15j8uia16ot8gwexuyg5n/108920-af.jpg?rlkey=0qgggnnbhzojd7whf7kmduc1q&amp;dl=0","Click to download Image")</f>
      </c>
      <c r="B3979" s="0">
        <f>HYPERLINK("https://dl.dropboxusercontent.com/scl/fi/w301eufogv8kl8f804zyn/womens-size-chartscleopatra.jpg?rlkey=m11q3tcubh7jyd5je4y4udzh3&amp;dl=0","Click to download SizeChart")</f>
      </c>
      <c r="C3979" s="0" t="inlineStr">
        <is>
          <t>Cleopatra Women's Down Fill Puffer Jacket</t>
        </is>
      </c>
      <c r="D3979" s="0" t="inlineStr">
        <is>
          <t>'108920</t>
        </is>
      </c>
      <c r="E3979" s="0" t="inlineStr">
        <is>
          <t>ISU CLEOPATRA:108920E-2XL</t>
        </is>
      </c>
      <c r="F3979" s="0" t="inlineStr">
        <is>
          <t>'800108920053</t>
        </is>
      </c>
      <c r="G3979" s="0" t="inlineStr">
        <is>
          <t>WOMENS</t>
        </is>
      </c>
      <c r="H3979" s="0" t="inlineStr">
        <is>
          <t>2XL</t>
        </is>
      </c>
      <c r="I3979" s="0">
        <v>151.99</v>
      </c>
      <c r="J3979" s="0">
        <v>5</v>
      </c>
    </row>
    <row r="3980" spans="1:10" customHeight="0">
      <c r="A3980" s="0">
        <f>HYPERLINK("https://dl.dropboxusercontent.com/scl/fi/15j8uia16ot8gwexuyg5n/108920-af.jpg?rlkey=0qgggnnbhzojd7whf7kmduc1q&amp;dl=0","Click to download Image")</f>
      </c>
      <c r="B3980" s="0">
        <f>HYPERLINK("https://dl.dropboxusercontent.com/scl/fi/w301eufogv8kl8f804zyn/womens-size-chartscleopatra.jpg?rlkey=m11q3tcubh7jyd5je4y4udzh3&amp;dl=0","Click to download SizeChart")</f>
      </c>
      <c r="C3980" s="0" t="inlineStr">
        <is>
          <t>Cleopatra Women's Down Fill Puffer Jacket</t>
        </is>
      </c>
      <c r="D3980" s="0" t="inlineStr">
        <is>
          <t>'108920</t>
        </is>
      </c>
      <c r="E3980" s="0" t="inlineStr">
        <is>
          <t>ISU CLEOPATRA:108920F-3XL</t>
        </is>
      </c>
      <c r="F3980" s="0" t="inlineStr">
        <is>
          <t>'800108920060</t>
        </is>
      </c>
      <c r="G3980" s="0" t="inlineStr">
        <is>
          <t>WOMENS</t>
        </is>
      </c>
      <c r="H3980" s="0" t="inlineStr">
        <is>
          <t>3XL</t>
        </is>
      </c>
      <c r="I3980" s="0">
        <v>151.99</v>
      </c>
      <c r="J3980" s="0">
        <v>5</v>
      </c>
    </row>
    <row r="3981" spans="1:10" customHeight="0">
      <c r="A3981" s="0">
        <f>HYPERLINK("https://dl.dropboxusercontent.com/scl/fi/ofpvo6g5gsdj8i8q8tqsk/109003af.jpg?rlkey=uqqlm4ohltdi8ag63qcsmg2bo&amp;dl=0","Click to download Image")</f>
      </c>
      <c r="B3981" s="0">
        <f>HYPERLINK("https://dl.dropboxusercontent.com/scl/fi/w301eufogv8kl8f804zyn/womens-size-chartscleopatra.jpg?rlkey=m11q3tcubh7jyd5je4y4udzh3&amp;dl=0","Click to download SizeChart")</f>
      </c>
      <c r="C3981" s="0" t="inlineStr">
        <is>
          <t>Cleopatra Women's Down Fill Puffer Jacket</t>
        </is>
      </c>
      <c r="D3981" s="0" t="inlineStr">
        <is>
          <t>'109003</t>
        </is>
      </c>
      <c r="E3981" s="0" t="inlineStr">
        <is>
          <t>ISU CLEOPATRA:109003A - S</t>
        </is>
      </c>
      <c r="F3981" s="0" t="inlineStr">
        <is>
          <t>'800109003014</t>
        </is>
      </c>
      <c r="G3981" s="0" t="inlineStr">
        <is>
          <t>WOMENS</t>
        </is>
      </c>
      <c r="H3981" s="0" t="inlineStr">
        <is>
          <t>S</t>
        </is>
      </c>
      <c r="I3981" s="0">
        <v>149.99</v>
      </c>
      <c r="J3981" s="0">
        <v>4</v>
      </c>
    </row>
    <row r="3982" spans="1:10" customHeight="0">
      <c r="A3982" s="0">
        <f>HYPERLINK("https://dl.dropboxusercontent.com/scl/fi/ofpvo6g5gsdj8i8q8tqsk/109003af.jpg?rlkey=uqqlm4ohltdi8ag63qcsmg2bo&amp;dl=0","Click to download Image")</f>
      </c>
      <c r="B3982" s="0">
        <f>HYPERLINK("https://dl.dropboxusercontent.com/scl/fi/w301eufogv8kl8f804zyn/womens-size-chartscleopatra.jpg?rlkey=m11q3tcubh7jyd5je4y4udzh3&amp;dl=0","Click to download SizeChart")</f>
      </c>
      <c r="C3982" s="0" t="inlineStr">
        <is>
          <t>Cleopatra Women's Down Fill Puffer Jacket</t>
        </is>
      </c>
      <c r="D3982" s="0" t="inlineStr">
        <is>
          <t>'109003</t>
        </is>
      </c>
      <c r="E3982" s="0" t="inlineStr">
        <is>
          <t>ISU CLEOPATRA:109003B - M</t>
        </is>
      </c>
      <c r="F3982" s="0" t="inlineStr">
        <is>
          <t>'800109003021</t>
        </is>
      </c>
      <c r="G3982" s="0" t="inlineStr">
        <is>
          <t>WOMENS</t>
        </is>
      </c>
      <c r="H3982" s="0" t="inlineStr">
        <is>
          <t>M</t>
        </is>
      </c>
      <c r="I3982" s="0">
        <v>149.99</v>
      </c>
      <c r="J3982" s="0">
        <v>8</v>
      </c>
    </row>
    <row r="3983" spans="1:10" customHeight="0">
      <c r="A3983" s="0">
        <f>HYPERLINK("https://dl.dropboxusercontent.com/scl/fi/ofpvo6g5gsdj8i8q8tqsk/109003af.jpg?rlkey=uqqlm4ohltdi8ag63qcsmg2bo&amp;dl=0","Click to download Image")</f>
      </c>
      <c r="B3983" s="0">
        <f>HYPERLINK("https://dl.dropboxusercontent.com/scl/fi/w301eufogv8kl8f804zyn/womens-size-chartscleopatra.jpg?rlkey=m11q3tcubh7jyd5je4y4udzh3&amp;dl=0","Click to download SizeChart")</f>
      </c>
      <c r="C3983" s="0" t="inlineStr">
        <is>
          <t>Cleopatra Women's Down Fill Puffer Jacket</t>
        </is>
      </c>
      <c r="D3983" s="0" t="inlineStr">
        <is>
          <t>'109003</t>
        </is>
      </c>
      <c r="E3983" s="0" t="inlineStr">
        <is>
          <t>ISU CLEOPATRA:109003C - L</t>
        </is>
      </c>
      <c r="F3983" s="0" t="inlineStr">
        <is>
          <t>'800109003038</t>
        </is>
      </c>
      <c r="G3983" s="0" t="inlineStr">
        <is>
          <t>WOMENS</t>
        </is>
      </c>
      <c r="H3983" s="0" t="inlineStr">
        <is>
          <t>L</t>
        </is>
      </c>
      <c r="I3983" s="0">
        <v>149.99</v>
      </c>
      <c r="J3983" s="0">
        <v>8</v>
      </c>
    </row>
    <row r="3984" spans="1:10" customHeight="0">
      <c r="A3984" s="0">
        <f>HYPERLINK("https://dl.dropboxusercontent.com/scl/fi/ofpvo6g5gsdj8i8q8tqsk/109003af.jpg?rlkey=uqqlm4ohltdi8ag63qcsmg2bo&amp;dl=0","Click to download Image")</f>
      </c>
      <c r="B3984" s="0">
        <f>HYPERLINK("https://dl.dropboxusercontent.com/scl/fi/w301eufogv8kl8f804zyn/womens-size-chartscleopatra.jpg?rlkey=m11q3tcubh7jyd5je4y4udzh3&amp;dl=0","Click to download SizeChart")</f>
      </c>
      <c r="C3984" s="0" t="inlineStr">
        <is>
          <t>Cleopatra Women's Down Fill Puffer Jacket</t>
        </is>
      </c>
      <c r="D3984" s="0" t="inlineStr">
        <is>
          <t>'109003</t>
        </is>
      </c>
      <c r="E3984" s="0" t="inlineStr">
        <is>
          <t>ISU CLEOPATRA:109003D - XL</t>
        </is>
      </c>
      <c r="F3984" s="0" t="inlineStr">
        <is>
          <t>'800109003045</t>
        </is>
      </c>
      <c r="G3984" s="0" t="inlineStr">
        <is>
          <t>WOMENS</t>
        </is>
      </c>
      <c r="H3984" s="0" t="inlineStr">
        <is>
          <t>XL</t>
        </is>
      </c>
      <c r="I3984" s="0">
        <v>149.99</v>
      </c>
      <c r="J3984" s="0">
        <v>4</v>
      </c>
    </row>
    <row r="3985" spans="1:10" customHeight="0">
      <c r="A3985" s="0">
        <f>HYPERLINK("https://dl.dropboxusercontent.com/scl/fi/ofpvo6g5gsdj8i8q8tqsk/109003af.jpg?rlkey=uqqlm4ohltdi8ag63qcsmg2bo&amp;dl=0","Click to download Image")</f>
      </c>
      <c r="B3985" s="0">
        <f>HYPERLINK("https://dl.dropboxusercontent.com/scl/fi/w301eufogv8kl8f804zyn/womens-size-chartscleopatra.jpg?rlkey=m11q3tcubh7jyd5je4y4udzh3&amp;dl=0","Click to download SizeChart")</f>
      </c>
      <c r="C3985" s="0" t="inlineStr">
        <is>
          <t>Cleopatra Women's Down Fill Puffer Jacket</t>
        </is>
      </c>
      <c r="D3985" s="0" t="inlineStr">
        <is>
          <t>'109003</t>
        </is>
      </c>
      <c r="E3985" s="0" t="inlineStr">
        <is>
          <t>ISU CLEOPATRA:109003E - 2XL</t>
        </is>
      </c>
      <c r="F3985" s="0" t="inlineStr">
        <is>
          <t>'800109003052</t>
        </is>
      </c>
      <c r="G3985" s="0" t="inlineStr">
        <is>
          <t>WOMENS</t>
        </is>
      </c>
      <c r="H3985" s="0" t="inlineStr">
        <is>
          <t>2XL</t>
        </is>
      </c>
      <c r="I3985" s="0">
        <v>151.99</v>
      </c>
      <c r="J3985" s="0">
        <v>1</v>
      </c>
    </row>
    <row r="3986" spans="1:10" customHeight="0">
      <c r="A3986" s="0">
        <f>HYPERLINK("https://dl.dropboxusercontent.com/scl/fi/ofpvo6g5gsdj8i8q8tqsk/109003af.jpg?rlkey=uqqlm4ohltdi8ag63qcsmg2bo&amp;dl=0","Click to download Image")</f>
      </c>
      <c r="B3986" s="0">
        <f>HYPERLINK("https://dl.dropboxusercontent.com/scl/fi/w301eufogv8kl8f804zyn/womens-size-chartscleopatra.jpg?rlkey=m11q3tcubh7jyd5je4y4udzh3&amp;dl=0","Click to download SizeChart")</f>
      </c>
      <c r="C3986" s="0" t="inlineStr">
        <is>
          <t>Cleopatra Women's Down Fill Puffer Jacket</t>
        </is>
      </c>
      <c r="D3986" s="0" t="inlineStr">
        <is>
          <t>'109003</t>
        </is>
      </c>
      <c r="E3986" s="0" t="inlineStr">
        <is>
          <t>ISU CLEOPATRA:109003F - 3XL</t>
        </is>
      </c>
      <c r="F3986" s="0" t="inlineStr">
        <is>
          <t>'800109003069</t>
        </is>
      </c>
      <c r="G3986" s="0" t="inlineStr">
        <is>
          <t>WOMENS</t>
        </is>
      </c>
      <c r="H3986" s="0" t="inlineStr">
        <is>
          <t>3XL</t>
        </is>
      </c>
      <c r="I3986" s="0">
        <v>151.99</v>
      </c>
      <c r="J3986" s="0">
        <v>1</v>
      </c>
    </row>
    <row r="3987" spans="1:10" customHeight="0">
      <c r="A3987" s="0">
        <f>HYPERLINK("https://dl.dropboxusercontent.com/scl/fi/wbch3pzd13wntutkfr8qt/108996af.jpg?rlkey=5a2h36liy8aike9klq66b31g4&amp;dl=0","Click to download Image")</f>
      </c>
      <c r="B3987" s="0">
        <f>HYPERLINK("https://dl.dropboxusercontent.com/scl/fi/w301eufogv8kl8f804zyn/womens-size-chartscleopatra.jpg?rlkey=m11q3tcubh7jyd5je4y4udzh3&amp;dl=0","Click to download SizeChart")</f>
      </c>
      <c r="C3987" s="0" t="inlineStr">
        <is>
          <t>Cleopatra Women's Down Fill Puffer Jacket</t>
        </is>
      </c>
      <c r="D3987" s="0" t="inlineStr">
        <is>
          <t>'108996</t>
        </is>
      </c>
      <c r="E3987" s="0" t="inlineStr">
        <is>
          <t>ISU CLEOPATRA -WHITE:108996A-S</t>
        </is>
      </c>
      <c r="F3987" s="0" t="inlineStr">
        <is>
          <t>'800108996010</t>
        </is>
      </c>
      <c r="G3987" s="0" t="inlineStr">
        <is>
          <t>WOMENS</t>
        </is>
      </c>
      <c r="H3987" s="0" t="inlineStr">
        <is>
          <t>S</t>
        </is>
      </c>
      <c r="I3987" s="0">
        <v>149.99</v>
      </c>
      <c r="J3987" s="0">
        <v>4</v>
      </c>
    </row>
    <row r="3988" spans="1:10" customHeight="0">
      <c r="A3988" s="0">
        <f>HYPERLINK("https://dl.dropboxusercontent.com/scl/fi/wbch3pzd13wntutkfr8qt/108996af.jpg?rlkey=5a2h36liy8aike9klq66b31g4&amp;dl=0","Click to download Image")</f>
      </c>
      <c r="B3988" s="0">
        <f>HYPERLINK("https://dl.dropboxusercontent.com/scl/fi/w301eufogv8kl8f804zyn/womens-size-chartscleopatra.jpg?rlkey=m11q3tcubh7jyd5je4y4udzh3&amp;dl=0","Click to download SizeChart")</f>
      </c>
      <c r="C3988" s="0" t="inlineStr">
        <is>
          <t>Cleopatra Women's Down Fill Puffer Jacket</t>
        </is>
      </c>
      <c r="D3988" s="0" t="inlineStr">
        <is>
          <t>'108996</t>
        </is>
      </c>
      <c r="E3988" s="0" t="inlineStr">
        <is>
          <t>ISU CLEOPATRA -WHITE:108996B-M</t>
        </is>
      </c>
      <c r="F3988" s="0" t="inlineStr">
        <is>
          <t>'800108996027</t>
        </is>
      </c>
      <c r="G3988" s="0" t="inlineStr">
        <is>
          <t>WOMENS</t>
        </is>
      </c>
      <c r="H3988" s="0" t="inlineStr">
        <is>
          <t>M</t>
        </is>
      </c>
      <c r="I3988" s="0">
        <v>149.99</v>
      </c>
      <c r="J3988" s="0">
        <v>7</v>
      </c>
    </row>
    <row r="3989" spans="1:10" customHeight="0">
      <c r="A3989" s="0">
        <f>HYPERLINK("https://dl.dropboxusercontent.com/scl/fi/wbch3pzd13wntutkfr8qt/108996af.jpg?rlkey=5a2h36liy8aike9klq66b31g4&amp;dl=0","Click to download Image")</f>
      </c>
      <c r="B3989" s="0">
        <f>HYPERLINK("https://dl.dropboxusercontent.com/scl/fi/w301eufogv8kl8f804zyn/womens-size-chartscleopatra.jpg?rlkey=m11q3tcubh7jyd5je4y4udzh3&amp;dl=0","Click to download SizeChart")</f>
      </c>
      <c r="C3989" s="0" t="inlineStr">
        <is>
          <t>Cleopatra Women's Down Fill Puffer Jacket</t>
        </is>
      </c>
      <c r="D3989" s="0" t="inlineStr">
        <is>
          <t>'108996</t>
        </is>
      </c>
      <c r="E3989" s="0" t="inlineStr">
        <is>
          <t>ISU CLEOPATRA -WHITE:108996C-L</t>
        </is>
      </c>
      <c r="F3989" s="0" t="inlineStr">
        <is>
          <t>'800108996034</t>
        </is>
      </c>
      <c r="G3989" s="0" t="inlineStr">
        <is>
          <t>WOMENS</t>
        </is>
      </c>
      <c r="H3989" s="0" t="inlineStr">
        <is>
          <t>L</t>
        </is>
      </c>
      <c r="I3989" s="0">
        <v>149.99</v>
      </c>
      <c r="J3989" s="0">
        <v>8</v>
      </c>
    </row>
    <row r="3990" spans="1:10" customHeight="0">
      <c r="A3990" s="0">
        <f>HYPERLINK("https://dl.dropboxusercontent.com/scl/fi/wbch3pzd13wntutkfr8qt/108996af.jpg?rlkey=5a2h36liy8aike9klq66b31g4&amp;dl=0","Click to download Image")</f>
      </c>
      <c r="B3990" s="0">
        <f>HYPERLINK("https://dl.dropboxusercontent.com/scl/fi/w301eufogv8kl8f804zyn/womens-size-chartscleopatra.jpg?rlkey=m11q3tcubh7jyd5je4y4udzh3&amp;dl=0","Click to download SizeChart")</f>
      </c>
      <c r="C3990" s="0" t="inlineStr">
        <is>
          <t>Cleopatra Women's Down Fill Puffer Jacket</t>
        </is>
      </c>
      <c r="D3990" s="0" t="inlineStr">
        <is>
          <t>'108996</t>
        </is>
      </c>
      <c r="E3990" s="0" t="inlineStr">
        <is>
          <t>ISU CLEOPATRA -WHITE:108996D-XL</t>
        </is>
      </c>
      <c r="F3990" s="0" t="inlineStr">
        <is>
          <t>'800108996041</t>
        </is>
      </c>
      <c r="G3990" s="0" t="inlineStr">
        <is>
          <t>WOMENS</t>
        </is>
      </c>
      <c r="H3990" s="0" t="inlineStr">
        <is>
          <t>XL</t>
        </is>
      </c>
      <c r="I3990" s="0">
        <v>149.99</v>
      </c>
      <c r="J3990" s="0">
        <v>4</v>
      </c>
    </row>
    <row r="3991" spans="1:10" customHeight="0">
      <c r="A3991" s="0">
        <f>HYPERLINK("https://dl.dropboxusercontent.com/scl/fi/wbch3pzd13wntutkfr8qt/108996af.jpg?rlkey=5a2h36liy8aike9klq66b31g4&amp;dl=0","Click to download Image")</f>
      </c>
      <c r="B3991" s="0">
        <f>HYPERLINK("https://dl.dropboxusercontent.com/scl/fi/w301eufogv8kl8f804zyn/womens-size-chartscleopatra.jpg?rlkey=m11q3tcubh7jyd5je4y4udzh3&amp;dl=0","Click to download SizeChart")</f>
      </c>
      <c r="C3991" s="0" t="inlineStr">
        <is>
          <t>Cleopatra Women's Down Fill Puffer Jacket</t>
        </is>
      </c>
      <c r="D3991" s="0" t="inlineStr">
        <is>
          <t>'108996</t>
        </is>
      </c>
      <c r="E3991" s="0" t="inlineStr">
        <is>
          <t>ISU CLEOPATRA -WHITE:108996E-2XL</t>
        </is>
      </c>
      <c r="F3991" s="0" t="inlineStr">
        <is>
          <t>'800108996058</t>
        </is>
      </c>
      <c r="G3991" s="0" t="inlineStr">
        <is>
          <t>WOMENS</t>
        </is>
      </c>
      <c r="H3991" s="0" t="inlineStr">
        <is>
          <t>2XL</t>
        </is>
      </c>
      <c r="I3991" s="0">
        <v>151.99</v>
      </c>
      <c r="J3991" s="0">
        <v>1</v>
      </c>
    </row>
    <row r="3992" spans="1:10" customHeight="0">
      <c r="A3992" s="0">
        <f>HYPERLINK("https://dl.dropboxusercontent.com/scl/fi/wbch3pzd13wntutkfr8qt/108996af.jpg?rlkey=5a2h36liy8aike9klq66b31g4&amp;dl=0","Click to download Image")</f>
      </c>
      <c r="B3992" s="0">
        <f>HYPERLINK("https://dl.dropboxusercontent.com/scl/fi/w301eufogv8kl8f804zyn/womens-size-chartscleopatra.jpg?rlkey=m11q3tcubh7jyd5je4y4udzh3&amp;dl=0","Click to download SizeChart")</f>
      </c>
      <c r="C3992" s="0" t="inlineStr">
        <is>
          <t>Cleopatra Women's Down Fill Puffer Jacket</t>
        </is>
      </c>
      <c r="D3992" s="0" t="inlineStr">
        <is>
          <t>'108996</t>
        </is>
      </c>
      <c r="E3992" s="0" t="inlineStr">
        <is>
          <t>ISU CLEOPATRA -WHITE:108996F-3XL</t>
        </is>
      </c>
      <c r="F3992" s="0" t="inlineStr">
        <is>
          <t>'800108996065</t>
        </is>
      </c>
      <c r="G3992" s="0" t="inlineStr">
        <is>
          <t>WOMENS</t>
        </is>
      </c>
      <c r="H3992" s="0" t="inlineStr">
        <is>
          <t>3XL</t>
        </is>
      </c>
      <c r="I3992" s="0">
        <v>151.99</v>
      </c>
      <c r="J3992" s="0">
        <v>1</v>
      </c>
    </row>
    <row r="3993" spans="1:10" customHeight="0">
      <c r="A3993" s="0">
        <f>HYPERLINK("https://dl.dropboxusercontent.com/scl/fi/70jdevd7ij2rb7ko9s3w5/108930-af.jpg?rlkey=c8l4csve7tchvfzrgitj53119&amp;dl=0","Click to download Image")</f>
      </c>
      <c r="B3993" s="0">
        <f>HYPERLINK("https://dl.dropboxusercontent.com/scl/fi/w301eufogv8kl8f804zyn/womens-size-chartscleopatra.jpg?rlkey=m11q3tcubh7jyd5je4y4udzh3&amp;dl=0","Click to download SizeChart")</f>
      </c>
      <c r="C3993" s="0" t="inlineStr">
        <is>
          <t>Cleopatra Women's Down Fill Puffer Jacket</t>
        </is>
      </c>
      <c r="D3993" s="0" t="inlineStr">
        <is>
          <t>'108930</t>
        </is>
      </c>
      <c r="E3993" s="0" t="inlineStr">
        <is>
          <t>KSU CLEOPATRA:108930A-S</t>
        </is>
      </c>
      <c r="F3993" s="0" t="inlineStr">
        <is>
          <t>'800108930014</t>
        </is>
      </c>
      <c r="G3993" s="0" t="inlineStr">
        <is>
          <t>WOMENS</t>
        </is>
      </c>
      <c r="H3993" s="0" t="inlineStr">
        <is>
          <t>S</t>
        </is>
      </c>
      <c r="I3993" s="0">
        <v>149.99</v>
      </c>
      <c r="J3993" s="0">
        <v>12</v>
      </c>
    </row>
    <row r="3994" spans="1:10" customHeight="0">
      <c r="A3994" s="0">
        <f>HYPERLINK("https://dl.dropboxusercontent.com/scl/fi/70jdevd7ij2rb7ko9s3w5/108930-af.jpg?rlkey=c8l4csve7tchvfzrgitj53119&amp;dl=0","Click to download Image")</f>
      </c>
      <c r="B3994" s="0">
        <f>HYPERLINK("https://dl.dropboxusercontent.com/scl/fi/w301eufogv8kl8f804zyn/womens-size-chartscleopatra.jpg?rlkey=m11q3tcubh7jyd5je4y4udzh3&amp;dl=0","Click to download SizeChart")</f>
      </c>
      <c r="C3994" s="0" t="inlineStr">
        <is>
          <t>Cleopatra Women's Down Fill Puffer Jacket</t>
        </is>
      </c>
      <c r="D3994" s="0" t="inlineStr">
        <is>
          <t>'108930</t>
        </is>
      </c>
      <c r="E3994" s="0" t="inlineStr">
        <is>
          <t>KSU CLEOPATRA:108930B-M</t>
        </is>
      </c>
      <c r="F3994" s="0" t="inlineStr">
        <is>
          <t>'800108930021</t>
        </is>
      </c>
      <c r="G3994" s="0" t="inlineStr">
        <is>
          <t>WOMENS</t>
        </is>
      </c>
      <c r="H3994" s="0" t="inlineStr">
        <is>
          <t>M</t>
        </is>
      </c>
      <c r="I3994" s="0">
        <v>149.99</v>
      </c>
      <c r="J3994" s="0">
        <v>24</v>
      </c>
    </row>
    <row r="3995" spans="1:10" customHeight="0">
      <c r="A3995" s="0">
        <f>HYPERLINK("https://dl.dropboxusercontent.com/scl/fi/70jdevd7ij2rb7ko9s3w5/108930-af.jpg?rlkey=c8l4csve7tchvfzrgitj53119&amp;dl=0","Click to download Image")</f>
      </c>
      <c r="B3995" s="0">
        <f>HYPERLINK("https://dl.dropboxusercontent.com/scl/fi/w301eufogv8kl8f804zyn/womens-size-chartscleopatra.jpg?rlkey=m11q3tcubh7jyd5je4y4udzh3&amp;dl=0","Click to download SizeChart")</f>
      </c>
      <c r="C3995" s="0" t="inlineStr">
        <is>
          <t>Cleopatra Women's Down Fill Puffer Jacket</t>
        </is>
      </c>
      <c r="D3995" s="0" t="inlineStr">
        <is>
          <t>'108930</t>
        </is>
      </c>
      <c r="E3995" s="0" t="inlineStr">
        <is>
          <t>KSU CLEOPATRA:108930C-L</t>
        </is>
      </c>
      <c r="F3995" s="0" t="inlineStr">
        <is>
          <t>'800108930038</t>
        </is>
      </c>
      <c r="G3995" s="0" t="inlineStr">
        <is>
          <t>WOMENS</t>
        </is>
      </c>
      <c r="H3995" s="0" t="inlineStr">
        <is>
          <t>L</t>
        </is>
      </c>
      <c r="I3995" s="0">
        <v>149.99</v>
      </c>
      <c r="J3995" s="0">
        <v>24</v>
      </c>
    </row>
    <row r="3996" spans="1:10" customHeight="0">
      <c r="A3996" s="0">
        <f>HYPERLINK("https://dl.dropboxusercontent.com/scl/fi/70jdevd7ij2rb7ko9s3w5/108930-af.jpg?rlkey=c8l4csve7tchvfzrgitj53119&amp;dl=0","Click to download Image")</f>
      </c>
      <c r="B3996" s="0">
        <f>HYPERLINK("https://dl.dropboxusercontent.com/scl/fi/w301eufogv8kl8f804zyn/womens-size-chartscleopatra.jpg?rlkey=m11q3tcubh7jyd5je4y4udzh3&amp;dl=0","Click to download SizeChart")</f>
      </c>
      <c r="C3996" s="0" t="inlineStr">
        <is>
          <t>Cleopatra Women's Down Fill Puffer Jacket</t>
        </is>
      </c>
      <c r="D3996" s="0" t="inlineStr">
        <is>
          <t>'108930</t>
        </is>
      </c>
      <c r="E3996" s="0" t="inlineStr">
        <is>
          <t>KSU CLEOPATRA:108930D-XL</t>
        </is>
      </c>
      <c r="F3996" s="0" t="inlineStr">
        <is>
          <t>'800108930045</t>
        </is>
      </c>
      <c r="G3996" s="0" t="inlineStr">
        <is>
          <t>WOMENS</t>
        </is>
      </c>
      <c r="H3996" s="0" t="inlineStr">
        <is>
          <t>XL</t>
        </is>
      </c>
      <c r="I3996" s="0">
        <v>149.99</v>
      </c>
      <c r="J3996" s="0">
        <v>12</v>
      </c>
    </row>
    <row r="3997" spans="1:10" customHeight="0">
      <c r="A3997" s="0">
        <f>HYPERLINK("https://dl.dropboxusercontent.com/scl/fi/70jdevd7ij2rb7ko9s3w5/108930-af.jpg?rlkey=c8l4csve7tchvfzrgitj53119&amp;dl=0","Click to download Image")</f>
      </c>
      <c r="B3997" s="0">
        <f>HYPERLINK("https://dl.dropboxusercontent.com/scl/fi/w301eufogv8kl8f804zyn/womens-size-chartscleopatra.jpg?rlkey=m11q3tcubh7jyd5je4y4udzh3&amp;dl=0","Click to download SizeChart")</f>
      </c>
      <c r="C3997" s="0" t="inlineStr">
        <is>
          <t>Cleopatra Women's Down Fill Puffer Jacket</t>
        </is>
      </c>
      <c r="D3997" s="0" t="inlineStr">
        <is>
          <t>'108930</t>
        </is>
      </c>
      <c r="E3997" s="0" t="inlineStr">
        <is>
          <t>KSU CLEOPATRA:108930E-2XL</t>
        </is>
      </c>
      <c r="F3997" s="0" t="inlineStr">
        <is>
          <t>'800108930052</t>
        </is>
      </c>
      <c r="G3997" s="0" t="inlineStr">
        <is>
          <t>WOMENS</t>
        </is>
      </c>
      <c r="H3997" s="0" t="inlineStr">
        <is>
          <t>2XL</t>
        </is>
      </c>
      <c r="I3997" s="0">
        <v>151.99</v>
      </c>
      <c r="J3997" s="0">
        <v>4</v>
      </c>
    </row>
    <row r="3998" spans="1:10" customHeight="0">
      <c r="A3998" s="0">
        <f>HYPERLINK("https://dl.dropboxusercontent.com/scl/fi/70jdevd7ij2rb7ko9s3w5/108930-af.jpg?rlkey=c8l4csve7tchvfzrgitj53119&amp;dl=0","Click to download Image")</f>
      </c>
      <c r="B3998" s="0">
        <f>HYPERLINK("https://dl.dropboxusercontent.com/scl/fi/w301eufogv8kl8f804zyn/womens-size-chartscleopatra.jpg?rlkey=m11q3tcubh7jyd5je4y4udzh3&amp;dl=0","Click to download SizeChart")</f>
      </c>
      <c r="C3998" s="0" t="inlineStr">
        <is>
          <t>Cleopatra Women's Down Fill Puffer Jacket</t>
        </is>
      </c>
      <c r="D3998" s="0" t="inlineStr">
        <is>
          <t>'108930</t>
        </is>
      </c>
      <c r="E3998" s="0" t="inlineStr">
        <is>
          <t>KSU CLEOPATRA:108930F-3XL</t>
        </is>
      </c>
      <c r="F3998" s="0" t="inlineStr">
        <is>
          <t>'800108930069</t>
        </is>
      </c>
      <c r="G3998" s="0" t="inlineStr">
        <is>
          <t>WOMENS</t>
        </is>
      </c>
      <c r="H3998" s="0" t="inlineStr">
        <is>
          <t>3XL</t>
        </is>
      </c>
      <c r="I3998" s="0">
        <v>151.99</v>
      </c>
      <c r="J3998" s="0">
        <v>3</v>
      </c>
    </row>
    <row r="3999" spans="1:10" customHeight="0">
      <c r="A3999" s="0">
        <f>HYPERLINK("https://dl.dropboxusercontent.com/scl/fi/cntg9v2vi3iov5ntjidjn/108931-af.jpg?rlkey=hupau0etoanypfh7uouavmedq&amp;dl=0","Click to download Image")</f>
      </c>
      <c r="B3999" s="0">
        <f>HYPERLINK("https://dl.dropboxusercontent.com/scl/fi/w301eufogv8kl8f804zyn/womens-size-chartscleopatra.jpg?rlkey=m11q3tcubh7jyd5je4y4udzh3&amp;dl=0","Click to download SizeChart")</f>
      </c>
      <c r="C3999" s="0" t="inlineStr">
        <is>
          <t>Cleopatra Women's Down Fill Puffer Jacket</t>
        </is>
      </c>
      <c r="D3999" s="0" t="inlineStr">
        <is>
          <t>'108931</t>
        </is>
      </c>
      <c r="E3999" s="0" t="inlineStr">
        <is>
          <t>PURDUE CLEOPATRA:108931A-S</t>
        </is>
      </c>
      <c r="F3999" s="0" t="inlineStr">
        <is>
          <t>'800108931011</t>
        </is>
      </c>
      <c r="G3999" s="0" t="inlineStr">
        <is>
          <t>WOMENS</t>
        </is>
      </c>
      <c r="H3999" s="0" t="inlineStr">
        <is>
          <t>S</t>
        </is>
      </c>
      <c r="I3999" s="0">
        <v>149.99</v>
      </c>
      <c r="J3999" s="0">
        <v>13</v>
      </c>
    </row>
    <row r="4000" spans="1:10" customHeight="0">
      <c r="A4000" s="0">
        <f>HYPERLINK("https://dl.dropboxusercontent.com/scl/fi/cntg9v2vi3iov5ntjidjn/108931-af.jpg?rlkey=hupau0etoanypfh7uouavmedq&amp;dl=0","Click to download Image")</f>
      </c>
      <c r="B4000" s="0">
        <f>HYPERLINK("https://dl.dropboxusercontent.com/scl/fi/w301eufogv8kl8f804zyn/womens-size-chartscleopatra.jpg?rlkey=m11q3tcubh7jyd5je4y4udzh3&amp;dl=0","Click to download SizeChart")</f>
      </c>
      <c r="C4000" s="0" t="inlineStr">
        <is>
          <t>Cleopatra Women's Down Fill Puffer Jacket</t>
        </is>
      </c>
      <c r="D4000" s="0" t="inlineStr">
        <is>
          <t>'108931</t>
        </is>
      </c>
      <c r="E4000" s="0" t="inlineStr">
        <is>
          <t>PURDUE CLEOPATRA:108931B-M</t>
        </is>
      </c>
      <c r="F4000" s="0" t="inlineStr">
        <is>
          <t>'800108931028</t>
        </is>
      </c>
      <c r="G4000" s="0" t="inlineStr">
        <is>
          <t>WOMENS</t>
        </is>
      </c>
      <c r="H4000" s="0" t="inlineStr">
        <is>
          <t>M</t>
        </is>
      </c>
      <c r="I4000" s="0">
        <v>149.99</v>
      </c>
      <c r="J4000" s="0">
        <v>24</v>
      </c>
    </row>
    <row r="4001" spans="1:10" customHeight="0">
      <c r="A4001" s="0">
        <f>HYPERLINK("https://dl.dropboxusercontent.com/scl/fi/cntg9v2vi3iov5ntjidjn/108931-af.jpg?rlkey=hupau0etoanypfh7uouavmedq&amp;dl=0","Click to download Image")</f>
      </c>
      <c r="B4001" s="0">
        <f>HYPERLINK("https://dl.dropboxusercontent.com/scl/fi/w301eufogv8kl8f804zyn/womens-size-chartscleopatra.jpg?rlkey=m11q3tcubh7jyd5je4y4udzh3&amp;dl=0","Click to download SizeChart")</f>
      </c>
      <c r="C4001" s="0" t="inlineStr">
        <is>
          <t>Cleopatra Women's Down Fill Puffer Jacket</t>
        </is>
      </c>
      <c r="D4001" s="0" t="inlineStr">
        <is>
          <t>'108931</t>
        </is>
      </c>
      <c r="E4001" s="0" t="inlineStr">
        <is>
          <t>PURDUE CLEOPATRA:108931C-L</t>
        </is>
      </c>
      <c r="F4001" s="0" t="inlineStr">
        <is>
          <t>'800108931035</t>
        </is>
      </c>
      <c r="G4001" s="0" t="inlineStr">
        <is>
          <t>WOMENS</t>
        </is>
      </c>
      <c r="H4001" s="0" t="inlineStr">
        <is>
          <t>L</t>
        </is>
      </c>
      <c r="I4001" s="0">
        <v>149.99</v>
      </c>
      <c r="J4001" s="0">
        <v>24</v>
      </c>
    </row>
    <row r="4002" spans="1:10" customHeight="0">
      <c r="A4002" s="0">
        <f>HYPERLINK("https://dl.dropboxusercontent.com/scl/fi/cntg9v2vi3iov5ntjidjn/108931-af.jpg?rlkey=hupau0etoanypfh7uouavmedq&amp;dl=0","Click to download Image")</f>
      </c>
      <c r="B4002" s="0">
        <f>HYPERLINK("https://dl.dropboxusercontent.com/scl/fi/w301eufogv8kl8f804zyn/womens-size-chartscleopatra.jpg?rlkey=m11q3tcubh7jyd5je4y4udzh3&amp;dl=0","Click to download SizeChart")</f>
      </c>
      <c r="C4002" s="0" t="inlineStr">
        <is>
          <t>Cleopatra Women's Down Fill Puffer Jacket</t>
        </is>
      </c>
      <c r="D4002" s="0" t="inlineStr">
        <is>
          <t>'108931</t>
        </is>
      </c>
      <c r="E4002" s="0" t="inlineStr">
        <is>
          <t>PURDUE CLEOPATRA:108931D-XL</t>
        </is>
      </c>
      <c r="F4002" s="0" t="inlineStr">
        <is>
          <t>'800108931042</t>
        </is>
      </c>
      <c r="G4002" s="0" t="inlineStr">
        <is>
          <t>WOMENS</t>
        </is>
      </c>
      <c r="H4002" s="0" t="inlineStr">
        <is>
          <t>XL</t>
        </is>
      </c>
      <c r="I4002" s="0">
        <v>149.99</v>
      </c>
      <c r="J4002" s="0">
        <v>12</v>
      </c>
    </row>
    <row r="4003" spans="1:10" customHeight="0">
      <c r="A4003" s="0">
        <f>HYPERLINK("https://dl.dropboxusercontent.com/scl/fi/cntg9v2vi3iov5ntjidjn/108931-af.jpg?rlkey=hupau0etoanypfh7uouavmedq&amp;dl=0","Click to download Image")</f>
      </c>
      <c r="B4003" s="0">
        <f>HYPERLINK("https://dl.dropboxusercontent.com/scl/fi/w301eufogv8kl8f804zyn/womens-size-chartscleopatra.jpg?rlkey=m11q3tcubh7jyd5je4y4udzh3&amp;dl=0","Click to download SizeChart")</f>
      </c>
      <c r="C4003" s="0" t="inlineStr">
        <is>
          <t>Cleopatra Women's Down Fill Puffer Jacket</t>
        </is>
      </c>
      <c r="D4003" s="0" t="inlineStr">
        <is>
          <t>'108931</t>
        </is>
      </c>
      <c r="E4003" s="0" t="inlineStr">
        <is>
          <t>PURDUE CLEOPATRA:108931E-2XL</t>
        </is>
      </c>
      <c r="F4003" s="0" t="inlineStr">
        <is>
          <t>'800108931059</t>
        </is>
      </c>
      <c r="G4003" s="0" t="inlineStr">
        <is>
          <t>WOMENS</t>
        </is>
      </c>
      <c r="H4003" s="0" t="inlineStr">
        <is>
          <t>2XL</t>
        </is>
      </c>
      <c r="I4003" s="0">
        <v>151.99</v>
      </c>
      <c r="J4003" s="0">
        <v>4</v>
      </c>
    </row>
    <row r="4004" spans="1:10" customHeight="0">
      <c r="A4004" s="0">
        <f>HYPERLINK("https://dl.dropboxusercontent.com/scl/fi/cntg9v2vi3iov5ntjidjn/108931-af.jpg?rlkey=hupau0etoanypfh7uouavmedq&amp;dl=0","Click to download Image")</f>
      </c>
      <c r="B4004" s="0">
        <f>HYPERLINK("https://dl.dropboxusercontent.com/scl/fi/w301eufogv8kl8f804zyn/womens-size-chartscleopatra.jpg?rlkey=m11q3tcubh7jyd5je4y4udzh3&amp;dl=0","Click to download SizeChart")</f>
      </c>
      <c r="C4004" s="0" t="inlineStr">
        <is>
          <t>Cleopatra Women's Down Fill Puffer Jacket</t>
        </is>
      </c>
      <c r="D4004" s="0" t="inlineStr">
        <is>
          <t>'108931</t>
        </is>
      </c>
      <c r="E4004" s="0" t="inlineStr">
        <is>
          <t>PURDUE CLEOPATRA:108931F-3XL</t>
        </is>
      </c>
      <c r="F4004" s="0" t="inlineStr">
        <is>
          <t>'800108931066</t>
        </is>
      </c>
      <c r="G4004" s="0" t="inlineStr">
        <is>
          <t>WOMENS</t>
        </is>
      </c>
      <c r="H4004" s="0" t="inlineStr">
        <is>
          <t>3XL</t>
        </is>
      </c>
      <c r="I4004" s="0">
        <v>151.99</v>
      </c>
      <c r="J4004" s="0">
        <v>4</v>
      </c>
    </row>
    <row r="4005" spans="1:10" customHeight="0">
      <c r="A4005" s="0">
        <f>HYPERLINK("https://dl.dropboxusercontent.com/scl/fi/30zhcwpe86ln5vueb6un3/108927-af.jpg?rlkey=rzz1lqjtayird20hy2gx4ha3r&amp;dl=0","Click to download Image")</f>
      </c>
      <c r="B4005" s="0">
        <f>HYPERLINK("https://dl.dropboxusercontent.com/scl/fi/w301eufogv8kl8f804zyn/womens-size-chartscleopatra.jpg?rlkey=m11q3tcubh7jyd5je4y4udzh3&amp;dl=0","Click to download SizeChart")</f>
      </c>
      <c r="C4005" s="0" t="inlineStr">
        <is>
          <t>Cleopatra Women's Down Fill Puffer Jacket</t>
        </is>
      </c>
      <c r="D4005" s="0" t="inlineStr">
        <is>
          <t>'108927</t>
        </is>
      </c>
      <c r="E4005" s="0" t="inlineStr">
        <is>
          <t>MU CLEOPATRA:108927A-S</t>
        </is>
      </c>
      <c r="F4005" s="0" t="inlineStr">
        <is>
          <t>'800108927014</t>
        </is>
      </c>
      <c r="G4005" s="0" t="inlineStr">
        <is>
          <t>WOMENS</t>
        </is>
      </c>
      <c r="H4005" s="0" t="inlineStr">
        <is>
          <t>S</t>
        </is>
      </c>
      <c r="I4005" s="0">
        <v>149.99</v>
      </c>
      <c r="J4005" s="0">
        <v>5</v>
      </c>
    </row>
    <row r="4006" spans="1:10" customHeight="0">
      <c r="A4006" s="0">
        <f>HYPERLINK("https://dl.dropboxusercontent.com/scl/fi/30zhcwpe86ln5vueb6un3/108927-af.jpg?rlkey=rzz1lqjtayird20hy2gx4ha3r&amp;dl=0","Click to download Image")</f>
      </c>
      <c r="B4006" s="0">
        <f>HYPERLINK("https://dl.dropboxusercontent.com/scl/fi/w301eufogv8kl8f804zyn/womens-size-chartscleopatra.jpg?rlkey=m11q3tcubh7jyd5je4y4udzh3&amp;dl=0","Click to download SizeChart")</f>
      </c>
      <c r="C4006" s="0" t="inlineStr">
        <is>
          <t>Cleopatra Women's Down Fill Puffer Jacket</t>
        </is>
      </c>
      <c r="D4006" s="0" t="inlineStr">
        <is>
          <t>'108927</t>
        </is>
      </c>
      <c r="E4006" s="0" t="inlineStr">
        <is>
          <t>MU CLEOPATRA:108927B-M</t>
        </is>
      </c>
      <c r="F4006" s="0" t="inlineStr">
        <is>
          <t>'800108927021</t>
        </is>
      </c>
      <c r="G4006" s="0" t="inlineStr">
        <is>
          <t>WOMENS</t>
        </is>
      </c>
      <c r="H4006" s="0" t="inlineStr">
        <is>
          <t>M</t>
        </is>
      </c>
      <c r="I4006" s="0">
        <v>149.99</v>
      </c>
      <c r="J4006" s="0">
        <v>12</v>
      </c>
    </row>
    <row r="4007" spans="1:10" customHeight="0">
      <c r="A4007" s="0">
        <f>HYPERLINK("https://dl.dropboxusercontent.com/scl/fi/30zhcwpe86ln5vueb6un3/108927-af.jpg?rlkey=rzz1lqjtayird20hy2gx4ha3r&amp;dl=0","Click to download Image")</f>
      </c>
      <c r="B4007" s="0">
        <f>HYPERLINK("https://dl.dropboxusercontent.com/scl/fi/w301eufogv8kl8f804zyn/womens-size-chartscleopatra.jpg?rlkey=m11q3tcubh7jyd5je4y4udzh3&amp;dl=0","Click to download SizeChart")</f>
      </c>
      <c r="C4007" s="0" t="inlineStr">
        <is>
          <t>Cleopatra Women's Down Fill Puffer Jacket</t>
        </is>
      </c>
      <c r="D4007" s="0" t="inlineStr">
        <is>
          <t>'108927</t>
        </is>
      </c>
      <c r="E4007" s="0" t="inlineStr">
        <is>
          <t>MU CLEOPATRA:108927C-L</t>
        </is>
      </c>
      <c r="F4007" s="0" t="inlineStr">
        <is>
          <t>'800108927038</t>
        </is>
      </c>
      <c r="G4007" s="0" t="inlineStr">
        <is>
          <t>WOMENS</t>
        </is>
      </c>
      <c r="H4007" s="0" t="inlineStr">
        <is>
          <t>L</t>
        </is>
      </c>
      <c r="I4007" s="0">
        <v>149.99</v>
      </c>
      <c r="J4007" s="0">
        <v>12</v>
      </c>
    </row>
    <row r="4008" spans="1:10" customHeight="0">
      <c r="A4008" s="0">
        <f>HYPERLINK("https://dl.dropboxusercontent.com/scl/fi/30zhcwpe86ln5vueb6un3/108927-af.jpg?rlkey=rzz1lqjtayird20hy2gx4ha3r&amp;dl=0","Click to download Image")</f>
      </c>
      <c r="B4008" s="0">
        <f>HYPERLINK("https://dl.dropboxusercontent.com/scl/fi/w301eufogv8kl8f804zyn/womens-size-chartscleopatra.jpg?rlkey=m11q3tcubh7jyd5je4y4udzh3&amp;dl=0","Click to download SizeChart")</f>
      </c>
      <c r="C4008" s="0" t="inlineStr">
        <is>
          <t>Cleopatra Women's Down Fill Puffer Jacket</t>
        </is>
      </c>
      <c r="D4008" s="0" t="inlineStr">
        <is>
          <t>'108927</t>
        </is>
      </c>
      <c r="E4008" s="0" t="inlineStr">
        <is>
          <t>MU CLEOPATRA:108927D-XL</t>
        </is>
      </c>
      <c r="F4008" s="0" t="inlineStr">
        <is>
          <t>'800108927045</t>
        </is>
      </c>
      <c r="G4008" s="0" t="inlineStr">
        <is>
          <t>WOMENS</t>
        </is>
      </c>
      <c r="H4008" s="0" t="inlineStr">
        <is>
          <t>XL</t>
        </is>
      </c>
      <c r="I4008" s="0">
        <v>149.99</v>
      </c>
      <c r="J4008" s="0">
        <v>0</v>
      </c>
    </row>
    <row r="4009" spans="1:10" customHeight="0">
      <c r="A4009" s="0">
        <f>HYPERLINK("https://dl.dropboxusercontent.com/scl/fi/30zhcwpe86ln5vueb6un3/108927-af.jpg?rlkey=rzz1lqjtayird20hy2gx4ha3r&amp;dl=0","Click to download Image")</f>
      </c>
      <c r="B4009" s="0">
        <f>HYPERLINK("https://dl.dropboxusercontent.com/scl/fi/w301eufogv8kl8f804zyn/womens-size-chartscleopatra.jpg?rlkey=m11q3tcubh7jyd5je4y4udzh3&amp;dl=0","Click to download SizeChart")</f>
      </c>
      <c r="C4009" s="0" t="inlineStr">
        <is>
          <t>Cleopatra Women's Down Fill Puffer Jacket</t>
        </is>
      </c>
      <c r="D4009" s="0" t="inlineStr">
        <is>
          <t>'108927</t>
        </is>
      </c>
      <c r="E4009" s="0" t="inlineStr">
        <is>
          <t>MU CLEOPATRA:108927E-2XL</t>
        </is>
      </c>
      <c r="F4009" s="0" t="inlineStr">
        <is>
          <t>'800108927052</t>
        </is>
      </c>
      <c r="G4009" s="0" t="inlineStr">
        <is>
          <t>WOMENS</t>
        </is>
      </c>
      <c r="H4009" s="0" t="inlineStr">
        <is>
          <t>2XL</t>
        </is>
      </c>
      <c r="I4009" s="0">
        <v>151.99</v>
      </c>
      <c r="J4009" s="0">
        <v>0</v>
      </c>
    </row>
    <row r="4010" spans="1:10" customHeight="0">
      <c r="A4010" s="0">
        <f>HYPERLINK("https://dl.dropboxusercontent.com/scl/fi/30zhcwpe86ln5vueb6un3/108927-af.jpg?rlkey=rzz1lqjtayird20hy2gx4ha3r&amp;dl=0","Click to download Image")</f>
      </c>
      <c r="B4010" s="0">
        <f>HYPERLINK("https://dl.dropboxusercontent.com/scl/fi/w301eufogv8kl8f804zyn/womens-size-chartscleopatra.jpg?rlkey=m11q3tcubh7jyd5je4y4udzh3&amp;dl=0","Click to download SizeChart")</f>
      </c>
      <c r="C4010" s="0" t="inlineStr">
        <is>
          <t>Cleopatra Women's Down Fill Puffer Jacket</t>
        </is>
      </c>
      <c r="D4010" s="0" t="inlineStr">
        <is>
          <t>'108927</t>
        </is>
      </c>
      <c r="E4010" s="0" t="inlineStr">
        <is>
          <t>MU CLEOPATRA:108927F-3XL</t>
        </is>
      </c>
      <c r="F4010" s="0" t="inlineStr">
        <is>
          <t>'800108927069</t>
        </is>
      </c>
      <c r="G4010" s="0" t="inlineStr">
        <is>
          <t>WOMENS</t>
        </is>
      </c>
      <c r="H4010" s="0" t="inlineStr">
        <is>
          <t>3XL</t>
        </is>
      </c>
      <c r="I4010" s="0">
        <v>151.99</v>
      </c>
      <c r="J4010" s="0">
        <v>0</v>
      </c>
    </row>
    <row r="4011" spans="1:10" customHeight="0">
      <c r="A4011" s="0">
        <f>HYPERLINK("https://dl.dropboxusercontent.com/scl/fi/i1qcg8yzwyzkhovcdpxww/108924-af.jpg?rlkey=a361lfa2rj7zl58uzwotagk2t&amp;dl=0","Click to download Image")</f>
      </c>
      <c r="B4011" s="0">
        <f>HYPERLINK("https://dl.dropboxusercontent.com/scl/fi/w301eufogv8kl8f804zyn/womens-size-chartscleopatra.jpg?rlkey=m11q3tcubh7jyd5je4y4udzh3&amp;dl=0","Click to download SizeChart")</f>
      </c>
      <c r="C4011" s="0" t="inlineStr">
        <is>
          <t>Cleopatra Women's Down Fill Puffer Jacket</t>
        </is>
      </c>
      <c r="D4011" s="0" t="inlineStr">
        <is>
          <t>'108924</t>
        </is>
      </c>
      <c r="E4011" s="0" t="inlineStr">
        <is>
          <t>UNI CLEOPATRA:108924A-S</t>
        </is>
      </c>
      <c r="F4011" s="0" t="inlineStr">
        <is>
          <t>'800108924013</t>
        </is>
      </c>
      <c r="G4011" s="0" t="inlineStr">
        <is>
          <t>WOMENS</t>
        </is>
      </c>
      <c r="H4011" s="0" t="inlineStr">
        <is>
          <t>S</t>
        </is>
      </c>
      <c r="I4011" s="0">
        <v>149.99</v>
      </c>
      <c r="J4011" s="0">
        <v>4</v>
      </c>
    </row>
    <row r="4012" spans="1:10" customHeight="0">
      <c r="A4012" s="0">
        <f>HYPERLINK("https://dl.dropboxusercontent.com/scl/fi/i1qcg8yzwyzkhovcdpxww/108924-af.jpg?rlkey=a361lfa2rj7zl58uzwotagk2t&amp;dl=0","Click to download Image")</f>
      </c>
      <c r="B4012" s="0">
        <f>HYPERLINK("https://dl.dropboxusercontent.com/scl/fi/w301eufogv8kl8f804zyn/womens-size-chartscleopatra.jpg?rlkey=m11q3tcubh7jyd5je4y4udzh3&amp;dl=0","Click to download SizeChart")</f>
      </c>
      <c r="C4012" s="0" t="inlineStr">
        <is>
          <t>Cleopatra Women's Down Fill Puffer Jacket</t>
        </is>
      </c>
      <c r="D4012" s="0" t="inlineStr">
        <is>
          <t>'108924</t>
        </is>
      </c>
      <c r="E4012" s="0" t="inlineStr">
        <is>
          <t>UNI CLEOPATRA:108924B-M</t>
        </is>
      </c>
      <c r="F4012" s="0" t="inlineStr">
        <is>
          <t>'800108924020</t>
        </is>
      </c>
      <c r="G4012" s="0" t="inlineStr">
        <is>
          <t>WOMENS</t>
        </is>
      </c>
      <c r="H4012" s="0" t="inlineStr">
        <is>
          <t>M</t>
        </is>
      </c>
      <c r="I4012" s="0">
        <v>149.99</v>
      </c>
      <c r="J4012" s="0">
        <v>8</v>
      </c>
    </row>
    <row r="4013" spans="1:10" customHeight="0">
      <c r="A4013" s="0">
        <f>HYPERLINK("https://dl.dropboxusercontent.com/scl/fi/i1qcg8yzwyzkhovcdpxww/108924-af.jpg?rlkey=a361lfa2rj7zl58uzwotagk2t&amp;dl=0","Click to download Image")</f>
      </c>
      <c r="B4013" s="0">
        <f>HYPERLINK("https://dl.dropboxusercontent.com/scl/fi/w301eufogv8kl8f804zyn/womens-size-chartscleopatra.jpg?rlkey=m11q3tcubh7jyd5je4y4udzh3&amp;dl=0","Click to download SizeChart")</f>
      </c>
      <c r="C4013" s="0" t="inlineStr">
        <is>
          <t>Cleopatra Women's Down Fill Puffer Jacket</t>
        </is>
      </c>
      <c r="D4013" s="0" t="inlineStr">
        <is>
          <t>'108924</t>
        </is>
      </c>
      <c r="E4013" s="0" t="inlineStr">
        <is>
          <t>UNI CLEOPATRA:108924C-L</t>
        </is>
      </c>
      <c r="F4013" s="0" t="inlineStr">
        <is>
          <t>'800108924037</t>
        </is>
      </c>
      <c r="G4013" s="0" t="inlineStr">
        <is>
          <t>WOMENS</t>
        </is>
      </c>
      <c r="H4013" s="0" t="inlineStr">
        <is>
          <t>L</t>
        </is>
      </c>
      <c r="I4013" s="0">
        <v>149.99</v>
      </c>
      <c r="J4013" s="0">
        <v>7</v>
      </c>
    </row>
    <row r="4014" spans="1:10" customHeight="0">
      <c r="A4014" s="0">
        <f>HYPERLINK("https://dl.dropboxusercontent.com/scl/fi/i1qcg8yzwyzkhovcdpxww/108924-af.jpg?rlkey=a361lfa2rj7zl58uzwotagk2t&amp;dl=0","Click to download Image")</f>
      </c>
      <c r="B4014" s="0">
        <f>HYPERLINK("https://dl.dropboxusercontent.com/scl/fi/w301eufogv8kl8f804zyn/womens-size-chartscleopatra.jpg?rlkey=m11q3tcubh7jyd5je4y4udzh3&amp;dl=0","Click to download SizeChart")</f>
      </c>
      <c r="C4014" s="0" t="inlineStr">
        <is>
          <t>Cleopatra Women's Down Fill Puffer Jacket</t>
        </is>
      </c>
      <c r="D4014" s="0" t="inlineStr">
        <is>
          <t>'108924</t>
        </is>
      </c>
      <c r="E4014" s="0" t="inlineStr">
        <is>
          <t>UNI CLEOPATRA:108924D-XL</t>
        </is>
      </c>
      <c r="F4014" s="0" t="inlineStr">
        <is>
          <t>'800108924044</t>
        </is>
      </c>
      <c r="G4014" s="0" t="inlineStr">
        <is>
          <t>WOMENS</t>
        </is>
      </c>
      <c r="H4014" s="0" t="inlineStr">
        <is>
          <t>XL</t>
        </is>
      </c>
      <c r="I4014" s="0">
        <v>149.99</v>
      </c>
      <c r="J4014" s="0">
        <v>4</v>
      </c>
    </row>
    <row r="4015" spans="1:10" customHeight="0">
      <c r="A4015" s="0">
        <f>HYPERLINK("https://dl.dropboxusercontent.com/scl/fi/i1qcg8yzwyzkhovcdpxww/108924-af.jpg?rlkey=a361lfa2rj7zl58uzwotagk2t&amp;dl=0","Click to download Image")</f>
      </c>
      <c r="B4015" s="0">
        <f>HYPERLINK("https://dl.dropboxusercontent.com/scl/fi/w301eufogv8kl8f804zyn/womens-size-chartscleopatra.jpg?rlkey=m11q3tcubh7jyd5je4y4udzh3&amp;dl=0","Click to download SizeChart")</f>
      </c>
      <c r="C4015" s="0" t="inlineStr">
        <is>
          <t>Cleopatra Women's Down Fill Puffer Jacket</t>
        </is>
      </c>
      <c r="D4015" s="0" t="inlineStr">
        <is>
          <t>'108924</t>
        </is>
      </c>
      <c r="E4015" s="0" t="inlineStr">
        <is>
          <t>UNI CLEOPATRA:108924E-2XL</t>
        </is>
      </c>
      <c r="F4015" s="0" t="inlineStr">
        <is>
          <t>'800108924051</t>
        </is>
      </c>
      <c r="G4015" s="0" t="inlineStr">
        <is>
          <t>WOMENS</t>
        </is>
      </c>
      <c r="H4015" s="0" t="inlineStr">
        <is>
          <t>2XL</t>
        </is>
      </c>
      <c r="I4015" s="0">
        <v>151.99</v>
      </c>
      <c r="J4015" s="0">
        <v>1</v>
      </c>
    </row>
    <row r="4016" spans="1:10" customHeight="0">
      <c r="A4016" s="0">
        <f>HYPERLINK("https://dl.dropboxusercontent.com/scl/fi/i1qcg8yzwyzkhovcdpxww/108924-af.jpg?rlkey=a361lfa2rj7zl58uzwotagk2t&amp;dl=0","Click to download Image")</f>
      </c>
      <c r="B4016" s="0">
        <f>HYPERLINK("https://dl.dropboxusercontent.com/scl/fi/w301eufogv8kl8f804zyn/womens-size-chartscleopatra.jpg?rlkey=m11q3tcubh7jyd5je4y4udzh3&amp;dl=0","Click to download SizeChart")</f>
      </c>
      <c r="C4016" s="0" t="inlineStr">
        <is>
          <t>Cleopatra Women's Down Fill Puffer Jacket</t>
        </is>
      </c>
      <c r="D4016" s="0" t="inlineStr">
        <is>
          <t>'108924</t>
        </is>
      </c>
      <c r="E4016" s="0" t="inlineStr">
        <is>
          <t>UNI CLEOPATRA:108924F-3XL</t>
        </is>
      </c>
      <c r="F4016" s="0" t="inlineStr">
        <is>
          <t>'800108924068</t>
        </is>
      </c>
      <c r="G4016" s="0" t="inlineStr">
        <is>
          <t>WOMENS</t>
        </is>
      </c>
      <c r="H4016" s="0" t="inlineStr">
        <is>
          <t>3XL</t>
        </is>
      </c>
      <c r="I4016" s="0">
        <v>151.99</v>
      </c>
      <c r="J4016" s="0">
        <v>1</v>
      </c>
    </row>
    <row r="4017" spans="1:10" customHeight="0">
      <c r="A4017" s="0">
        <f>HYPERLINK("https://dl.dropboxusercontent.com/scl/fi/pzfnlg5f4ryv7mpiclalw/final-dsc3682-copy.jpg?rlkey=s5cif7g9q9rd7x1qe7r4kw290&amp;dl=0","Click to download Image")</f>
      </c>
      <c r="B4017" s="0">
        <f>HYPERLINK("https://dl.dropboxusercontent.com/scl/fi/mucr3prtsfve8pzfiblkv/womens-size-chartslori.jpg?rlkey=lrvsxwk32zh04bvemlwbqpmo7&amp;dl=0","Click to download SizeChart")</f>
      </c>
      <c r="C4017" s="0" t="inlineStr">
        <is>
          <t>Iowa Lori Quilted Vest Premium Black</t>
        </is>
      </c>
      <c r="D4017" s="0" t="inlineStr">
        <is>
          <t>'106753</t>
        </is>
      </c>
      <c r="E4017" s="0" t="inlineStr">
        <is>
          <t>IA LORI:106753A-S</t>
        </is>
      </c>
      <c r="F4017" s="0" t="inlineStr">
        <is>
          <t>'800106753011</t>
        </is>
      </c>
      <c r="G4017" s="0" t="inlineStr">
        <is>
          <t>WOMENS</t>
        </is>
      </c>
      <c r="H4017" s="0" t="inlineStr">
        <is>
          <t>S</t>
        </is>
      </c>
      <c r="I4017" s="0">
        <v>59.99</v>
      </c>
      <c r="J4017" s="0">
        <v>0</v>
      </c>
    </row>
    <row r="4018" spans="1:10" customHeight="0">
      <c r="A4018" s="0">
        <f>HYPERLINK("https://dl.dropboxusercontent.com/scl/fi/pzfnlg5f4ryv7mpiclalw/final-dsc3682-copy.jpg?rlkey=s5cif7g9q9rd7x1qe7r4kw290&amp;dl=0","Click to download Image")</f>
      </c>
      <c r="B4018" s="0">
        <f>HYPERLINK("https://dl.dropboxusercontent.com/scl/fi/mucr3prtsfve8pzfiblkv/womens-size-chartslori.jpg?rlkey=lrvsxwk32zh04bvemlwbqpmo7&amp;dl=0","Click to download SizeChart")</f>
      </c>
      <c r="C4018" s="0" t="inlineStr">
        <is>
          <t>Iowa Lori Quilted Vest Premium Black</t>
        </is>
      </c>
      <c r="D4018" s="0" t="inlineStr">
        <is>
          <t>'106753</t>
        </is>
      </c>
      <c r="E4018" s="0" t="inlineStr">
        <is>
          <t>IA LORI:106753B-M</t>
        </is>
      </c>
      <c r="F4018" s="0" t="inlineStr">
        <is>
          <t>'800106753028</t>
        </is>
      </c>
      <c r="G4018" s="0" t="inlineStr">
        <is>
          <t>WOMENS</t>
        </is>
      </c>
      <c r="H4018" s="0" t="inlineStr">
        <is>
          <t>M</t>
        </is>
      </c>
      <c r="I4018" s="0">
        <v>59.99</v>
      </c>
      <c r="J4018" s="0">
        <v>36</v>
      </c>
    </row>
    <row r="4019" spans="1:10" customHeight="0">
      <c r="A4019" s="0">
        <f>HYPERLINK("https://dl.dropboxusercontent.com/scl/fi/pzfnlg5f4ryv7mpiclalw/final-dsc3682-copy.jpg?rlkey=s5cif7g9q9rd7x1qe7r4kw290&amp;dl=0","Click to download Image")</f>
      </c>
      <c r="B4019" s="0">
        <f>HYPERLINK("https://dl.dropboxusercontent.com/scl/fi/mucr3prtsfve8pzfiblkv/womens-size-chartslori.jpg?rlkey=lrvsxwk32zh04bvemlwbqpmo7&amp;dl=0","Click to download SizeChart")</f>
      </c>
      <c r="C4019" s="0" t="inlineStr">
        <is>
          <t>Iowa Lori Quilted Vest Premium Black</t>
        </is>
      </c>
      <c r="D4019" s="0" t="inlineStr">
        <is>
          <t>'106753</t>
        </is>
      </c>
      <c r="E4019" s="0" t="inlineStr">
        <is>
          <t>IA LORI:106753C-L</t>
        </is>
      </c>
      <c r="F4019" s="0" t="inlineStr">
        <is>
          <t>'800106753035</t>
        </is>
      </c>
      <c r="G4019" s="0" t="inlineStr">
        <is>
          <t>WOMENS</t>
        </is>
      </c>
      <c r="H4019" s="0" t="inlineStr">
        <is>
          <t>L</t>
        </is>
      </c>
      <c r="I4019" s="0">
        <v>59.99</v>
      </c>
      <c r="J4019" s="0">
        <v>37</v>
      </c>
    </row>
    <row r="4020" spans="1:10" customHeight="0">
      <c r="A4020" s="0">
        <f>HYPERLINK("https://dl.dropboxusercontent.com/scl/fi/pzfnlg5f4ryv7mpiclalw/final-dsc3682-copy.jpg?rlkey=s5cif7g9q9rd7x1qe7r4kw290&amp;dl=0","Click to download Image")</f>
      </c>
      <c r="B4020" s="0">
        <f>HYPERLINK("https://dl.dropboxusercontent.com/scl/fi/mucr3prtsfve8pzfiblkv/womens-size-chartslori.jpg?rlkey=lrvsxwk32zh04bvemlwbqpmo7&amp;dl=0","Click to download SizeChart")</f>
      </c>
      <c r="C4020" s="0" t="inlineStr">
        <is>
          <t>Iowa Lori Quilted Vest Premium Black</t>
        </is>
      </c>
      <c r="D4020" s="0" t="inlineStr">
        <is>
          <t>'106753</t>
        </is>
      </c>
      <c r="E4020" s="0" t="inlineStr">
        <is>
          <t>IA LORI:106753D-XL</t>
        </is>
      </c>
      <c r="F4020" s="0" t="inlineStr">
        <is>
          <t>'800106753042</t>
        </is>
      </c>
      <c r="G4020" s="0" t="inlineStr">
        <is>
          <t>WOMENS</t>
        </is>
      </c>
      <c r="H4020" s="0" t="inlineStr">
        <is>
          <t>XL</t>
        </is>
      </c>
      <c r="I4020" s="0">
        <v>59.99</v>
      </c>
      <c r="J4020" s="0">
        <v>0</v>
      </c>
    </row>
    <row r="4021" spans="1:10" customHeight="0">
      <c r="A4021" s="0">
        <f>HYPERLINK("https://dl.dropboxusercontent.com/scl/fi/pzfnlg5f4ryv7mpiclalw/final-dsc3682-copy.jpg?rlkey=s5cif7g9q9rd7x1qe7r4kw290&amp;dl=0","Click to download Image")</f>
      </c>
      <c r="B4021" s="0">
        <f>HYPERLINK("https://dl.dropboxusercontent.com/scl/fi/mucr3prtsfve8pzfiblkv/womens-size-chartslori.jpg?rlkey=lrvsxwk32zh04bvemlwbqpmo7&amp;dl=0","Click to download SizeChart")</f>
      </c>
      <c r="C4021" s="0" t="inlineStr">
        <is>
          <t>Iowa Lori Quilted Vest Premium Black</t>
        </is>
      </c>
      <c r="D4021" s="0" t="inlineStr">
        <is>
          <t>'106753</t>
        </is>
      </c>
      <c r="E4021" s="0" t="inlineStr">
        <is>
          <t>IA LORI:106753E-2XL</t>
        </is>
      </c>
      <c r="F4021" s="0" t="inlineStr">
        <is>
          <t>'800106753059</t>
        </is>
      </c>
      <c r="G4021" s="0" t="inlineStr">
        <is>
          <t>WOMENS</t>
        </is>
      </c>
      <c r="H4021" s="0" t="inlineStr">
        <is>
          <t>2XL</t>
        </is>
      </c>
      <c r="I4021" s="0">
        <v>61.99</v>
      </c>
      <c r="J4021" s="0">
        <v>0</v>
      </c>
    </row>
    <row r="4022" spans="1:10" customHeight="0">
      <c r="A4022" s="0">
        <f>HYPERLINK("https://dl.dropboxusercontent.com/scl/fi/pzfnlg5f4ryv7mpiclalw/final-dsc3682-copy.jpg?rlkey=s5cif7g9q9rd7x1qe7r4kw290&amp;dl=0","Click to download Image")</f>
      </c>
      <c r="B4022" s="0">
        <f>HYPERLINK("https://dl.dropboxusercontent.com/scl/fi/mucr3prtsfve8pzfiblkv/womens-size-chartslori.jpg?rlkey=lrvsxwk32zh04bvemlwbqpmo7&amp;dl=0","Click to download SizeChart")</f>
      </c>
      <c r="C4022" s="0" t="inlineStr">
        <is>
          <t>Iowa Lori Quilted Vest Premium Black</t>
        </is>
      </c>
      <c r="D4022" s="0" t="inlineStr">
        <is>
          <t>'106753</t>
        </is>
      </c>
      <c r="E4022" s="0" t="inlineStr">
        <is>
          <t>IA LORI:106753F-3XL</t>
        </is>
      </c>
      <c r="F4022" s="0" t="inlineStr">
        <is>
          <t>'800106753066</t>
        </is>
      </c>
      <c r="G4022" s="0" t="inlineStr">
        <is>
          <t>WOMENS</t>
        </is>
      </c>
      <c r="H4022" s="0" t="inlineStr">
        <is>
          <t>3XL</t>
        </is>
      </c>
      <c r="I4022" s="0">
        <v>61.99</v>
      </c>
      <c r="J4022" s="0">
        <v>5</v>
      </c>
    </row>
    <row r="4023" spans="1:10" customHeight="0">
      <c r="A4023" s="0">
        <f>HYPERLINK("https://dl.dropboxusercontent.com/scl/fi/n0bh47qhol9rpkh4x6uk9/109183-f.jpg?rlkey=383a6lra5bobv4ung6jxbdx0f&amp;dl=0","Click to download Image")</f>
      </c>
      <c r="B4023" s="0">
        <f>HYPERLINK("https://dl.dropboxusercontent.com/scl/fi/mucr3prtsfve8pzfiblkv/womens-size-chartslori.jpg?rlkey=lrvsxwk32zh04bvemlwbqpmo7&amp;dl=0","Click to download SizeChart")</f>
      </c>
      <c r="C4023" s="0" t="inlineStr">
        <is>
          <t>Iowa Lori Quilted Vest Premium Black</t>
        </is>
      </c>
      <c r="D4023" s="0" t="inlineStr">
        <is>
          <t>'109183</t>
        </is>
      </c>
      <c r="E4023" s="0" t="inlineStr">
        <is>
          <t>IOWA SILVER:109183A-S</t>
        </is>
      </c>
      <c r="F4023" s="0" t="inlineStr">
        <is>
          <t>'800109183013</t>
        </is>
      </c>
      <c r="G4023" s="0" t="inlineStr">
        <is>
          <t>WOMENS</t>
        </is>
      </c>
      <c r="H4023" s="0" t="inlineStr">
        <is>
          <t>S</t>
        </is>
      </c>
      <c r="I4023" s="0">
        <v>59.99</v>
      </c>
      <c r="J4023" s="0">
        <v>0</v>
      </c>
    </row>
    <row r="4024" spans="1:10" customHeight="0">
      <c r="A4024" s="0">
        <f>HYPERLINK("https://dl.dropboxusercontent.com/scl/fi/n0bh47qhol9rpkh4x6uk9/109183-f.jpg?rlkey=383a6lra5bobv4ung6jxbdx0f&amp;dl=0","Click to download Image")</f>
      </c>
      <c r="B4024" s="0">
        <f>HYPERLINK("https://dl.dropboxusercontent.com/scl/fi/mucr3prtsfve8pzfiblkv/womens-size-chartslori.jpg?rlkey=lrvsxwk32zh04bvemlwbqpmo7&amp;dl=0","Click to download SizeChart")</f>
      </c>
      <c r="C4024" s="0" t="inlineStr">
        <is>
          <t>Iowa Lori Quilted Vest Premium Black</t>
        </is>
      </c>
      <c r="D4024" s="0" t="inlineStr">
        <is>
          <t>'109183</t>
        </is>
      </c>
      <c r="E4024" s="0" t="inlineStr">
        <is>
          <t>IOWA LORI SILVER:109183B-M</t>
        </is>
      </c>
      <c r="F4024" s="0" t="inlineStr">
        <is>
          <t>'800109183020</t>
        </is>
      </c>
      <c r="G4024" s="0" t="inlineStr">
        <is>
          <t>WOMENS</t>
        </is>
      </c>
      <c r="H4024" s="0" t="inlineStr">
        <is>
          <t>M</t>
        </is>
      </c>
      <c r="I4024" s="0">
        <v>59.99</v>
      </c>
      <c r="J4024" s="0">
        <v>11</v>
      </c>
    </row>
    <row r="4025" spans="1:10" customHeight="0">
      <c r="A4025" s="0">
        <f>HYPERLINK("https://dl.dropboxusercontent.com/scl/fi/n0bh47qhol9rpkh4x6uk9/109183-f.jpg?rlkey=383a6lra5bobv4ung6jxbdx0f&amp;dl=0","Click to download Image")</f>
      </c>
      <c r="B4025" s="0">
        <f>HYPERLINK("https://dl.dropboxusercontent.com/scl/fi/mucr3prtsfve8pzfiblkv/womens-size-chartslori.jpg?rlkey=lrvsxwk32zh04bvemlwbqpmo7&amp;dl=0","Click to download SizeChart")</f>
      </c>
      <c r="C4025" s="0" t="inlineStr">
        <is>
          <t>Iowa Lori Quilted Vest Premium Black</t>
        </is>
      </c>
      <c r="D4025" s="0" t="inlineStr">
        <is>
          <t>'109183</t>
        </is>
      </c>
      <c r="E4025" s="0" t="inlineStr">
        <is>
          <t>IOWA LORI SILVER:109183C-L</t>
        </is>
      </c>
      <c r="F4025" s="0" t="inlineStr">
        <is>
          <t>'800109183037</t>
        </is>
      </c>
      <c r="G4025" s="0" t="inlineStr">
        <is>
          <t>WOMENS</t>
        </is>
      </c>
      <c r="H4025" s="0" t="inlineStr">
        <is>
          <t>L</t>
        </is>
      </c>
      <c r="I4025" s="0">
        <v>59.99</v>
      </c>
      <c r="J4025" s="0">
        <v>10</v>
      </c>
    </row>
    <row r="4026" spans="1:10" customHeight="0">
      <c r="A4026" s="0">
        <f>HYPERLINK("https://dl.dropboxusercontent.com/scl/fi/n0bh47qhol9rpkh4x6uk9/109183-f.jpg?rlkey=383a6lra5bobv4ung6jxbdx0f&amp;dl=0","Click to download Image")</f>
      </c>
      <c r="B4026" s="0">
        <f>HYPERLINK("https://dl.dropboxusercontent.com/scl/fi/mucr3prtsfve8pzfiblkv/womens-size-chartslori.jpg?rlkey=lrvsxwk32zh04bvemlwbqpmo7&amp;dl=0","Click to download SizeChart")</f>
      </c>
      <c r="C4026" s="0" t="inlineStr">
        <is>
          <t>Iowa Lori Quilted Vest Premium Black</t>
        </is>
      </c>
      <c r="D4026" s="0" t="inlineStr">
        <is>
          <t>'109183</t>
        </is>
      </c>
      <c r="E4026" s="0" t="inlineStr">
        <is>
          <t>IOWA LORI SILVER:109183D-XL</t>
        </is>
      </c>
      <c r="F4026" s="0" t="inlineStr">
        <is>
          <t>'800109183044</t>
        </is>
      </c>
      <c r="G4026" s="0" t="inlineStr">
        <is>
          <t>WOMENS</t>
        </is>
      </c>
      <c r="H4026" s="0" t="inlineStr">
        <is>
          <t>XL</t>
        </is>
      </c>
      <c r="I4026" s="0">
        <v>59.99</v>
      </c>
      <c r="J4026" s="0">
        <v>5</v>
      </c>
    </row>
    <row r="4027" spans="1:10" customHeight="0">
      <c r="A4027" s="0">
        <f>HYPERLINK("https://dl.dropboxusercontent.com/scl/fi/n0bh47qhol9rpkh4x6uk9/109183-f.jpg?rlkey=383a6lra5bobv4ung6jxbdx0f&amp;dl=0","Click to download Image")</f>
      </c>
      <c r="B4027" s="0">
        <f>HYPERLINK("https://dl.dropboxusercontent.com/scl/fi/mucr3prtsfve8pzfiblkv/womens-size-chartslori.jpg?rlkey=lrvsxwk32zh04bvemlwbqpmo7&amp;dl=0","Click to download SizeChart")</f>
      </c>
      <c r="C4027" s="0" t="inlineStr">
        <is>
          <t>Iowa Lori Quilted Vest Premium Black</t>
        </is>
      </c>
      <c r="D4027" s="0" t="inlineStr">
        <is>
          <t>'109183</t>
        </is>
      </c>
      <c r="E4027" s="0" t="inlineStr">
        <is>
          <t>IOWA LORI SILVER:109183E-2XL</t>
        </is>
      </c>
      <c r="F4027" s="0" t="inlineStr">
        <is>
          <t>'800109183051</t>
        </is>
      </c>
      <c r="G4027" s="0" t="inlineStr">
        <is>
          <t>WOMENS</t>
        </is>
      </c>
      <c r="H4027" s="0" t="inlineStr">
        <is>
          <t>2XL</t>
        </is>
      </c>
      <c r="I4027" s="0">
        <v>61.99</v>
      </c>
      <c r="J4027" s="0">
        <v>0</v>
      </c>
    </row>
    <row r="4028" spans="1:10" customHeight="0">
      <c r="A4028" s="0">
        <f>HYPERLINK("https://dl.dropboxusercontent.com/scl/fi/n0bh47qhol9rpkh4x6uk9/109183-f.jpg?rlkey=383a6lra5bobv4ung6jxbdx0f&amp;dl=0","Click to download Image")</f>
      </c>
      <c r="B4028" s="0">
        <f>HYPERLINK("https://dl.dropboxusercontent.com/scl/fi/mucr3prtsfve8pzfiblkv/womens-size-chartslori.jpg?rlkey=lrvsxwk32zh04bvemlwbqpmo7&amp;dl=0","Click to download SizeChart")</f>
      </c>
      <c r="C4028" s="0" t="inlineStr">
        <is>
          <t>Iowa Lori Quilted Vest Premium Black</t>
        </is>
      </c>
      <c r="D4028" s="0" t="inlineStr">
        <is>
          <t>'109183</t>
        </is>
      </c>
      <c r="E4028" s="0" t="inlineStr">
        <is>
          <t>IOWA LORI SILVER:109183F-3XL</t>
        </is>
      </c>
      <c r="F4028" s="0" t="inlineStr">
        <is>
          <t>'800109183068</t>
        </is>
      </c>
      <c r="G4028" s="0" t="inlineStr">
        <is>
          <t>WOMENS</t>
        </is>
      </c>
      <c r="H4028" s="0" t="inlineStr">
        <is>
          <t>3XL</t>
        </is>
      </c>
      <c r="I4028" s="0">
        <v>61.99</v>
      </c>
      <c r="J4028" s="0">
        <v>2</v>
      </c>
    </row>
    <row r="4029" spans="1:10" customHeight="0">
      <c r="A4029" s="0">
        <f>HYPERLINK("https://dl.dropboxusercontent.com/scl/fi/mx5aaxl1ew9c28yzdde4r/109184-f.jpg?rlkey=wappbzbec64mg33ifgym2ql52&amp;dl=0","Click to download Image")</f>
      </c>
      <c r="B4029" s="0">
        <f>HYPERLINK("https://dl.dropboxusercontent.com/scl/fi/mucr3prtsfve8pzfiblkv/womens-size-chartslori.jpg?rlkey=lrvsxwk32zh04bvemlwbqpmo7&amp;dl=0","Click to download SizeChart")</f>
      </c>
      <c r="C4029" s="0" t="inlineStr">
        <is>
          <t>Iowa Lori Quilted Vest Premium Black</t>
        </is>
      </c>
      <c r="D4029" s="0" t="inlineStr">
        <is>
          <t>'109184</t>
        </is>
      </c>
      <c r="E4029" s="0" t="inlineStr">
        <is>
          <t>ISU LORI SILVER:109184A-S</t>
        </is>
      </c>
      <c r="F4029" s="0" t="inlineStr">
        <is>
          <t>'800109184010</t>
        </is>
      </c>
      <c r="G4029" s="0" t="inlineStr">
        <is>
          <t>WOMENS</t>
        </is>
      </c>
      <c r="H4029" s="0" t="inlineStr">
        <is>
          <t>S</t>
        </is>
      </c>
      <c r="I4029" s="0">
        <v>59.99</v>
      </c>
      <c r="J4029" s="0">
        <v>2</v>
      </c>
    </row>
    <row r="4030" spans="1:10" customHeight="0">
      <c r="A4030" s="0">
        <f>HYPERLINK("https://dl.dropboxusercontent.com/scl/fi/mx5aaxl1ew9c28yzdde4r/109184-f.jpg?rlkey=wappbzbec64mg33ifgym2ql52&amp;dl=0","Click to download Image")</f>
      </c>
      <c r="B4030" s="0">
        <f>HYPERLINK("https://dl.dropboxusercontent.com/scl/fi/mucr3prtsfve8pzfiblkv/womens-size-chartslori.jpg?rlkey=lrvsxwk32zh04bvemlwbqpmo7&amp;dl=0","Click to download SizeChart")</f>
      </c>
      <c r="C4030" s="0" t="inlineStr">
        <is>
          <t>Iowa Lori Quilted Vest Premium Black</t>
        </is>
      </c>
      <c r="D4030" s="0" t="inlineStr">
        <is>
          <t>'109184</t>
        </is>
      </c>
      <c r="E4030" s="0" t="inlineStr">
        <is>
          <t>ISU LORI SILVER:109184B-M</t>
        </is>
      </c>
      <c r="F4030" s="0" t="inlineStr">
        <is>
          <t>'800109184027</t>
        </is>
      </c>
      <c r="G4030" s="0" t="inlineStr">
        <is>
          <t>WOMENS</t>
        </is>
      </c>
      <c r="H4030" s="0" t="inlineStr">
        <is>
          <t>M</t>
        </is>
      </c>
      <c r="I4030" s="0">
        <v>59.99</v>
      </c>
      <c r="J4030" s="0">
        <v>3</v>
      </c>
    </row>
    <row r="4031" spans="1:10" customHeight="0">
      <c r="A4031" s="0">
        <f>HYPERLINK("https://dl.dropboxusercontent.com/scl/fi/mx5aaxl1ew9c28yzdde4r/109184-f.jpg?rlkey=wappbzbec64mg33ifgym2ql52&amp;dl=0","Click to download Image")</f>
      </c>
      <c r="B4031" s="0">
        <f>HYPERLINK("https://dl.dropboxusercontent.com/scl/fi/mucr3prtsfve8pzfiblkv/womens-size-chartslori.jpg?rlkey=lrvsxwk32zh04bvemlwbqpmo7&amp;dl=0","Click to download SizeChart")</f>
      </c>
      <c r="C4031" s="0" t="inlineStr">
        <is>
          <t>Iowa Lori Quilted Vest Premium Black</t>
        </is>
      </c>
      <c r="D4031" s="0" t="inlineStr">
        <is>
          <t>'109184</t>
        </is>
      </c>
      <c r="E4031" s="0" t="inlineStr">
        <is>
          <t>ISU LORI SILVER:109184C-L</t>
        </is>
      </c>
      <c r="F4031" s="0" t="inlineStr">
        <is>
          <t>'800109184034</t>
        </is>
      </c>
      <c r="G4031" s="0" t="inlineStr">
        <is>
          <t>WOMENS</t>
        </is>
      </c>
      <c r="H4031" s="0" t="inlineStr">
        <is>
          <t>L</t>
        </is>
      </c>
      <c r="I4031" s="0">
        <v>59.99</v>
      </c>
      <c r="J4031" s="0">
        <v>3</v>
      </c>
    </row>
    <row r="4032" spans="1:10" customHeight="0">
      <c r="A4032" s="0">
        <f>HYPERLINK("https://dl.dropboxusercontent.com/scl/fi/mx5aaxl1ew9c28yzdde4r/109184-f.jpg?rlkey=wappbzbec64mg33ifgym2ql52&amp;dl=0","Click to download Image")</f>
      </c>
      <c r="B4032" s="0">
        <f>HYPERLINK("https://dl.dropboxusercontent.com/scl/fi/mucr3prtsfve8pzfiblkv/womens-size-chartslori.jpg?rlkey=lrvsxwk32zh04bvemlwbqpmo7&amp;dl=0","Click to download SizeChart")</f>
      </c>
      <c r="C4032" s="0" t="inlineStr">
        <is>
          <t>Iowa Lori Quilted Vest Premium Black</t>
        </is>
      </c>
      <c r="D4032" s="0" t="inlineStr">
        <is>
          <t>'109184</t>
        </is>
      </c>
      <c r="E4032" s="0" t="inlineStr">
        <is>
          <t>ISU LORI SILVER:109184D-XL</t>
        </is>
      </c>
      <c r="F4032" s="0" t="inlineStr">
        <is>
          <t>'800109184041</t>
        </is>
      </c>
      <c r="G4032" s="0" t="inlineStr">
        <is>
          <t>WOMENS</t>
        </is>
      </c>
      <c r="H4032" s="0" t="inlineStr">
        <is>
          <t>XL</t>
        </is>
      </c>
      <c r="I4032" s="0">
        <v>59.99</v>
      </c>
      <c r="J4032" s="0">
        <v>2</v>
      </c>
    </row>
    <row r="4033" spans="1:10" customHeight="0">
      <c r="A4033" s="0">
        <f>HYPERLINK("https://dl.dropboxusercontent.com/scl/fi/mx5aaxl1ew9c28yzdde4r/109184-f.jpg?rlkey=wappbzbec64mg33ifgym2ql52&amp;dl=0","Click to download Image")</f>
      </c>
      <c r="B4033" s="0">
        <f>HYPERLINK("https://dl.dropboxusercontent.com/scl/fi/mucr3prtsfve8pzfiblkv/womens-size-chartslori.jpg?rlkey=lrvsxwk32zh04bvemlwbqpmo7&amp;dl=0","Click to download SizeChart")</f>
      </c>
      <c r="C4033" s="0" t="inlineStr">
        <is>
          <t>Iowa Lori Quilted Vest Premium Black</t>
        </is>
      </c>
      <c r="D4033" s="0" t="inlineStr">
        <is>
          <t>'109184</t>
        </is>
      </c>
      <c r="E4033" s="0" t="inlineStr">
        <is>
          <t>ISU LORI SILVER:109184E-2XL</t>
        </is>
      </c>
      <c r="F4033" s="0" t="inlineStr">
        <is>
          <t>'800109184058</t>
        </is>
      </c>
      <c r="G4033" s="0" t="inlineStr">
        <is>
          <t>WOMENS</t>
        </is>
      </c>
      <c r="H4033" s="0" t="inlineStr">
        <is>
          <t>2XL</t>
        </is>
      </c>
      <c r="I4033" s="0">
        <v>61.99</v>
      </c>
      <c r="J4033" s="0">
        <v>1</v>
      </c>
    </row>
    <row r="4034" spans="1:10" customHeight="0">
      <c r="A4034" s="0">
        <f>HYPERLINK("https://dl.dropboxusercontent.com/scl/fi/mx5aaxl1ew9c28yzdde4r/109184-f.jpg?rlkey=wappbzbec64mg33ifgym2ql52&amp;dl=0","Click to download Image")</f>
      </c>
      <c r="B4034" s="0">
        <f>HYPERLINK("https://dl.dropboxusercontent.com/scl/fi/mucr3prtsfve8pzfiblkv/womens-size-chartslori.jpg?rlkey=lrvsxwk32zh04bvemlwbqpmo7&amp;dl=0","Click to download SizeChart")</f>
      </c>
      <c r="C4034" s="0" t="inlineStr">
        <is>
          <t>Iowa Lori Quilted Vest Premium Black</t>
        </is>
      </c>
      <c r="D4034" s="0" t="inlineStr">
        <is>
          <t>'109184</t>
        </is>
      </c>
      <c r="E4034" s="0" t="inlineStr">
        <is>
          <t>ISU LORI SILVER:109184F-3XL</t>
        </is>
      </c>
      <c r="F4034" s="0" t="inlineStr">
        <is>
          <t>'800109184065</t>
        </is>
      </c>
      <c r="G4034" s="0" t="inlineStr">
        <is>
          <t>WOMENS</t>
        </is>
      </c>
      <c r="H4034" s="0" t="inlineStr">
        <is>
          <t>3XL</t>
        </is>
      </c>
      <c r="I4034" s="0">
        <v>61.99</v>
      </c>
      <c r="J4034" s="0">
        <v>1</v>
      </c>
    </row>
    <row r="4035" spans="1:10" customHeight="0">
      <c r="A4035" s="0">
        <f>HYPERLINK("https://dl.dropboxusercontent.com/scl/fi/0n1esm9gz1tnokc3t07wt/108918-f.jpg?rlkey=c0a8001a3jngpmnxs70lx08py&amp;dl=0","Click to download Image")</f>
      </c>
      <c r="B4035" s="0">
        <f>HYPERLINK("https://dl.dropboxusercontent.com/scl/fi/mucr3prtsfve8pzfiblkv/womens-size-chartslori.jpg?rlkey=lrvsxwk32zh04bvemlwbqpmo7&amp;dl=0","Click to download SizeChart")</f>
      </c>
      <c r="C4035" s="0" t="inlineStr">
        <is>
          <t>Iowa Lori Quilted Vest Premium Black</t>
        </is>
      </c>
      <c r="D4035" s="0" t="inlineStr">
        <is>
          <t>'108918</t>
        </is>
      </c>
      <c r="E4035" s="0" t="inlineStr">
        <is>
          <t>UNI LORI:108918A-S</t>
        </is>
      </c>
      <c r="F4035" s="0" t="inlineStr">
        <is>
          <t>'800108918012</t>
        </is>
      </c>
      <c r="G4035" s="0" t="inlineStr">
        <is>
          <t>WOMENS</t>
        </is>
      </c>
      <c r="H4035" s="0" t="inlineStr">
        <is>
          <t>S</t>
        </is>
      </c>
      <c r="I4035" s="0">
        <v>59.99</v>
      </c>
      <c r="J4035" s="0">
        <v>3</v>
      </c>
    </row>
    <row r="4036" spans="1:10" customHeight="0">
      <c r="A4036" s="0">
        <f>HYPERLINK("https://dl.dropboxusercontent.com/scl/fi/0n1esm9gz1tnokc3t07wt/108918-f.jpg?rlkey=c0a8001a3jngpmnxs70lx08py&amp;dl=0","Click to download Image")</f>
      </c>
      <c r="B4036" s="0">
        <f>HYPERLINK("https://dl.dropboxusercontent.com/scl/fi/mucr3prtsfve8pzfiblkv/womens-size-chartslori.jpg?rlkey=lrvsxwk32zh04bvemlwbqpmo7&amp;dl=0","Click to download SizeChart")</f>
      </c>
      <c r="C4036" s="0" t="inlineStr">
        <is>
          <t>Iowa Lori Quilted Vest Premium Black</t>
        </is>
      </c>
      <c r="D4036" s="0" t="inlineStr">
        <is>
          <t>'108918</t>
        </is>
      </c>
      <c r="E4036" s="0" t="inlineStr">
        <is>
          <t>UNI LORI:108918B-M</t>
        </is>
      </c>
      <c r="F4036" s="0" t="inlineStr">
        <is>
          <t>'800108918029</t>
        </is>
      </c>
      <c r="G4036" s="0" t="inlineStr">
        <is>
          <t>WOMENS</t>
        </is>
      </c>
      <c r="H4036" s="0" t="inlineStr">
        <is>
          <t>M</t>
        </is>
      </c>
      <c r="I4036" s="0">
        <v>59.99</v>
      </c>
      <c r="J4036" s="0">
        <v>6</v>
      </c>
    </row>
    <row r="4037" spans="1:10" customHeight="0">
      <c r="A4037" s="0">
        <f>HYPERLINK("https://dl.dropboxusercontent.com/scl/fi/0n1esm9gz1tnokc3t07wt/108918-f.jpg?rlkey=c0a8001a3jngpmnxs70lx08py&amp;dl=0","Click to download Image")</f>
      </c>
      <c r="B4037" s="0">
        <f>HYPERLINK("https://dl.dropboxusercontent.com/scl/fi/mucr3prtsfve8pzfiblkv/womens-size-chartslori.jpg?rlkey=lrvsxwk32zh04bvemlwbqpmo7&amp;dl=0","Click to download SizeChart")</f>
      </c>
      <c r="C4037" s="0" t="inlineStr">
        <is>
          <t>Iowa Lori Quilted Vest Premium Black</t>
        </is>
      </c>
      <c r="D4037" s="0" t="inlineStr">
        <is>
          <t>'108918</t>
        </is>
      </c>
      <c r="E4037" s="0" t="inlineStr">
        <is>
          <t>UNI LORI:108918C-L</t>
        </is>
      </c>
      <c r="F4037" s="0" t="inlineStr">
        <is>
          <t>'800108918036</t>
        </is>
      </c>
      <c r="G4037" s="0" t="inlineStr">
        <is>
          <t>WOMENS</t>
        </is>
      </c>
      <c r="H4037" s="0" t="inlineStr">
        <is>
          <t>L</t>
        </is>
      </c>
      <c r="I4037" s="0">
        <v>59.99</v>
      </c>
      <c r="J4037" s="0">
        <v>5</v>
      </c>
    </row>
    <row r="4038" spans="1:10" customHeight="0">
      <c r="A4038" s="0">
        <f>HYPERLINK("https://dl.dropboxusercontent.com/scl/fi/0n1esm9gz1tnokc3t07wt/108918-f.jpg?rlkey=c0a8001a3jngpmnxs70lx08py&amp;dl=0","Click to download Image")</f>
      </c>
      <c r="B4038" s="0">
        <f>HYPERLINK("https://dl.dropboxusercontent.com/scl/fi/mucr3prtsfve8pzfiblkv/womens-size-chartslori.jpg?rlkey=lrvsxwk32zh04bvemlwbqpmo7&amp;dl=0","Click to download SizeChart")</f>
      </c>
      <c r="C4038" s="0" t="inlineStr">
        <is>
          <t>Iowa Lori Quilted Vest Premium Black</t>
        </is>
      </c>
      <c r="D4038" s="0" t="inlineStr">
        <is>
          <t>'108918</t>
        </is>
      </c>
      <c r="E4038" s="0" t="inlineStr">
        <is>
          <t>UNI LORI:108918D-XL</t>
        </is>
      </c>
      <c r="F4038" s="0" t="inlineStr">
        <is>
          <t>'800108918043</t>
        </is>
      </c>
      <c r="G4038" s="0" t="inlineStr">
        <is>
          <t>WOMENS</t>
        </is>
      </c>
      <c r="H4038" s="0" t="inlineStr">
        <is>
          <t>XL</t>
        </is>
      </c>
      <c r="I4038" s="0">
        <v>59.99</v>
      </c>
      <c r="J4038" s="0">
        <v>2</v>
      </c>
    </row>
    <row r="4039" spans="1:10" customHeight="0">
      <c r="A4039" s="0">
        <f>HYPERLINK("https://dl.dropboxusercontent.com/scl/fi/0n1esm9gz1tnokc3t07wt/108918-f.jpg?rlkey=c0a8001a3jngpmnxs70lx08py&amp;dl=0","Click to download Image")</f>
      </c>
      <c r="B4039" s="0">
        <f>HYPERLINK("https://dl.dropboxusercontent.com/scl/fi/mucr3prtsfve8pzfiblkv/womens-size-chartslori.jpg?rlkey=lrvsxwk32zh04bvemlwbqpmo7&amp;dl=0","Click to download SizeChart")</f>
      </c>
      <c r="C4039" s="0" t="inlineStr">
        <is>
          <t>Iowa Lori Quilted Vest Premium Black</t>
        </is>
      </c>
      <c r="D4039" s="0" t="inlineStr">
        <is>
          <t>'108918</t>
        </is>
      </c>
      <c r="E4039" s="0" t="inlineStr">
        <is>
          <t>UNI LORI:108918E-2XL</t>
        </is>
      </c>
      <c r="F4039" s="0" t="inlineStr">
        <is>
          <t>'800108918050</t>
        </is>
      </c>
      <c r="G4039" s="0" t="inlineStr">
        <is>
          <t>WOMENS</t>
        </is>
      </c>
      <c r="H4039" s="0" t="inlineStr">
        <is>
          <t>2XL</t>
        </is>
      </c>
      <c r="I4039" s="0">
        <v>61.99</v>
      </c>
      <c r="J4039" s="0">
        <v>1</v>
      </c>
    </row>
    <row r="4040" spans="1:10" customHeight="0">
      <c r="A4040" s="0">
        <f>HYPERLINK("https://dl.dropboxusercontent.com/scl/fi/0n1esm9gz1tnokc3t07wt/108918-f.jpg?rlkey=c0a8001a3jngpmnxs70lx08py&amp;dl=0","Click to download Image")</f>
      </c>
      <c r="B4040" s="0">
        <f>HYPERLINK("https://dl.dropboxusercontent.com/scl/fi/mucr3prtsfve8pzfiblkv/womens-size-chartslori.jpg?rlkey=lrvsxwk32zh04bvemlwbqpmo7&amp;dl=0","Click to download SizeChart")</f>
      </c>
      <c r="C4040" s="0" t="inlineStr">
        <is>
          <t>Iowa Lori Quilted Vest Premium Black</t>
        </is>
      </c>
      <c r="D4040" s="0" t="inlineStr">
        <is>
          <t>'108918</t>
        </is>
      </c>
      <c r="E4040" s="0" t="inlineStr">
        <is>
          <t>UNI LORI:108918F-3XL</t>
        </is>
      </c>
      <c r="F4040" s="0" t="inlineStr">
        <is>
          <t>'800108918067</t>
        </is>
      </c>
      <c r="G4040" s="0" t="inlineStr">
        <is>
          <t>WOMENS</t>
        </is>
      </c>
      <c r="H4040" s="0" t="inlineStr">
        <is>
          <t>3XL</t>
        </is>
      </c>
      <c r="I4040" s="0">
        <v>61.99</v>
      </c>
      <c r="J4040" s="0">
        <v>1</v>
      </c>
    </row>
    <row r="4041" spans="1:10" customHeight="0">
      <c r="A4041" s="0">
        <f>HYPERLINK("https://dl.dropboxusercontent.com/scl/fi/iaho20c95supo92bd9k0v/108919-f.jpg?rlkey=tj8irz2pt8fgveqniuqmtnea5&amp;dl=0","Click to download Image")</f>
      </c>
      <c r="B4041" s="0">
        <f>HYPERLINK("https://dl.dropboxusercontent.com/scl/fi/mucr3prtsfve8pzfiblkv/womens-size-chartslori.jpg?rlkey=lrvsxwk32zh04bvemlwbqpmo7&amp;dl=0","Click to download SizeChart")</f>
      </c>
      <c r="C4041" s="0" t="inlineStr">
        <is>
          <t>Iowa Lori Quilted Vest Premium Black</t>
        </is>
      </c>
      <c r="D4041" s="0" t="inlineStr">
        <is>
          <t>'108919</t>
        </is>
      </c>
      <c r="E4041" s="0" t="inlineStr">
        <is>
          <t>MU LORI:108919A-S</t>
        </is>
      </c>
      <c r="F4041" s="0" t="inlineStr">
        <is>
          <t>'800108919019</t>
        </is>
      </c>
      <c r="G4041" s="0" t="inlineStr">
        <is>
          <t>WOMENS</t>
        </is>
      </c>
      <c r="H4041" s="0" t="inlineStr">
        <is>
          <t>S</t>
        </is>
      </c>
      <c r="I4041" s="0">
        <v>59.99</v>
      </c>
      <c r="J4041" s="0">
        <v>11</v>
      </c>
    </row>
    <row r="4042" spans="1:10" customHeight="0">
      <c r="A4042" s="0">
        <f>HYPERLINK("https://dl.dropboxusercontent.com/scl/fi/iaho20c95supo92bd9k0v/108919-f.jpg?rlkey=tj8irz2pt8fgveqniuqmtnea5&amp;dl=0","Click to download Image")</f>
      </c>
      <c r="B4042" s="0">
        <f>HYPERLINK("https://dl.dropboxusercontent.com/scl/fi/mucr3prtsfve8pzfiblkv/womens-size-chartslori.jpg?rlkey=lrvsxwk32zh04bvemlwbqpmo7&amp;dl=0","Click to download SizeChart")</f>
      </c>
      <c r="C4042" s="0" t="inlineStr">
        <is>
          <t>Iowa Lori Quilted Vest Premium Black</t>
        </is>
      </c>
      <c r="D4042" s="0" t="inlineStr">
        <is>
          <t>'108919</t>
        </is>
      </c>
      <c r="E4042" s="0" t="inlineStr">
        <is>
          <t>MU LORI:108919B-M</t>
        </is>
      </c>
      <c r="F4042" s="0" t="inlineStr">
        <is>
          <t>'800108919026</t>
        </is>
      </c>
      <c r="G4042" s="0" t="inlineStr">
        <is>
          <t>WOMENS</t>
        </is>
      </c>
      <c r="H4042" s="0" t="inlineStr">
        <is>
          <t>M</t>
        </is>
      </c>
      <c r="I4042" s="0">
        <v>59.99</v>
      </c>
      <c r="J4042" s="0">
        <v>23</v>
      </c>
    </row>
    <row r="4043" spans="1:10" customHeight="0">
      <c r="A4043" s="0">
        <f>HYPERLINK("https://dl.dropboxusercontent.com/scl/fi/iaho20c95supo92bd9k0v/108919-f.jpg?rlkey=tj8irz2pt8fgveqniuqmtnea5&amp;dl=0","Click to download Image")</f>
      </c>
      <c r="B4043" s="0">
        <f>HYPERLINK("https://dl.dropboxusercontent.com/scl/fi/mucr3prtsfve8pzfiblkv/womens-size-chartslori.jpg?rlkey=lrvsxwk32zh04bvemlwbqpmo7&amp;dl=0","Click to download SizeChart")</f>
      </c>
      <c r="C4043" s="0" t="inlineStr">
        <is>
          <t>Iowa Lori Quilted Vest Premium Black</t>
        </is>
      </c>
      <c r="D4043" s="0" t="inlineStr">
        <is>
          <t>'108919</t>
        </is>
      </c>
      <c r="E4043" s="0" t="inlineStr">
        <is>
          <t>MU LORI:108919C-L</t>
        </is>
      </c>
      <c r="F4043" s="0" t="inlineStr">
        <is>
          <t>'800108919033</t>
        </is>
      </c>
      <c r="G4043" s="0" t="inlineStr">
        <is>
          <t>WOMENS</t>
        </is>
      </c>
      <c r="H4043" s="0" t="inlineStr">
        <is>
          <t>L</t>
        </is>
      </c>
      <c r="I4043" s="0">
        <v>59.99</v>
      </c>
      <c r="J4043" s="0">
        <v>24</v>
      </c>
    </row>
    <row r="4044" spans="1:10" customHeight="0">
      <c r="A4044" s="0">
        <f>HYPERLINK("https://dl.dropboxusercontent.com/scl/fi/iaho20c95supo92bd9k0v/108919-f.jpg?rlkey=tj8irz2pt8fgveqniuqmtnea5&amp;dl=0","Click to download Image")</f>
      </c>
      <c r="B4044" s="0">
        <f>HYPERLINK("https://dl.dropboxusercontent.com/scl/fi/mucr3prtsfve8pzfiblkv/womens-size-chartslori.jpg?rlkey=lrvsxwk32zh04bvemlwbqpmo7&amp;dl=0","Click to download SizeChart")</f>
      </c>
      <c r="C4044" s="0" t="inlineStr">
        <is>
          <t>Iowa Lori Quilted Vest Premium Black</t>
        </is>
      </c>
      <c r="D4044" s="0" t="inlineStr">
        <is>
          <t>'108919</t>
        </is>
      </c>
      <c r="E4044" s="0" t="inlineStr">
        <is>
          <t>MU LORI:108919D-XL</t>
        </is>
      </c>
      <c r="F4044" s="0" t="inlineStr">
        <is>
          <t>'800108919040</t>
        </is>
      </c>
      <c r="G4044" s="0" t="inlineStr">
        <is>
          <t>WOMENS</t>
        </is>
      </c>
      <c r="H4044" s="0" t="inlineStr">
        <is>
          <t>XL</t>
        </is>
      </c>
      <c r="I4044" s="0">
        <v>59.99</v>
      </c>
      <c r="J4044" s="0">
        <v>12</v>
      </c>
    </row>
    <row r="4045" spans="1:10" customHeight="0">
      <c r="A4045" s="0">
        <f>HYPERLINK("https://dl.dropboxusercontent.com/scl/fi/iaho20c95supo92bd9k0v/108919-f.jpg?rlkey=tj8irz2pt8fgveqniuqmtnea5&amp;dl=0","Click to download Image")</f>
      </c>
      <c r="B4045" s="0">
        <f>HYPERLINK("https://dl.dropboxusercontent.com/scl/fi/mucr3prtsfve8pzfiblkv/womens-size-chartslori.jpg?rlkey=lrvsxwk32zh04bvemlwbqpmo7&amp;dl=0","Click to download SizeChart")</f>
      </c>
      <c r="C4045" s="0" t="inlineStr">
        <is>
          <t>Iowa Lori Quilted Vest Premium Black</t>
        </is>
      </c>
      <c r="D4045" s="0" t="inlineStr">
        <is>
          <t>'108919</t>
        </is>
      </c>
      <c r="E4045" s="0" t="inlineStr">
        <is>
          <t>MU LORI:108919E-2XL</t>
        </is>
      </c>
      <c r="F4045" s="0" t="inlineStr">
        <is>
          <t>'800108919057</t>
        </is>
      </c>
      <c r="G4045" s="0" t="inlineStr">
        <is>
          <t>WOMENS</t>
        </is>
      </c>
      <c r="H4045" s="0" t="inlineStr">
        <is>
          <t>2XL</t>
        </is>
      </c>
      <c r="I4045" s="0">
        <v>61.99</v>
      </c>
      <c r="J4045" s="0">
        <v>4</v>
      </c>
    </row>
    <row r="4046" spans="1:10" customHeight="0">
      <c r="A4046" s="0">
        <f>HYPERLINK("https://dl.dropboxusercontent.com/scl/fi/iaho20c95supo92bd9k0v/108919-f.jpg?rlkey=tj8irz2pt8fgveqniuqmtnea5&amp;dl=0","Click to download Image")</f>
      </c>
      <c r="B4046" s="0">
        <f>HYPERLINK("https://dl.dropboxusercontent.com/scl/fi/mucr3prtsfve8pzfiblkv/womens-size-chartslori.jpg?rlkey=lrvsxwk32zh04bvemlwbqpmo7&amp;dl=0","Click to download SizeChart")</f>
      </c>
      <c r="C4046" s="0" t="inlineStr">
        <is>
          <t>Iowa Lori Quilted Vest Premium Black</t>
        </is>
      </c>
      <c r="D4046" s="0" t="inlineStr">
        <is>
          <t>'108919</t>
        </is>
      </c>
      <c r="E4046" s="0" t="inlineStr">
        <is>
          <t>MU LORI:108919F-3XL</t>
        </is>
      </c>
      <c r="F4046" s="0" t="inlineStr">
        <is>
          <t>'800108919064</t>
        </is>
      </c>
      <c r="G4046" s="0" t="inlineStr">
        <is>
          <t>WOMENS</t>
        </is>
      </c>
      <c r="H4046" s="0" t="inlineStr">
        <is>
          <t>3XL</t>
        </is>
      </c>
      <c r="I4046" s="0">
        <v>61.99</v>
      </c>
      <c r="J4046" s="0">
        <v>4</v>
      </c>
    </row>
    <row r="4047" spans="1:10" customHeight="0">
      <c r="A4047" s="0">
        <f>HYPERLINK("https://dl.dropboxusercontent.com/scl/fi/sahvzn182u55ulh9ewos1/108923-af.jpg?rlkey=41zi70bpf9gse81ybeti9aor8&amp;dl=0","Click to download Image")</f>
      </c>
      <c r="B4047" s="0">
        <f>HYPERLINK("https://dl.dropboxusercontent.com/scl/fi/mucr3prtsfve8pzfiblkv/womens-size-chartslori.jpg?rlkey=lrvsxwk32zh04bvemlwbqpmo7&amp;dl=0","Click to download SizeChart")</f>
      </c>
      <c r="C4047" s="0" t="inlineStr">
        <is>
          <t>Iowa Lori Quilted Vest Premium Black</t>
        </is>
      </c>
      <c r="D4047" s="0" t="inlineStr">
        <is>
          <t>'108923</t>
        </is>
      </c>
      <c r="E4047" s="0" t="inlineStr">
        <is>
          <t>PURDUE LORI:108923A-S</t>
        </is>
      </c>
      <c r="F4047" s="0" t="inlineStr">
        <is>
          <t>'800108923016</t>
        </is>
      </c>
      <c r="G4047" s="0" t="inlineStr">
        <is>
          <t>WOMENS</t>
        </is>
      </c>
      <c r="H4047" s="0" t="inlineStr">
        <is>
          <t>S</t>
        </is>
      </c>
      <c r="I4047" s="0">
        <v>59.99</v>
      </c>
      <c r="J4047" s="0">
        <v>10</v>
      </c>
    </row>
    <row r="4048" spans="1:10" customHeight="0">
      <c r="A4048" s="0">
        <f>HYPERLINK("https://dl.dropboxusercontent.com/scl/fi/sahvzn182u55ulh9ewos1/108923-af.jpg?rlkey=41zi70bpf9gse81ybeti9aor8&amp;dl=0","Click to download Image")</f>
      </c>
      <c r="B4048" s="0">
        <f>HYPERLINK("https://dl.dropboxusercontent.com/scl/fi/mucr3prtsfve8pzfiblkv/womens-size-chartslori.jpg?rlkey=lrvsxwk32zh04bvemlwbqpmo7&amp;dl=0","Click to download SizeChart")</f>
      </c>
      <c r="C4048" s="0" t="inlineStr">
        <is>
          <t>Iowa Lori Quilted Vest Premium Black</t>
        </is>
      </c>
      <c r="D4048" s="0" t="inlineStr">
        <is>
          <t>'108923</t>
        </is>
      </c>
      <c r="E4048" s="0" t="inlineStr">
        <is>
          <t>PURDUE LORI:108923B-M</t>
        </is>
      </c>
      <c r="F4048" s="0" t="inlineStr">
        <is>
          <t>'800108923023</t>
        </is>
      </c>
      <c r="G4048" s="0" t="inlineStr">
        <is>
          <t>WOMENS</t>
        </is>
      </c>
      <c r="H4048" s="0" t="inlineStr">
        <is>
          <t>M</t>
        </is>
      </c>
      <c r="I4048" s="0">
        <v>59.99</v>
      </c>
      <c r="J4048" s="0">
        <v>23</v>
      </c>
    </row>
    <row r="4049" spans="1:10" customHeight="0">
      <c r="A4049" s="0">
        <f>HYPERLINK("https://dl.dropboxusercontent.com/scl/fi/sahvzn182u55ulh9ewos1/108923-af.jpg?rlkey=41zi70bpf9gse81ybeti9aor8&amp;dl=0","Click to download Image")</f>
      </c>
      <c r="B4049" s="0">
        <f>HYPERLINK("https://dl.dropboxusercontent.com/scl/fi/mucr3prtsfve8pzfiblkv/womens-size-chartslori.jpg?rlkey=lrvsxwk32zh04bvemlwbqpmo7&amp;dl=0","Click to download SizeChart")</f>
      </c>
      <c r="C4049" s="0" t="inlineStr">
        <is>
          <t>Iowa Lori Quilted Vest Premium Black</t>
        </is>
      </c>
      <c r="D4049" s="0" t="inlineStr">
        <is>
          <t>'108923</t>
        </is>
      </c>
      <c r="E4049" s="0" t="inlineStr">
        <is>
          <t>PURDUE LORI:108923C-L</t>
        </is>
      </c>
      <c r="F4049" s="0" t="inlineStr">
        <is>
          <t>'800108923030</t>
        </is>
      </c>
      <c r="G4049" s="0" t="inlineStr">
        <is>
          <t>WOMENS</t>
        </is>
      </c>
      <c r="H4049" s="0" t="inlineStr">
        <is>
          <t>L</t>
        </is>
      </c>
      <c r="I4049" s="0">
        <v>59.99</v>
      </c>
      <c r="J4049" s="0">
        <v>23</v>
      </c>
    </row>
    <row r="4050" spans="1:10" customHeight="0">
      <c r="A4050" s="0">
        <f>HYPERLINK("https://dl.dropboxusercontent.com/scl/fi/sahvzn182u55ulh9ewos1/108923-af.jpg?rlkey=41zi70bpf9gse81ybeti9aor8&amp;dl=0","Click to download Image")</f>
      </c>
      <c r="B4050" s="0">
        <f>HYPERLINK("https://dl.dropboxusercontent.com/scl/fi/mucr3prtsfve8pzfiblkv/womens-size-chartslori.jpg?rlkey=lrvsxwk32zh04bvemlwbqpmo7&amp;dl=0","Click to download SizeChart")</f>
      </c>
      <c r="C4050" s="0" t="inlineStr">
        <is>
          <t>Iowa Lori Quilted Vest Premium Black</t>
        </is>
      </c>
      <c r="D4050" s="0" t="inlineStr">
        <is>
          <t>'108923</t>
        </is>
      </c>
      <c r="E4050" s="0" t="inlineStr">
        <is>
          <t>PURDUE LORI:108923D-XL</t>
        </is>
      </c>
      <c r="F4050" s="0" t="inlineStr">
        <is>
          <t>'800108923047</t>
        </is>
      </c>
      <c r="G4050" s="0" t="inlineStr">
        <is>
          <t>WOMENS</t>
        </is>
      </c>
      <c r="H4050" s="0" t="inlineStr">
        <is>
          <t>XL</t>
        </is>
      </c>
      <c r="I4050" s="0">
        <v>59.99</v>
      </c>
      <c r="J4050" s="0">
        <v>12</v>
      </c>
    </row>
    <row r="4051" spans="1:10" customHeight="0">
      <c r="A4051" s="0">
        <f>HYPERLINK("https://dl.dropboxusercontent.com/scl/fi/sahvzn182u55ulh9ewos1/108923-af.jpg?rlkey=41zi70bpf9gse81ybeti9aor8&amp;dl=0","Click to download Image")</f>
      </c>
      <c r="B4051" s="0">
        <f>HYPERLINK("https://dl.dropboxusercontent.com/scl/fi/mucr3prtsfve8pzfiblkv/womens-size-chartslori.jpg?rlkey=lrvsxwk32zh04bvemlwbqpmo7&amp;dl=0","Click to download SizeChart")</f>
      </c>
      <c r="C4051" s="0" t="inlineStr">
        <is>
          <t>Iowa Lori Quilted Vest Premium Black</t>
        </is>
      </c>
      <c r="D4051" s="0" t="inlineStr">
        <is>
          <t>'108923</t>
        </is>
      </c>
      <c r="E4051" s="0" t="inlineStr">
        <is>
          <t>PURDUE LORI:108923E-2XL</t>
        </is>
      </c>
      <c r="F4051" s="0" t="inlineStr">
        <is>
          <t>'800108923054</t>
        </is>
      </c>
      <c r="G4051" s="0" t="inlineStr">
        <is>
          <t>WOMENS</t>
        </is>
      </c>
      <c r="H4051" s="0" t="inlineStr">
        <is>
          <t>2XL</t>
        </is>
      </c>
      <c r="I4051" s="0">
        <v>61.99</v>
      </c>
      <c r="J4051" s="0">
        <v>3</v>
      </c>
    </row>
    <row r="4052" spans="1:10" customHeight="0">
      <c r="A4052" s="0">
        <f>HYPERLINK("https://dl.dropboxusercontent.com/scl/fi/sahvzn182u55ulh9ewos1/108923-af.jpg?rlkey=41zi70bpf9gse81ybeti9aor8&amp;dl=0","Click to download Image")</f>
      </c>
      <c r="B4052" s="0">
        <f>HYPERLINK("https://dl.dropboxusercontent.com/scl/fi/mucr3prtsfve8pzfiblkv/womens-size-chartslori.jpg?rlkey=lrvsxwk32zh04bvemlwbqpmo7&amp;dl=0","Click to download SizeChart")</f>
      </c>
      <c r="C4052" s="0" t="inlineStr">
        <is>
          <t>Iowa Lori Quilted Vest Premium Black</t>
        </is>
      </c>
      <c r="D4052" s="0" t="inlineStr">
        <is>
          <t>'108923</t>
        </is>
      </c>
      <c r="E4052" s="0" t="inlineStr">
        <is>
          <t>PURDUE LORI:108923F-3XL</t>
        </is>
      </c>
      <c r="F4052" s="0" t="inlineStr">
        <is>
          <t>'800108923061</t>
        </is>
      </c>
      <c r="G4052" s="0" t="inlineStr">
        <is>
          <t>WOMENS</t>
        </is>
      </c>
      <c r="H4052" s="0" t="inlineStr">
        <is>
          <t>3XL</t>
        </is>
      </c>
      <c r="I4052" s="0">
        <v>61.99</v>
      </c>
      <c r="J4052" s="0">
        <v>4</v>
      </c>
    </row>
    <row r="4053" spans="1:10" customHeight="0">
      <c r="A4053" s="0">
        <f>HYPERLINK("https://dl.dropboxusercontent.com/scl/fi/19e4rg3zf82yd9v8u2tkt/108922f.jpg?rlkey=rpamt9bjcih065vrejd3wwrua&amp;dl=0","Click to download Image")</f>
      </c>
      <c r="B4053" s="0">
        <f>HYPERLINK("https://dl.dropboxusercontent.com/scl/fi/mucr3prtsfve8pzfiblkv/womens-size-chartslori.jpg?rlkey=lrvsxwk32zh04bvemlwbqpmo7&amp;dl=0","Click to download SizeChart")</f>
      </c>
      <c r="C4053" s="0" t="inlineStr">
        <is>
          <t>Iowa Lori Quilted Vest Premium Black</t>
        </is>
      </c>
      <c r="D4053" s="0" t="inlineStr">
        <is>
          <t>'108922</t>
        </is>
      </c>
      <c r="E4053" s="0" t="inlineStr">
        <is>
          <t>KSU LORI:108922A-S</t>
        </is>
      </c>
      <c r="F4053" s="0" t="inlineStr">
        <is>
          <t>'800108922019</t>
        </is>
      </c>
      <c r="G4053" s="0" t="inlineStr">
        <is>
          <t>WOMENS</t>
        </is>
      </c>
      <c r="H4053" s="0" t="inlineStr">
        <is>
          <t>S</t>
        </is>
      </c>
      <c r="I4053" s="0">
        <v>59.99</v>
      </c>
      <c r="J4053" s="0">
        <v>9</v>
      </c>
    </row>
    <row r="4054" spans="1:10" customHeight="0">
      <c r="A4054" s="0">
        <f>HYPERLINK("https://dl.dropboxusercontent.com/scl/fi/19e4rg3zf82yd9v8u2tkt/108922f.jpg?rlkey=rpamt9bjcih065vrejd3wwrua&amp;dl=0","Click to download Image")</f>
      </c>
      <c r="B4054" s="0">
        <f>HYPERLINK("https://dl.dropboxusercontent.com/scl/fi/mucr3prtsfve8pzfiblkv/womens-size-chartslori.jpg?rlkey=lrvsxwk32zh04bvemlwbqpmo7&amp;dl=0","Click to download SizeChart")</f>
      </c>
      <c r="C4054" s="0" t="inlineStr">
        <is>
          <t>Iowa Lori Quilted Vest Premium Black</t>
        </is>
      </c>
      <c r="D4054" s="0" t="inlineStr">
        <is>
          <t>'108922</t>
        </is>
      </c>
      <c r="E4054" s="0" t="inlineStr">
        <is>
          <t>KSU LORI:108922B-M</t>
        </is>
      </c>
      <c r="F4054" s="0" t="inlineStr">
        <is>
          <t>'800108922026</t>
        </is>
      </c>
      <c r="G4054" s="0" t="inlineStr">
        <is>
          <t>WOMENS</t>
        </is>
      </c>
      <c r="H4054" s="0" t="inlineStr">
        <is>
          <t>M</t>
        </is>
      </c>
      <c r="I4054" s="0">
        <v>59.99</v>
      </c>
      <c r="J4054" s="0">
        <v>24</v>
      </c>
    </row>
    <row r="4055" spans="1:10" customHeight="0">
      <c r="A4055" s="0">
        <f>HYPERLINK("https://dl.dropboxusercontent.com/scl/fi/19e4rg3zf82yd9v8u2tkt/108922f.jpg?rlkey=rpamt9bjcih065vrejd3wwrua&amp;dl=0","Click to download Image")</f>
      </c>
      <c r="B4055" s="0">
        <f>HYPERLINK("https://dl.dropboxusercontent.com/scl/fi/mucr3prtsfve8pzfiblkv/womens-size-chartslori.jpg?rlkey=lrvsxwk32zh04bvemlwbqpmo7&amp;dl=0","Click to download SizeChart")</f>
      </c>
      <c r="C4055" s="0" t="inlineStr">
        <is>
          <t>Iowa Lori Quilted Vest Premium Black</t>
        </is>
      </c>
      <c r="D4055" s="0" t="inlineStr">
        <is>
          <t>'108922</t>
        </is>
      </c>
      <c r="E4055" s="0" t="inlineStr">
        <is>
          <t>KSU LORI:108922C-L</t>
        </is>
      </c>
      <c r="F4055" s="0" t="inlineStr">
        <is>
          <t>'800108922033</t>
        </is>
      </c>
      <c r="G4055" s="0" t="inlineStr">
        <is>
          <t>WOMENS</t>
        </is>
      </c>
      <c r="H4055" s="0" t="inlineStr">
        <is>
          <t>L</t>
        </is>
      </c>
      <c r="I4055" s="0">
        <v>59.99</v>
      </c>
      <c r="J4055" s="0">
        <v>22</v>
      </c>
    </row>
    <row r="4056" spans="1:10" customHeight="0">
      <c r="A4056" s="0">
        <f>HYPERLINK("https://dl.dropboxusercontent.com/scl/fi/19e4rg3zf82yd9v8u2tkt/108922f.jpg?rlkey=rpamt9bjcih065vrejd3wwrua&amp;dl=0","Click to download Image")</f>
      </c>
      <c r="B4056" s="0">
        <f>HYPERLINK("https://dl.dropboxusercontent.com/scl/fi/mucr3prtsfve8pzfiblkv/womens-size-chartslori.jpg?rlkey=lrvsxwk32zh04bvemlwbqpmo7&amp;dl=0","Click to download SizeChart")</f>
      </c>
      <c r="C4056" s="0" t="inlineStr">
        <is>
          <t>Iowa Lori Quilted Vest Premium Black</t>
        </is>
      </c>
      <c r="D4056" s="0" t="inlineStr">
        <is>
          <t>'108922</t>
        </is>
      </c>
      <c r="E4056" s="0" t="inlineStr">
        <is>
          <t>KSU LORI:108922D-XL</t>
        </is>
      </c>
      <c r="F4056" s="0" t="inlineStr">
        <is>
          <t>'800108922040</t>
        </is>
      </c>
      <c r="G4056" s="0" t="inlineStr">
        <is>
          <t>WOMENS</t>
        </is>
      </c>
      <c r="H4056" s="0" t="inlineStr">
        <is>
          <t>XL</t>
        </is>
      </c>
      <c r="I4056" s="0">
        <v>59.99</v>
      </c>
      <c r="J4056" s="0">
        <v>12</v>
      </c>
    </row>
    <row r="4057" spans="1:10" customHeight="0">
      <c r="A4057" s="0">
        <f>HYPERLINK("https://dl.dropboxusercontent.com/scl/fi/19e4rg3zf82yd9v8u2tkt/108922f.jpg?rlkey=rpamt9bjcih065vrejd3wwrua&amp;dl=0","Click to download Image")</f>
      </c>
      <c r="B4057" s="0">
        <f>HYPERLINK("https://dl.dropboxusercontent.com/scl/fi/mucr3prtsfve8pzfiblkv/womens-size-chartslori.jpg?rlkey=lrvsxwk32zh04bvemlwbqpmo7&amp;dl=0","Click to download SizeChart")</f>
      </c>
      <c r="C4057" s="0" t="inlineStr">
        <is>
          <t>Iowa Lori Quilted Vest Premium Black</t>
        </is>
      </c>
      <c r="D4057" s="0" t="inlineStr">
        <is>
          <t>'108922</t>
        </is>
      </c>
      <c r="E4057" s="0" t="inlineStr">
        <is>
          <t>KSU LORI:108922E-2XL</t>
        </is>
      </c>
      <c r="F4057" s="0" t="inlineStr">
        <is>
          <t>'800108922057</t>
        </is>
      </c>
      <c r="G4057" s="0" t="inlineStr">
        <is>
          <t>WOMENS</t>
        </is>
      </c>
      <c r="H4057" s="0" t="inlineStr">
        <is>
          <t>2XL</t>
        </is>
      </c>
      <c r="I4057" s="0">
        <v>61.99</v>
      </c>
      <c r="J4057" s="0">
        <v>4</v>
      </c>
    </row>
    <row r="4058" spans="1:10" customHeight="0">
      <c r="A4058" s="0">
        <f>HYPERLINK("https://dl.dropboxusercontent.com/scl/fi/19e4rg3zf82yd9v8u2tkt/108922f.jpg?rlkey=rpamt9bjcih065vrejd3wwrua&amp;dl=0","Click to download Image")</f>
      </c>
      <c r="B4058" s="0">
        <f>HYPERLINK("https://dl.dropboxusercontent.com/scl/fi/mucr3prtsfve8pzfiblkv/womens-size-chartslori.jpg?rlkey=lrvsxwk32zh04bvemlwbqpmo7&amp;dl=0","Click to download SizeChart")</f>
      </c>
      <c r="C4058" s="0" t="inlineStr">
        <is>
          <t>Iowa Lori Quilted Vest Premium Black</t>
        </is>
      </c>
      <c r="D4058" s="0" t="inlineStr">
        <is>
          <t>'108922</t>
        </is>
      </c>
      <c r="E4058" s="0" t="inlineStr">
        <is>
          <t>KSU LORI:108922F-3XL</t>
        </is>
      </c>
      <c r="F4058" s="0" t="inlineStr">
        <is>
          <t>'800108922064</t>
        </is>
      </c>
      <c r="G4058" s="0" t="inlineStr">
        <is>
          <t>WOMENS</t>
        </is>
      </c>
      <c r="H4058" s="0" t="inlineStr">
        <is>
          <t>3XL</t>
        </is>
      </c>
      <c r="I4058" s="0">
        <v>61.99</v>
      </c>
      <c r="J4058" s="0">
        <v>4</v>
      </c>
    </row>
    <row r="4059" spans="1:10" customHeight="0">
      <c r="A4059" s="0">
        <f>HYPERLINK("https://dl.dropboxusercontent.com/scl/fi/znlspwszuv08vestmcdoq/109224-f.jpg?rlkey=v4fsz807o1wmk4vtpe2rav1f2&amp;dl=0","Click to download Image")</f>
      </c>
      <c r="B4059" s="0">
        <f>HYPERLINK("https://dl.dropboxusercontent.com/scl/fi/mucr3prtsfve8pzfiblkv/womens-size-chartslori.jpg?rlkey=lrvsxwk32zh04bvemlwbqpmo7&amp;dl=0","Click to download SizeChart")</f>
      </c>
      <c r="C4059" s="0" t="inlineStr">
        <is>
          <t>Iowa Lori Quilted Vest Premium Black</t>
        </is>
      </c>
      <c r="D4059" s="0" t="inlineStr">
        <is>
          <t>'109224</t>
        </is>
      </c>
      <c r="E4059" s="0" t="inlineStr">
        <is>
          <t>INDIANA LORI WHITE:109224A-S</t>
        </is>
      </c>
      <c r="F4059" s="0" t="inlineStr">
        <is>
          <t>'800109224013</t>
        </is>
      </c>
      <c r="G4059" s="0" t="inlineStr">
        <is>
          <t>WOMENS</t>
        </is>
      </c>
      <c r="H4059" s="0" t="inlineStr">
        <is>
          <t>S</t>
        </is>
      </c>
      <c r="I4059" s="0">
        <v>59.99</v>
      </c>
      <c r="J4059" s="0">
        <v>0</v>
      </c>
    </row>
    <row r="4060" spans="1:10" customHeight="0">
      <c r="A4060" s="0">
        <f>HYPERLINK("https://dl.dropboxusercontent.com/scl/fi/znlspwszuv08vestmcdoq/109224-f.jpg?rlkey=v4fsz807o1wmk4vtpe2rav1f2&amp;dl=0","Click to download Image")</f>
      </c>
      <c r="B4060" s="0">
        <f>HYPERLINK("https://dl.dropboxusercontent.com/scl/fi/mucr3prtsfve8pzfiblkv/womens-size-chartslori.jpg?rlkey=lrvsxwk32zh04bvemlwbqpmo7&amp;dl=0","Click to download SizeChart")</f>
      </c>
      <c r="C4060" s="0" t="inlineStr">
        <is>
          <t>Iowa Lori Quilted Vest Premium Black</t>
        </is>
      </c>
      <c r="D4060" s="0" t="inlineStr">
        <is>
          <t>'109224</t>
        </is>
      </c>
      <c r="E4060" s="0" t="inlineStr">
        <is>
          <t>INDIANA LORI WHITE:109224B-M</t>
        </is>
      </c>
      <c r="F4060" s="0" t="inlineStr">
        <is>
          <t>'800109224020</t>
        </is>
      </c>
      <c r="G4060" s="0" t="inlineStr">
        <is>
          <t>WOMENS</t>
        </is>
      </c>
      <c r="H4060" s="0" t="inlineStr">
        <is>
          <t>M</t>
        </is>
      </c>
      <c r="I4060" s="0">
        <v>59.99</v>
      </c>
      <c r="J4060" s="0">
        <v>0</v>
      </c>
    </row>
    <row r="4061" spans="1:10" customHeight="0">
      <c r="A4061" s="0">
        <f>HYPERLINK("https://dl.dropboxusercontent.com/scl/fi/znlspwszuv08vestmcdoq/109224-f.jpg?rlkey=v4fsz807o1wmk4vtpe2rav1f2&amp;dl=0","Click to download Image")</f>
      </c>
      <c r="B4061" s="0">
        <f>HYPERLINK("https://dl.dropboxusercontent.com/scl/fi/mucr3prtsfve8pzfiblkv/womens-size-chartslori.jpg?rlkey=lrvsxwk32zh04bvemlwbqpmo7&amp;dl=0","Click to download SizeChart")</f>
      </c>
      <c r="C4061" s="0" t="inlineStr">
        <is>
          <t>Iowa Lori Quilted Vest Premium Black</t>
        </is>
      </c>
      <c r="D4061" s="0" t="inlineStr">
        <is>
          <t>'109224</t>
        </is>
      </c>
      <c r="E4061" s="0" t="inlineStr">
        <is>
          <t>INDIANA LORI WHITE:109224C-L</t>
        </is>
      </c>
      <c r="F4061" s="0" t="inlineStr">
        <is>
          <t>'800109224037</t>
        </is>
      </c>
      <c r="G4061" s="0" t="inlineStr">
        <is>
          <t>WOMENS</t>
        </is>
      </c>
      <c r="H4061" s="0" t="inlineStr">
        <is>
          <t>L</t>
        </is>
      </c>
      <c r="I4061" s="0">
        <v>59.99</v>
      </c>
      <c r="J4061" s="0">
        <v>4</v>
      </c>
    </row>
    <row r="4062" spans="1:10" customHeight="0">
      <c r="A4062" s="0">
        <f>HYPERLINK("https://dl.dropboxusercontent.com/scl/fi/znlspwszuv08vestmcdoq/109224-f.jpg?rlkey=v4fsz807o1wmk4vtpe2rav1f2&amp;dl=0","Click to download Image")</f>
      </c>
      <c r="B4062" s="0">
        <f>HYPERLINK("https://dl.dropboxusercontent.com/scl/fi/mucr3prtsfve8pzfiblkv/womens-size-chartslori.jpg?rlkey=lrvsxwk32zh04bvemlwbqpmo7&amp;dl=0","Click to download SizeChart")</f>
      </c>
      <c r="C4062" s="0" t="inlineStr">
        <is>
          <t>Iowa Lori Quilted Vest Premium Black</t>
        </is>
      </c>
      <c r="D4062" s="0" t="inlineStr">
        <is>
          <t>'109224</t>
        </is>
      </c>
      <c r="E4062" s="0" t="inlineStr">
        <is>
          <t>INDIANA LORI WHITE:109224D-XL</t>
        </is>
      </c>
      <c r="F4062" s="0" t="inlineStr">
        <is>
          <t>'800109224044</t>
        </is>
      </c>
      <c r="G4062" s="0" t="inlineStr">
        <is>
          <t>WOMENS</t>
        </is>
      </c>
      <c r="H4062" s="0" t="inlineStr">
        <is>
          <t>XL</t>
        </is>
      </c>
      <c r="I4062" s="0">
        <v>59.99</v>
      </c>
      <c r="J4062" s="0">
        <v>1</v>
      </c>
    </row>
    <row r="4063" spans="1:10" customHeight="0">
      <c r="A4063" s="0">
        <f>HYPERLINK("https://dl.dropboxusercontent.com/scl/fi/znlspwszuv08vestmcdoq/109224-f.jpg?rlkey=v4fsz807o1wmk4vtpe2rav1f2&amp;dl=0","Click to download Image")</f>
      </c>
      <c r="B4063" s="0">
        <f>HYPERLINK("https://dl.dropboxusercontent.com/scl/fi/mucr3prtsfve8pzfiblkv/womens-size-chartslori.jpg?rlkey=lrvsxwk32zh04bvemlwbqpmo7&amp;dl=0","Click to download SizeChart")</f>
      </c>
      <c r="C4063" s="0" t="inlineStr">
        <is>
          <t>Iowa Lori Quilted Vest Premium Black</t>
        </is>
      </c>
      <c r="D4063" s="0" t="inlineStr">
        <is>
          <t>'109224</t>
        </is>
      </c>
      <c r="E4063" s="0" t="inlineStr">
        <is>
          <t>INDIANA LORI WHITE:109224E-2XL</t>
        </is>
      </c>
      <c r="F4063" s="0" t="inlineStr">
        <is>
          <t>'800109224051</t>
        </is>
      </c>
      <c r="G4063" s="0" t="inlineStr">
        <is>
          <t>WOMENS</t>
        </is>
      </c>
      <c r="H4063" s="0" t="inlineStr">
        <is>
          <t>2XL</t>
        </is>
      </c>
      <c r="I4063" s="0">
        <v>61.99</v>
      </c>
      <c r="J4063" s="0">
        <v>4</v>
      </c>
    </row>
    <row r="4064" spans="1:10" customHeight="0">
      <c r="A4064" s="0">
        <f>HYPERLINK("https://dl.dropboxusercontent.com/scl/fi/znlspwszuv08vestmcdoq/109224-f.jpg?rlkey=v4fsz807o1wmk4vtpe2rav1f2&amp;dl=0","Click to download Image")</f>
      </c>
      <c r="B4064" s="0">
        <f>HYPERLINK("https://dl.dropboxusercontent.com/scl/fi/mucr3prtsfve8pzfiblkv/womens-size-chartslori.jpg?rlkey=lrvsxwk32zh04bvemlwbqpmo7&amp;dl=0","Click to download SizeChart")</f>
      </c>
      <c r="C4064" s="0" t="inlineStr">
        <is>
          <t>Iowa Lori Quilted Vest Premium Black</t>
        </is>
      </c>
      <c r="D4064" s="0" t="inlineStr">
        <is>
          <t>'109224</t>
        </is>
      </c>
      <c r="E4064" s="0" t="inlineStr">
        <is>
          <t>INDIANA LORI WHITE:109224F-3XL</t>
        </is>
      </c>
      <c r="F4064" s="0" t="inlineStr">
        <is>
          <t>'800109224068</t>
        </is>
      </c>
      <c r="G4064" s="0" t="inlineStr">
        <is>
          <t>WOMENS</t>
        </is>
      </c>
      <c r="H4064" s="0" t="inlineStr">
        <is>
          <t>3XL</t>
        </is>
      </c>
      <c r="I4064" s="0">
        <v>61.99</v>
      </c>
      <c r="J4064" s="0">
        <v>4</v>
      </c>
    </row>
    <row r="4065" spans="1:10" customHeight="0">
      <c r="A4065" s="0">
        <f>HYPERLINK("https://dl.dropboxusercontent.com/scl/fi/xgdjru4bbl32pcxwak3pk/109220f.jpg?rlkey=lf8ztis6jq96ionab72jamb4p&amp;dl=0","Click to download Image")</f>
      </c>
      <c r="B4065" s="0">
        <f>HYPERLINK("https://dl.dropboxusercontent.com/scl/fi/mucr3prtsfve8pzfiblkv/womens-size-chartslori.jpg?rlkey=lrvsxwk32zh04bvemlwbqpmo7&amp;dl=0","Click to download SizeChart")</f>
      </c>
      <c r="C4065" s="0" t="inlineStr">
        <is>
          <t>Iowa Lori Quilted Vest Premium Black</t>
        </is>
      </c>
      <c r="D4065" s="0" t="inlineStr">
        <is>
          <t>'109220</t>
        </is>
      </c>
      <c r="E4065" s="0" t="inlineStr">
        <is>
          <t>MARQ LORI WHITE:109220A-S</t>
        </is>
      </c>
      <c r="F4065" s="0" t="inlineStr">
        <is>
          <t>'800109220015</t>
        </is>
      </c>
      <c r="G4065" s="0" t="inlineStr">
        <is>
          <t>WOMENS</t>
        </is>
      </c>
      <c r="H4065" s="0" t="inlineStr">
        <is>
          <t>S</t>
        </is>
      </c>
      <c r="I4065" s="0">
        <v>59.99</v>
      </c>
      <c r="J4065" s="0">
        <v>13</v>
      </c>
    </row>
    <row r="4066" spans="1:10" customHeight="0">
      <c r="A4066" s="0">
        <f>HYPERLINK("https://dl.dropboxusercontent.com/scl/fi/xgdjru4bbl32pcxwak3pk/109220f.jpg?rlkey=lf8ztis6jq96ionab72jamb4p&amp;dl=0","Click to download Image")</f>
      </c>
      <c r="B4066" s="0">
        <f>HYPERLINK("https://dl.dropboxusercontent.com/scl/fi/mucr3prtsfve8pzfiblkv/womens-size-chartslori.jpg?rlkey=lrvsxwk32zh04bvemlwbqpmo7&amp;dl=0","Click to download SizeChart")</f>
      </c>
      <c r="C4066" s="0" t="inlineStr">
        <is>
          <t>Iowa Lori Quilted Vest Premium Black</t>
        </is>
      </c>
      <c r="D4066" s="0" t="inlineStr">
        <is>
          <t>'109220</t>
        </is>
      </c>
      <c r="E4066" s="0" t="inlineStr">
        <is>
          <t>MARQ LORI WHITE:109220B-M</t>
        </is>
      </c>
      <c r="F4066" s="0" t="inlineStr">
        <is>
          <t>'800109220022</t>
        </is>
      </c>
      <c r="G4066" s="0" t="inlineStr">
        <is>
          <t>WOMENS</t>
        </is>
      </c>
      <c r="H4066" s="0" t="inlineStr">
        <is>
          <t>M</t>
        </is>
      </c>
      <c r="I4066" s="0">
        <v>59.99</v>
      </c>
      <c r="J4066" s="0">
        <v>24</v>
      </c>
    </row>
    <row r="4067" spans="1:10" customHeight="0">
      <c r="A4067" s="0">
        <f>HYPERLINK("https://dl.dropboxusercontent.com/scl/fi/xgdjru4bbl32pcxwak3pk/109220f.jpg?rlkey=lf8ztis6jq96ionab72jamb4p&amp;dl=0","Click to download Image")</f>
      </c>
      <c r="B4067" s="0">
        <f>HYPERLINK("https://dl.dropboxusercontent.com/scl/fi/mucr3prtsfve8pzfiblkv/womens-size-chartslori.jpg?rlkey=lrvsxwk32zh04bvemlwbqpmo7&amp;dl=0","Click to download SizeChart")</f>
      </c>
      <c r="C4067" s="0" t="inlineStr">
        <is>
          <t>Iowa Lori Quilted Vest Premium Black</t>
        </is>
      </c>
      <c r="D4067" s="0" t="inlineStr">
        <is>
          <t>'109220</t>
        </is>
      </c>
      <c r="E4067" s="0" t="inlineStr">
        <is>
          <t>MARQ LORI WHITE:109220C-L</t>
        </is>
      </c>
      <c r="F4067" s="0" t="inlineStr">
        <is>
          <t>'800109220039</t>
        </is>
      </c>
      <c r="G4067" s="0" t="inlineStr">
        <is>
          <t>WOMENS</t>
        </is>
      </c>
      <c r="H4067" s="0" t="inlineStr">
        <is>
          <t>L</t>
        </is>
      </c>
      <c r="I4067" s="0">
        <v>59.99</v>
      </c>
      <c r="J4067" s="0">
        <v>24</v>
      </c>
    </row>
    <row r="4068" spans="1:10" customHeight="0">
      <c r="A4068" s="0">
        <f>HYPERLINK("https://dl.dropboxusercontent.com/scl/fi/xgdjru4bbl32pcxwak3pk/109220f.jpg?rlkey=lf8ztis6jq96ionab72jamb4p&amp;dl=0","Click to download Image")</f>
      </c>
      <c r="B4068" s="0">
        <f>HYPERLINK("https://dl.dropboxusercontent.com/scl/fi/mucr3prtsfve8pzfiblkv/womens-size-chartslori.jpg?rlkey=lrvsxwk32zh04bvemlwbqpmo7&amp;dl=0","Click to download SizeChart")</f>
      </c>
      <c r="C4068" s="0" t="inlineStr">
        <is>
          <t>Iowa Lori Quilted Vest Premium Black</t>
        </is>
      </c>
      <c r="D4068" s="0" t="inlineStr">
        <is>
          <t>'109220</t>
        </is>
      </c>
      <c r="E4068" s="0" t="inlineStr">
        <is>
          <t>MARQ LORI WHITE:109220D-XL</t>
        </is>
      </c>
      <c r="F4068" s="0" t="inlineStr">
        <is>
          <t>'800109220046</t>
        </is>
      </c>
      <c r="G4068" s="0" t="inlineStr">
        <is>
          <t>WOMENS</t>
        </is>
      </c>
      <c r="H4068" s="0" t="inlineStr">
        <is>
          <t>XL</t>
        </is>
      </c>
      <c r="I4068" s="0">
        <v>59.99</v>
      </c>
      <c r="J4068" s="0">
        <v>12</v>
      </c>
    </row>
    <row r="4069" spans="1:10" customHeight="0">
      <c r="A4069" s="0">
        <f>HYPERLINK("https://dl.dropboxusercontent.com/scl/fi/xgdjru4bbl32pcxwak3pk/109220f.jpg?rlkey=lf8ztis6jq96ionab72jamb4p&amp;dl=0","Click to download Image")</f>
      </c>
      <c r="B4069" s="0">
        <f>HYPERLINK("https://dl.dropboxusercontent.com/scl/fi/mucr3prtsfve8pzfiblkv/womens-size-chartslori.jpg?rlkey=lrvsxwk32zh04bvemlwbqpmo7&amp;dl=0","Click to download SizeChart")</f>
      </c>
      <c r="C4069" s="0" t="inlineStr">
        <is>
          <t>Iowa Lori Quilted Vest Premium Black</t>
        </is>
      </c>
      <c r="D4069" s="0" t="inlineStr">
        <is>
          <t>'109220</t>
        </is>
      </c>
      <c r="E4069" s="0" t="inlineStr">
        <is>
          <t>MARQ LORI WHITE:109220E-2XL</t>
        </is>
      </c>
      <c r="F4069" s="0" t="inlineStr">
        <is>
          <t>'800109220053</t>
        </is>
      </c>
      <c r="G4069" s="0" t="inlineStr">
        <is>
          <t>WOMENS</t>
        </is>
      </c>
      <c r="H4069" s="0" t="inlineStr">
        <is>
          <t>2XL</t>
        </is>
      </c>
      <c r="I4069" s="0">
        <v>61.99</v>
      </c>
      <c r="J4069" s="0">
        <v>4</v>
      </c>
    </row>
    <row r="4070" spans="1:10" customHeight="0">
      <c r="A4070" s="0">
        <f>HYPERLINK("https://dl.dropboxusercontent.com/scl/fi/xgdjru4bbl32pcxwak3pk/109220f.jpg?rlkey=lf8ztis6jq96ionab72jamb4p&amp;dl=0","Click to download Image")</f>
      </c>
      <c r="B4070" s="0">
        <f>HYPERLINK("https://dl.dropboxusercontent.com/scl/fi/mucr3prtsfve8pzfiblkv/womens-size-chartslori.jpg?rlkey=lrvsxwk32zh04bvemlwbqpmo7&amp;dl=0","Click to download SizeChart")</f>
      </c>
      <c r="C4070" s="0" t="inlineStr">
        <is>
          <t>Iowa Lori Quilted Vest Premium Black</t>
        </is>
      </c>
      <c r="D4070" s="0" t="inlineStr">
        <is>
          <t>'109220</t>
        </is>
      </c>
      <c r="E4070" s="0" t="inlineStr">
        <is>
          <t>UMN LORI WHITE:109220F-3XL</t>
        </is>
      </c>
      <c r="F4070" s="0" t="inlineStr">
        <is>
          <t>'800109220060</t>
        </is>
      </c>
      <c r="G4070" s="0" t="inlineStr">
        <is>
          <t>WOMENS</t>
        </is>
      </c>
      <c r="H4070" s="0" t="inlineStr">
        <is>
          <t>3XL</t>
        </is>
      </c>
      <c r="I4070" s="0">
        <v>61.99</v>
      </c>
      <c r="J4070" s="0">
        <v>4</v>
      </c>
    </row>
    <row r="4071" spans="1:10" customHeight="0">
      <c r="A4071" s="0">
        <f>HYPERLINK("https://dl.dropboxusercontent.com/scl/fi/hzc20osird5kh4988bihi/113407af.jpg?rlkey=jvl3ydvgukar58mcmu2djcfe5&amp;dl=0","Click to download Image")</f>
      </c>
      <c r="B4071" s="0">
        <f>HYPERLINK("https://dl.dropboxusercontent.com/scl/fi/tzhaolttfeevrrndyuqej/womens-t-shirt-size-chartsemerald.jpg?rlkey=zu2tbjlgp4gni06u8r33mrk58&amp;dl=0","Click to download SizeChart")</f>
      </c>
      <c r="C4071" s="0" t="inlineStr">
        <is>
          <t>Emerald Women's Scallop Shirt</t>
        </is>
      </c>
      <c r="D4071" s="0" t="inlineStr">
        <is>
          <t>'113407</t>
        </is>
      </c>
      <c r="E4071" s="0" t="inlineStr">
        <is>
          <t>IOWA EMERALD GOLD:113407A-S</t>
        </is>
      </c>
      <c r="F4071" s="0" t="inlineStr">
        <is>
          <t>'800113407044</t>
        </is>
      </c>
      <c r="G4071" s="0" t="inlineStr">
        <is>
          <t>WOMENS</t>
        </is>
      </c>
      <c r="H4071" s="0" t="inlineStr">
        <is>
          <t>S</t>
        </is>
      </c>
      <c r="I4071" s="0">
        <v>39.99</v>
      </c>
      <c r="J4071" s="0">
        <v>6</v>
      </c>
    </row>
    <row r="4072" spans="1:10" customHeight="0">
      <c r="A4072" s="0">
        <f>HYPERLINK("https://dl.dropboxusercontent.com/scl/fi/hzc20osird5kh4988bihi/113407af.jpg?rlkey=jvl3ydvgukar58mcmu2djcfe5&amp;dl=0","Click to download Image")</f>
      </c>
      <c r="B4072" s="0">
        <f>HYPERLINK("https://dl.dropboxusercontent.com/scl/fi/tzhaolttfeevrrndyuqej/womens-t-shirt-size-chartsemerald.jpg?rlkey=zu2tbjlgp4gni06u8r33mrk58&amp;dl=0","Click to download SizeChart")</f>
      </c>
      <c r="C4072" s="0" t="inlineStr">
        <is>
          <t>Emerald Women's Scallop Shirt</t>
        </is>
      </c>
      <c r="D4072" s="0" t="inlineStr">
        <is>
          <t>'113407</t>
        </is>
      </c>
      <c r="E4072" s="0" t="inlineStr">
        <is>
          <t>IOWA EMERALD GOLD:113407B-M</t>
        </is>
      </c>
      <c r="F4072" s="0" t="inlineStr">
        <is>
          <t>'800113407051</t>
        </is>
      </c>
      <c r="G4072" s="0" t="inlineStr">
        <is>
          <t>WOMENS</t>
        </is>
      </c>
      <c r="H4072" s="0" t="inlineStr">
        <is>
          <t>M</t>
        </is>
      </c>
      <c r="I4072" s="0">
        <v>39.99</v>
      </c>
      <c r="J4072" s="0">
        <v>11</v>
      </c>
    </row>
    <row r="4073" spans="1:10" customHeight="0">
      <c r="A4073" s="0">
        <f>HYPERLINK("https://dl.dropboxusercontent.com/scl/fi/hzc20osird5kh4988bihi/113407af.jpg?rlkey=jvl3ydvgukar58mcmu2djcfe5&amp;dl=0","Click to download Image")</f>
      </c>
      <c r="B4073" s="0">
        <f>HYPERLINK("https://dl.dropboxusercontent.com/scl/fi/tzhaolttfeevrrndyuqej/womens-t-shirt-size-chartsemerald.jpg?rlkey=zu2tbjlgp4gni06u8r33mrk58&amp;dl=0","Click to download SizeChart")</f>
      </c>
      <c r="C4073" s="0" t="inlineStr">
        <is>
          <t>Emerald Women's Scallop Shirt</t>
        </is>
      </c>
      <c r="D4073" s="0" t="inlineStr">
        <is>
          <t>'113407</t>
        </is>
      </c>
      <c r="E4073" s="0" t="inlineStr">
        <is>
          <t>IOWA EMERALD GOLD:113407C-L</t>
        </is>
      </c>
      <c r="F4073" s="0" t="inlineStr">
        <is>
          <t>'800113407068</t>
        </is>
      </c>
      <c r="G4073" s="0" t="inlineStr">
        <is>
          <t>WOMENS</t>
        </is>
      </c>
      <c r="H4073" s="0" t="inlineStr">
        <is>
          <t>L</t>
        </is>
      </c>
      <c r="I4073" s="0">
        <v>39.99</v>
      </c>
      <c r="J4073" s="0">
        <v>11</v>
      </c>
    </row>
    <row r="4074" spans="1:10" customHeight="0">
      <c r="A4074" s="0">
        <f>HYPERLINK("https://dl.dropboxusercontent.com/scl/fi/hzc20osird5kh4988bihi/113407af.jpg?rlkey=jvl3ydvgukar58mcmu2djcfe5&amp;dl=0","Click to download Image")</f>
      </c>
      <c r="B4074" s="0">
        <f>HYPERLINK("https://dl.dropboxusercontent.com/scl/fi/tzhaolttfeevrrndyuqej/womens-t-shirt-size-chartsemerald.jpg?rlkey=zu2tbjlgp4gni06u8r33mrk58&amp;dl=0","Click to download SizeChart")</f>
      </c>
      <c r="C4074" s="0" t="inlineStr">
        <is>
          <t>Emerald Women's Scallop Shirt</t>
        </is>
      </c>
      <c r="D4074" s="0" t="inlineStr">
        <is>
          <t>'113407</t>
        </is>
      </c>
      <c r="E4074" s="0" t="inlineStr">
        <is>
          <t>IOWA EMERALD GOLD:113407D-XL</t>
        </is>
      </c>
      <c r="F4074" s="0" t="inlineStr">
        <is>
          <t>'800113407075</t>
        </is>
      </c>
      <c r="G4074" s="0" t="inlineStr">
        <is>
          <t>WOMENS</t>
        </is>
      </c>
      <c r="H4074" s="0" t="inlineStr">
        <is>
          <t>XL</t>
        </is>
      </c>
      <c r="I4074" s="0">
        <v>39.99</v>
      </c>
      <c r="J4074" s="0">
        <v>5</v>
      </c>
    </row>
    <row r="4075" spans="1:10" customHeight="0">
      <c r="A4075" s="0">
        <f>HYPERLINK("https://dl.dropboxusercontent.com/scl/fi/hzc20osird5kh4988bihi/113407af.jpg?rlkey=jvl3ydvgukar58mcmu2djcfe5&amp;dl=0","Click to download Image")</f>
      </c>
      <c r="B4075" s="0">
        <f>HYPERLINK("https://dl.dropboxusercontent.com/scl/fi/tzhaolttfeevrrndyuqej/womens-t-shirt-size-chartsemerald.jpg?rlkey=zu2tbjlgp4gni06u8r33mrk58&amp;dl=0","Click to download SizeChart")</f>
      </c>
      <c r="C4075" s="0" t="inlineStr">
        <is>
          <t>Emerald Women's Scallop Shirt</t>
        </is>
      </c>
      <c r="D4075" s="0" t="inlineStr">
        <is>
          <t>'113407</t>
        </is>
      </c>
      <c r="E4075" s="0" t="inlineStr">
        <is>
          <t>IOWA EMERALD GOLD:113407E-2XL</t>
        </is>
      </c>
      <c r="F4075" s="0" t="inlineStr">
        <is>
          <t>'800113407082</t>
        </is>
      </c>
      <c r="G4075" s="0" t="inlineStr">
        <is>
          <t>WOMENS</t>
        </is>
      </c>
      <c r="H4075" s="0" t="inlineStr">
        <is>
          <t>2XL</t>
        </is>
      </c>
      <c r="I4075" s="0">
        <v>41.99</v>
      </c>
      <c r="J4075" s="0">
        <v>2</v>
      </c>
    </row>
    <row r="4076" spans="1:10" customHeight="0">
      <c r="A4076" s="0">
        <f>HYPERLINK("https://dl.dropboxusercontent.com/scl/fi/hzc20osird5kh4988bihi/113407af.jpg?rlkey=jvl3ydvgukar58mcmu2djcfe5&amp;dl=0","Click to download Image")</f>
      </c>
      <c r="B4076" s="0">
        <f>HYPERLINK("https://dl.dropboxusercontent.com/scl/fi/tzhaolttfeevrrndyuqej/womens-t-shirt-size-chartsemerald.jpg?rlkey=zu2tbjlgp4gni06u8r33mrk58&amp;dl=0","Click to download SizeChart")</f>
      </c>
      <c r="C4076" s="0" t="inlineStr">
        <is>
          <t>Emerald Women's Scallop Shirt</t>
        </is>
      </c>
      <c r="D4076" s="0" t="inlineStr">
        <is>
          <t>'113407</t>
        </is>
      </c>
      <c r="E4076" s="0" t="inlineStr">
        <is>
          <t>IOWA EMERALD GOLD:113407F-3XL</t>
        </is>
      </c>
      <c r="F4076" s="0" t="inlineStr">
        <is>
          <t>'800113407099</t>
        </is>
      </c>
      <c r="G4076" s="0" t="inlineStr">
        <is>
          <t>WOMENS</t>
        </is>
      </c>
      <c r="H4076" s="0" t="inlineStr">
        <is>
          <t>3XL</t>
        </is>
      </c>
      <c r="I4076" s="0">
        <v>41.99</v>
      </c>
      <c r="J4076" s="0">
        <v>1</v>
      </c>
    </row>
    <row r="4077" spans="1:10" customHeight="0">
      <c r="A4077" s="0">
        <f>HYPERLINK("https://dl.dropboxusercontent.com/scl/fi/hzc20osird5kh4988bihi/113407af.jpg?rlkey=jvl3ydvgukar58mcmu2djcfe5&amp;dl=0","Click to download Image")</f>
      </c>
      <c r="B4077" s="0">
        <f>HYPERLINK("https://dl.dropboxusercontent.com/scl/fi/tzhaolttfeevrrndyuqej/womens-t-shirt-size-chartsemerald.jpg?rlkey=zu2tbjlgp4gni06u8r33mrk58&amp;dl=0","Click to download SizeChart")</f>
      </c>
      <c r="C4077" s="0" t="inlineStr">
        <is>
          <t>Emerald Women's Scallop Shirt</t>
        </is>
      </c>
      <c r="D4077" s="0" t="inlineStr">
        <is>
          <t>'113407</t>
        </is>
      </c>
      <c r="E4077" s="0" t="inlineStr">
        <is>
          <t>IOWA EMERALD GOLD 12 PACK:113407Z-12PK</t>
        </is>
      </c>
      <c r="F4077" s="0" t="inlineStr">
        <is>
          <t>'800113407990</t>
        </is>
      </c>
      <c r="G4077" s="0" t="inlineStr">
        <is>
          <t>WOMENS</t>
        </is>
      </c>
      <c r="H4077" s="0" t="inlineStr">
        <is>
          <t>12 PACK</t>
        </is>
      </c>
      <c r="I4077" s="0">
        <v>384</v>
      </c>
      <c r="J4077" s="0">
        <v>0</v>
      </c>
    </row>
    <row r="4078" spans="1:10" customHeight="0">
      <c r="A4078" s="0">
        <f>HYPERLINK("https://dl.dropboxusercontent.com/scl/fi/9uufxn5upc2zouq353630/114520-af.jpg?rlkey=hwke9qweshvwz3q9wl4nqng9y&amp;dl=0","Click to download Image")</f>
      </c>
      <c r="B4078" s="0">
        <f>HYPERLINK("https://dl.dropboxusercontent.com/scl/fi/tzhaolttfeevrrndyuqej/womens-t-shirt-size-chartsemerald.jpg?rlkey=zu2tbjlgp4gni06u8r33mrk58&amp;dl=0","Click to download SizeChart")</f>
      </c>
      <c r="C4078" s="0" t="inlineStr">
        <is>
          <t>Emerald Women's Scallop Shirt</t>
        </is>
      </c>
      <c r="D4078" s="0" t="inlineStr">
        <is>
          <t>'114520</t>
        </is>
      </c>
      <c r="E4078" s="0" t="inlineStr">
        <is>
          <t>UNI EMERALD W PURPLE:114520A - S</t>
        </is>
      </c>
      <c r="F4078" s="0" t="inlineStr">
        <is>
          <t>'000000000000</t>
        </is>
      </c>
      <c r="G4078" s="0" t="inlineStr">
        <is>
          <t>WOMENS</t>
        </is>
      </c>
      <c r="H4078" s="0" t="inlineStr">
        <is>
          <t>S</t>
        </is>
      </c>
      <c r="I4078" s="0">
        <v>39.99</v>
      </c>
      <c r="J4078" s="0">
        <v>8</v>
      </c>
    </row>
    <row r="4079" spans="1:10" customHeight="0">
      <c r="A4079" s="0">
        <f>HYPERLINK("https://dl.dropboxusercontent.com/scl/fi/9uufxn5upc2zouq353630/114520-af.jpg?rlkey=hwke9qweshvwz3q9wl4nqng9y&amp;dl=0","Click to download Image")</f>
      </c>
      <c r="B4079" s="0">
        <f>HYPERLINK("https://dl.dropboxusercontent.com/scl/fi/tzhaolttfeevrrndyuqej/womens-t-shirt-size-chartsemerald.jpg?rlkey=zu2tbjlgp4gni06u8r33mrk58&amp;dl=0","Click to download SizeChart")</f>
      </c>
      <c r="C4079" s="0" t="inlineStr">
        <is>
          <t>Emerald Women's Scallop Shirt</t>
        </is>
      </c>
      <c r="D4079" s="0" t="inlineStr">
        <is>
          <t>'114520</t>
        </is>
      </c>
      <c r="E4079" s="0" t="inlineStr">
        <is>
          <t>UNI EMERALD W PURPLE:114520B - M</t>
        </is>
      </c>
      <c r="F4079" s="0" t="inlineStr">
        <is>
          <t>'000000000000</t>
        </is>
      </c>
      <c r="G4079" s="0" t="inlineStr">
        <is>
          <t>WOMENS</t>
        </is>
      </c>
      <c r="H4079" s="0" t="inlineStr">
        <is>
          <t>M</t>
        </is>
      </c>
      <c r="I4079" s="0">
        <v>39.99</v>
      </c>
      <c r="J4079" s="0">
        <v>16</v>
      </c>
    </row>
    <row r="4080" spans="1:10" customHeight="0">
      <c r="A4080" s="0">
        <f>HYPERLINK("https://dl.dropboxusercontent.com/scl/fi/9uufxn5upc2zouq353630/114520-af.jpg?rlkey=hwke9qweshvwz3q9wl4nqng9y&amp;dl=0","Click to download Image")</f>
      </c>
      <c r="B4080" s="0">
        <f>HYPERLINK("https://dl.dropboxusercontent.com/scl/fi/tzhaolttfeevrrndyuqej/womens-t-shirt-size-chartsemerald.jpg?rlkey=zu2tbjlgp4gni06u8r33mrk58&amp;dl=0","Click to download SizeChart")</f>
      </c>
      <c r="C4080" s="0" t="inlineStr">
        <is>
          <t>Emerald Women's Scallop Shirt</t>
        </is>
      </c>
      <c r="D4080" s="0" t="inlineStr">
        <is>
          <t>'114520</t>
        </is>
      </c>
      <c r="E4080" s="0" t="inlineStr">
        <is>
          <t>UNI EMERALD W PURPLE:114520C - L</t>
        </is>
      </c>
      <c r="F4080" s="0" t="inlineStr">
        <is>
          <t>'000000000000</t>
        </is>
      </c>
      <c r="G4080" s="0" t="inlineStr">
        <is>
          <t>WOMENS</t>
        </is>
      </c>
      <c r="H4080" s="0" t="inlineStr">
        <is>
          <t>L</t>
        </is>
      </c>
      <c r="I4080" s="0">
        <v>39.99</v>
      </c>
      <c r="J4080" s="0">
        <v>15</v>
      </c>
    </row>
    <row r="4081" spans="1:10" customHeight="0">
      <c r="A4081" s="0">
        <f>HYPERLINK("https://dl.dropboxusercontent.com/scl/fi/9uufxn5upc2zouq353630/114520-af.jpg?rlkey=hwke9qweshvwz3q9wl4nqng9y&amp;dl=0","Click to download Image")</f>
      </c>
      <c r="B4081" s="0">
        <f>HYPERLINK("https://dl.dropboxusercontent.com/scl/fi/tzhaolttfeevrrndyuqej/womens-t-shirt-size-chartsemerald.jpg?rlkey=zu2tbjlgp4gni06u8r33mrk58&amp;dl=0","Click to download SizeChart")</f>
      </c>
      <c r="C4081" s="0" t="inlineStr">
        <is>
          <t>Emerald Women's Scallop Shirt</t>
        </is>
      </c>
      <c r="D4081" s="0" t="inlineStr">
        <is>
          <t>'114520</t>
        </is>
      </c>
      <c r="E4081" s="0" t="inlineStr">
        <is>
          <t>UNI EMERALD W PURPLE:114520D - XL</t>
        </is>
      </c>
      <c r="F4081" s="0" t="inlineStr">
        <is>
          <t>'000000000000</t>
        </is>
      </c>
      <c r="G4081" s="0" t="inlineStr">
        <is>
          <t>WOMENS</t>
        </is>
      </c>
      <c r="H4081" s="0" t="inlineStr">
        <is>
          <t>XL</t>
        </is>
      </c>
      <c r="I4081" s="0">
        <v>39.99</v>
      </c>
      <c r="J4081" s="0">
        <v>8</v>
      </c>
    </row>
    <row r="4082" spans="1:10" customHeight="0">
      <c r="A4082" s="0">
        <f>HYPERLINK("https://dl.dropboxusercontent.com/scl/fi/9uufxn5upc2zouq353630/114520-af.jpg?rlkey=hwke9qweshvwz3q9wl4nqng9y&amp;dl=0","Click to download Image")</f>
      </c>
      <c r="B4082" s="0">
        <f>HYPERLINK("https://dl.dropboxusercontent.com/scl/fi/tzhaolttfeevrrndyuqej/womens-t-shirt-size-chartsemerald.jpg?rlkey=zu2tbjlgp4gni06u8r33mrk58&amp;dl=0","Click to download SizeChart")</f>
      </c>
      <c r="C4082" s="0" t="inlineStr">
        <is>
          <t>Emerald Women's Scallop Shirt</t>
        </is>
      </c>
      <c r="D4082" s="0" t="inlineStr">
        <is>
          <t>'114520</t>
        </is>
      </c>
      <c r="E4082" s="0" t="inlineStr">
        <is>
          <t>UNI EMERALD W PURPLE:114520E - 2XL</t>
        </is>
      </c>
      <c r="F4082" s="0" t="inlineStr">
        <is>
          <t>'000000000000</t>
        </is>
      </c>
      <c r="G4082" s="0" t="inlineStr">
        <is>
          <t>WOMENS</t>
        </is>
      </c>
      <c r="H4082" s="0" t="inlineStr">
        <is>
          <t>2XL</t>
        </is>
      </c>
      <c r="I4082" s="0">
        <v>41.99</v>
      </c>
      <c r="J4082" s="0">
        <v>4</v>
      </c>
    </row>
    <row r="4083" spans="1:10" customHeight="0">
      <c r="A4083" s="0">
        <f>HYPERLINK("https://dl.dropboxusercontent.com/scl/fi/9uufxn5upc2zouq353630/114520-af.jpg?rlkey=hwke9qweshvwz3q9wl4nqng9y&amp;dl=0","Click to download Image")</f>
      </c>
      <c r="B4083" s="0">
        <f>HYPERLINK("https://dl.dropboxusercontent.com/scl/fi/tzhaolttfeevrrndyuqej/womens-t-shirt-size-chartsemerald.jpg?rlkey=zu2tbjlgp4gni06u8r33mrk58&amp;dl=0","Click to download SizeChart")</f>
      </c>
      <c r="C4083" s="0" t="inlineStr">
        <is>
          <t>Emerald Women's Scallop Shirt</t>
        </is>
      </c>
      <c r="D4083" s="0" t="inlineStr">
        <is>
          <t>'114520</t>
        </is>
      </c>
      <c r="E4083" s="0" t="inlineStr">
        <is>
          <t>UNI EMERALD W PURPLE:114520F - 3XL</t>
        </is>
      </c>
      <c r="F4083" s="0" t="inlineStr">
        <is>
          <t>'000000000000</t>
        </is>
      </c>
      <c r="G4083" s="0" t="inlineStr">
        <is>
          <t>WOMENS</t>
        </is>
      </c>
      <c r="H4083" s="0" t="inlineStr">
        <is>
          <t>3XL</t>
        </is>
      </c>
      <c r="I4083" s="0">
        <v>41.99</v>
      </c>
      <c r="J4083" s="0">
        <v>1</v>
      </c>
    </row>
    <row r="4084" spans="1:10" customHeight="0">
      <c r="A4084" s="0">
        <f>HYPERLINK("https://dl.dropboxusercontent.com/scl/fi/9uufxn5upc2zouq353630/114520-af.jpg?rlkey=hwke9qweshvwz3q9wl4nqng9y&amp;dl=0","Click to download Image")</f>
      </c>
      <c r="B4084" s="0">
        <f>HYPERLINK("https://dl.dropboxusercontent.com/scl/fi/tzhaolttfeevrrndyuqej/womens-t-shirt-size-chartsemerald.jpg?rlkey=zu2tbjlgp4gni06u8r33mrk58&amp;dl=0","Click to download SizeChart")</f>
      </c>
      <c r="C4084" s="0" t="inlineStr">
        <is>
          <t>Emerald Women's Scallop Shirt</t>
        </is>
      </c>
      <c r="D4084" s="0" t="inlineStr">
        <is>
          <t>'114520</t>
        </is>
      </c>
      <c r="E4084" s="0" t="inlineStr">
        <is>
          <t>UNI EMERALD W PURPLE 12 PACK (114520)</t>
        </is>
      </c>
      <c r="F4084" s="0" t="inlineStr">
        <is>
          <t>'000000000000</t>
        </is>
      </c>
      <c r="G4084" s="0" t="inlineStr">
        <is>
          <t>WOMENS</t>
        </is>
      </c>
      <c r="H4084" s="0" t="inlineStr">
        <is>
          <t>12 PACK</t>
        </is>
      </c>
      <c r="I4084" s="0">
        <v>384</v>
      </c>
      <c r="J4084" s="0">
        <v>0</v>
      </c>
    </row>
    <row r="4085" spans="1:10" customHeight="0">
      <c r="A4085" s="0">
        <f>HYPERLINK("https://dl.dropboxusercontent.com/scl/fi/gv2whqruwzxgxoma6631v/114519-af.png?rlkey=assriab4b8w9vvhkxh3p6x7u0&amp;dl=0","Click to download Image")</f>
      </c>
      <c r="B4085" s="0">
        <f>HYPERLINK("https://dl.dropboxusercontent.com/scl/fi/tzhaolttfeevrrndyuqej/womens-t-shirt-size-chartsemerald.jpg?rlkey=zu2tbjlgp4gni06u8r33mrk58&amp;dl=0","Click to download SizeChart")</f>
      </c>
      <c r="C4085" s="0" t="inlineStr">
        <is>
          <t>Emerald Women's Scallop Shirt</t>
        </is>
      </c>
      <c r="D4085" s="0" t="inlineStr">
        <is>
          <t>'114519</t>
        </is>
      </c>
      <c r="E4085" s="0" t="inlineStr">
        <is>
          <t>ISU EMERALD W CARDINAL:114519A - S</t>
        </is>
      </c>
      <c r="F4085" s="0" t="inlineStr">
        <is>
          <t>'000000000000</t>
        </is>
      </c>
      <c r="G4085" s="0" t="inlineStr">
        <is>
          <t>WOMENS</t>
        </is>
      </c>
      <c r="H4085" s="0" t="inlineStr">
        <is>
          <t>S</t>
        </is>
      </c>
      <c r="I4085" s="0">
        <v>39.99</v>
      </c>
      <c r="J4085" s="0">
        <v>7</v>
      </c>
    </row>
    <row r="4086" spans="1:10" customHeight="0">
      <c r="A4086" s="0">
        <f>HYPERLINK("https://dl.dropboxusercontent.com/scl/fi/gv2whqruwzxgxoma6631v/114519-af.png?rlkey=assriab4b8w9vvhkxh3p6x7u0&amp;dl=0","Click to download Image")</f>
      </c>
      <c r="B4086" s="0">
        <f>HYPERLINK("https://dl.dropboxusercontent.com/scl/fi/tzhaolttfeevrrndyuqej/womens-t-shirt-size-chartsemerald.jpg?rlkey=zu2tbjlgp4gni06u8r33mrk58&amp;dl=0","Click to download SizeChart")</f>
      </c>
      <c r="C4086" s="0" t="inlineStr">
        <is>
          <t>Emerald Women's Scallop Shirt</t>
        </is>
      </c>
      <c r="D4086" s="0" t="inlineStr">
        <is>
          <t>'114519</t>
        </is>
      </c>
      <c r="E4086" s="0" t="inlineStr">
        <is>
          <t>ISU EMERALD W CARDINAL:114519B - M</t>
        </is>
      </c>
      <c r="F4086" s="0" t="inlineStr">
        <is>
          <t>'000000000000</t>
        </is>
      </c>
      <c r="G4086" s="0" t="inlineStr">
        <is>
          <t>WOMENS</t>
        </is>
      </c>
      <c r="H4086" s="0" t="inlineStr">
        <is>
          <t>M</t>
        </is>
      </c>
      <c r="I4086" s="0">
        <v>39.99</v>
      </c>
      <c r="J4086" s="0">
        <v>15</v>
      </c>
    </row>
    <row r="4087" spans="1:10" customHeight="0">
      <c r="A4087" s="0">
        <f>HYPERLINK("https://dl.dropboxusercontent.com/scl/fi/gv2whqruwzxgxoma6631v/114519-af.png?rlkey=assriab4b8w9vvhkxh3p6x7u0&amp;dl=0","Click to download Image")</f>
      </c>
      <c r="B4087" s="0">
        <f>HYPERLINK("https://dl.dropboxusercontent.com/scl/fi/tzhaolttfeevrrndyuqej/womens-t-shirt-size-chartsemerald.jpg?rlkey=zu2tbjlgp4gni06u8r33mrk58&amp;dl=0","Click to download SizeChart")</f>
      </c>
      <c r="C4087" s="0" t="inlineStr">
        <is>
          <t>Emerald Women's Scallop Shirt</t>
        </is>
      </c>
      <c r="D4087" s="0" t="inlineStr">
        <is>
          <t>'114519</t>
        </is>
      </c>
      <c r="E4087" s="0" t="inlineStr">
        <is>
          <t>ISU EMERALD W CARDINAL:114519C - L</t>
        </is>
      </c>
      <c r="F4087" s="0" t="inlineStr">
        <is>
          <t>'000000000000</t>
        </is>
      </c>
      <c r="G4087" s="0" t="inlineStr">
        <is>
          <t>WOMENS</t>
        </is>
      </c>
      <c r="H4087" s="0" t="inlineStr">
        <is>
          <t>L</t>
        </is>
      </c>
      <c r="I4087" s="0">
        <v>39.99</v>
      </c>
      <c r="J4087" s="0">
        <v>13</v>
      </c>
    </row>
    <row r="4088" spans="1:10" customHeight="0">
      <c r="A4088" s="0">
        <f>HYPERLINK("https://dl.dropboxusercontent.com/scl/fi/gv2whqruwzxgxoma6631v/114519-af.png?rlkey=assriab4b8w9vvhkxh3p6x7u0&amp;dl=0","Click to download Image")</f>
      </c>
      <c r="B4088" s="0">
        <f>HYPERLINK("https://dl.dropboxusercontent.com/scl/fi/tzhaolttfeevrrndyuqej/womens-t-shirt-size-chartsemerald.jpg?rlkey=zu2tbjlgp4gni06u8r33mrk58&amp;dl=0","Click to download SizeChart")</f>
      </c>
      <c r="C4088" s="0" t="inlineStr">
        <is>
          <t>Emerald Women's Scallop Shirt</t>
        </is>
      </c>
      <c r="D4088" s="0" t="inlineStr">
        <is>
          <t>'114519</t>
        </is>
      </c>
      <c r="E4088" s="0" t="inlineStr">
        <is>
          <t>ISU EMERALD W CARDINAL:114519D - XL</t>
        </is>
      </c>
      <c r="F4088" s="0" t="inlineStr">
        <is>
          <t>'000000000000</t>
        </is>
      </c>
      <c r="G4088" s="0" t="inlineStr">
        <is>
          <t>WOMENS</t>
        </is>
      </c>
      <c r="H4088" s="0" t="inlineStr">
        <is>
          <t>XL</t>
        </is>
      </c>
      <c r="I4088" s="0">
        <v>39.99</v>
      </c>
      <c r="J4088" s="0">
        <v>8</v>
      </c>
    </row>
    <row r="4089" spans="1:10" customHeight="0">
      <c r="A4089" s="0">
        <f>HYPERLINK("https://dl.dropboxusercontent.com/scl/fi/gv2whqruwzxgxoma6631v/114519-af.png?rlkey=assriab4b8w9vvhkxh3p6x7u0&amp;dl=0","Click to download Image")</f>
      </c>
      <c r="B4089" s="0">
        <f>HYPERLINK("https://dl.dropboxusercontent.com/scl/fi/tzhaolttfeevrrndyuqej/womens-t-shirt-size-chartsemerald.jpg?rlkey=zu2tbjlgp4gni06u8r33mrk58&amp;dl=0","Click to download SizeChart")</f>
      </c>
      <c r="C4089" s="0" t="inlineStr">
        <is>
          <t>Emerald Women's Scallop Shirt</t>
        </is>
      </c>
      <c r="D4089" s="0" t="inlineStr">
        <is>
          <t>'114519</t>
        </is>
      </c>
      <c r="E4089" s="0" t="inlineStr">
        <is>
          <t>ISU EMERALD W CARDINAL:114519E - 2XL</t>
        </is>
      </c>
      <c r="F4089" s="0" t="inlineStr">
        <is>
          <t>'000000000000</t>
        </is>
      </c>
      <c r="G4089" s="0" t="inlineStr">
        <is>
          <t>WOMENS</t>
        </is>
      </c>
      <c r="H4089" s="0" t="inlineStr">
        <is>
          <t>2XL</t>
        </is>
      </c>
      <c r="I4089" s="0">
        <v>41.99</v>
      </c>
      <c r="J4089" s="0">
        <v>4</v>
      </c>
    </row>
    <row r="4090" spans="1:10" customHeight="0">
      <c r="A4090" s="0">
        <f>HYPERLINK("https://dl.dropboxusercontent.com/scl/fi/gv2whqruwzxgxoma6631v/114519-af.png?rlkey=assriab4b8w9vvhkxh3p6x7u0&amp;dl=0","Click to download Image")</f>
      </c>
      <c r="B4090" s="0">
        <f>HYPERLINK("https://dl.dropboxusercontent.com/scl/fi/tzhaolttfeevrrndyuqej/womens-t-shirt-size-chartsemerald.jpg?rlkey=zu2tbjlgp4gni06u8r33mrk58&amp;dl=0","Click to download SizeChart")</f>
      </c>
      <c r="C4090" s="0" t="inlineStr">
        <is>
          <t>Emerald Women's Scallop Shirt</t>
        </is>
      </c>
      <c r="D4090" s="0" t="inlineStr">
        <is>
          <t>'114519</t>
        </is>
      </c>
      <c r="E4090" s="0" t="inlineStr">
        <is>
          <t>ISU EMERALD W CARDINAL:114519F - 3XL</t>
        </is>
      </c>
      <c r="F4090" s="0" t="inlineStr">
        <is>
          <t>'000000000000</t>
        </is>
      </c>
      <c r="G4090" s="0" t="inlineStr">
        <is>
          <t>WOMENS</t>
        </is>
      </c>
      <c r="H4090" s="0" t="inlineStr">
        <is>
          <t>3XL</t>
        </is>
      </c>
      <c r="I4090" s="0">
        <v>41.99</v>
      </c>
      <c r="J4090" s="0">
        <v>2</v>
      </c>
    </row>
    <row r="4091" spans="1:10" customHeight="0">
      <c r="A4091" s="0">
        <f>HYPERLINK("https://dl.dropboxusercontent.com/scl/fi/gv2whqruwzxgxoma6631v/114519-af.png?rlkey=assriab4b8w9vvhkxh3p6x7u0&amp;dl=0","Click to download Image")</f>
      </c>
      <c r="B4091" s="0">
        <f>HYPERLINK("https://dl.dropboxusercontent.com/scl/fi/tzhaolttfeevrrndyuqej/womens-t-shirt-size-chartsemerald.jpg?rlkey=zu2tbjlgp4gni06u8r33mrk58&amp;dl=0","Click to download SizeChart")</f>
      </c>
      <c r="C4091" s="0" t="inlineStr">
        <is>
          <t>Emerald Women's Scallop Shirt</t>
        </is>
      </c>
      <c r="D4091" s="0" t="inlineStr">
        <is>
          <t>'114519</t>
        </is>
      </c>
      <c r="E4091" s="0" t="inlineStr">
        <is>
          <t>ISU EMERALD W CARDINAL 12 PACK (114519)</t>
        </is>
      </c>
      <c r="F4091" s="0" t="inlineStr">
        <is>
          <t>'000000000000</t>
        </is>
      </c>
      <c r="G4091" s="0" t="inlineStr">
        <is>
          <t>WOMENS</t>
        </is>
      </c>
      <c r="H4091" s="0" t="inlineStr">
        <is>
          <t>12 PACK</t>
        </is>
      </c>
      <c r="I4091" s="0">
        <v>384</v>
      </c>
      <c r="J4091" s="0">
        <v>0</v>
      </c>
    </row>
    <row r="4092" spans="1:10" customHeight="0">
      <c r="A4092" s="0">
        <f>HYPERLINK("https://dl.dropboxusercontent.com/scl/fi/thaz67bjukaogrfrzqa32/113069af.jpg?rlkey=kj8a9xbf5wntxornopwimxd66&amp;dl=0","Click to download Image")</f>
      </c>
      <c r="B4092" s="0">
        <f>HYPERLINK("https://dl.dropboxusercontent.com/scl/fi/432djr5cxy1i2hdi6a4kq/womens-t-shirt-size-chartscassidy.jpg?rlkey=gcdksm6gb5ip2xy0eioom9snt&amp;dl=0","Click to download SizeChart")</f>
      </c>
      <c r="C4092" s="0" t="inlineStr">
        <is>
          <t>Cassidy Womens Ringer T-shirt</t>
        </is>
      </c>
      <c r="D4092" s="0" t="inlineStr">
        <is>
          <t>'113069</t>
        </is>
      </c>
      <c r="E4092" s="0" t="inlineStr">
        <is>
          <t>IOWA CASSIDY W BLACK:113069A-S</t>
        </is>
      </c>
      <c r="F4092" s="0" t="inlineStr">
        <is>
          <t>'800113069044</t>
        </is>
      </c>
      <c r="G4092" s="0" t="inlineStr">
        <is>
          <t>WOMENS</t>
        </is>
      </c>
      <c r="H4092" s="0" t="inlineStr">
        <is>
          <t>S</t>
        </is>
      </c>
      <c r="I4092" s="0">
        <v>26.99</v>
      </c>
      <c r="J4092" s="0">
        <v>0</v>
      </c>
    </row>
    <row r="4093" spans="1:10" customHeight="0">
      <c r="A4093" s="0">
        <f>HYPERLINK("https://dl.dropboxusercontent.com/scl/fi/thaz67bjukaogrfrzqa32/113069af.jpg?rlkey=kj8a9xbf5wntxornopwimxd66&amp;dl=0","Click to download Image")</f>
      </c>
      <c r="B4093" s="0">
        <f>HYPERLINK("https://dl.dropboxusercontent.com/scl/fi/432djr5cxy1i2hdi6a4kq/womens-t-shirt-size-chartscassidy.jpg?rlkey=gcdksm6gb5ip2xy0eioom9snt&amp;dl=0","Click to download SizeChart")</f>
      </c>
      <c r="C4093" s="0" t="inlineStr">
        <is>
          <t>Cassidy Womens Ringer T-shirt</t>
        </is>
      </c>
      <c r="D4093" s="0" t="inlineStr">
        <is>
          <t>'113069</t>
        </is>
      </c>
      <c r="E4093" s="0" t="inlineStr">
        <is>
          <t>IOWA CASSIDY W BLACK:113069B-M</t>
        </is>
      </c>
      <c r="F4093" s="0" t="inlineStr">
        <is>
          <t>'800113069051</t>
        </is>
      </c>
      <c r="G4093" s="0" t="inlineStr">
        <is>
          <t>WOMENS</t>
        </is>
      </c>
      <c r="H4093" s="0" t="inlineStr">
        <is>
          <t>M</t>
        </is>
      </c>
      <c r="I4093" s="0">
        <v>26.99</v>
      </c>
      <c r="J4093" s="0">
        <v>7</v>
      </c>
    </row>
    <row r="4094" spans="1:10" customHeight="0">
      <c r="A4094" s="0">
        <f>HYPERLINK("https://dl.dropboxusercontent.com/scl/fi/thaz67bjukaogrfrzqa32/113069af.jpg?rlkey=kj8a9xbf5wntxornopwimxd66&amp;dl=0","Click to download Image")</f>
      </c>
      <c r="B4094" s="0">
        <f>HYPERLINK("https://dl.dropboxusercontent.com/scl/fi/432djr5cxy1i2hdi6a4kq/womens-t-shirt-size-chartscassidy.jpg?rlkey=gcdksm6gb5ip2xy0eioom9snt&amp;dl=0","Click to download SizeChart")</f>
      </c>
      <c r="C4094" s="0" t="inlineStr">
        <is>
          <t>Cassidy Womens Ringer T-shirt</t>
        </is>
      </c>
      <c r="D4094" s="0" t="inlineStr">
        <is>
          <t>'113069</t>
        </is>
      </c>
      <c r="E4094" s="0" t="inlineStr">
        <is>
          <t>IOWA CASSIDY W BLACK:113069C-L</t>
        </is>
      </c>
      <c r="F4094" s="0" t="inlineStr">
        <is>
          <t>'800113069068</t>
        </is>
      </c>
      <c r="G4094" s="0" t="inlineStr">
        <is>
          <t>WOMENS</t>
        </is>
      </c>
      <c r="H4094" s="0" t="inlineStr">
        <is>
          <t>L</t>
        </is>
      </c>
      <c r="I4094" s="0">
        <v>26.99</v>
      </c>
      <c r="J4094" s="0">
        <v>14</v>
      </c>
    </row>
    <row r="4095" spans="1:10" customHeight="0">
      <c r="A4095" s="0">
        <f>HYPERLINK("https://dl.dropboxusercontent.com/scl/fi/thaz67bjukaogrfrzqa32/113069af.jpg?rlkey=kj8a9xbf5wntxornopwimxd66&amp;dl=0","Click to download Image")</f>
      </c>
      <c r="B4095" s="0">
        <f>HYPERLINK("https://dl.dropboxusercontent.com/scl/fi/432djr5cxy1i2hdi6a4kq/womens-t-shirt-size-chartscassidy.jpg?rlkey=gcdksm6gb5ip2xy0eioom9snt&amp;dl=0","Click to download SizeChart")</f>
      </c>
      <c r="C4095" s="0" t="inlineStr">
        <is>
          <t>Cassidy Womens Ringer T-shirt</t>
        </is>
      </c>
      <c r="D4095" s="0" t="inlineStr">
        <is>
          <t>'113069</t>
        </is>
      </c>
      <c r="E4095" s="0" t="inlineStr">
        <is>
          <t>IOWA CASSIDY W BLACK:113069D-XL</t>
        </is>
      </c>
      <c r="F4095" s="0" t="inlineStr">
        <is>
          <t>'800113069075</t>
        </is>
      </c>
      <c r="G4095" s="0" t="inlineStr">
        <is>
          <t>WOMENS</t>
        </is>
      </c>
      <c r="H4095" s="0" t="inlineStr">
        <is>
          <t>XL</t>
        </is>
      </c>
      <c r="I4095" s="0">
        <v>26.99</v>
      </c>
      <c r="J4095" s="0">
        <v>0</v>
      </c>
    </row>
    <row r="4096" spans="1:10" customHeight="0">
      <c r="A4096" s="0">
        <f>HYPERLINK("https://dl.dropboxusercontent.com/scl/fi/thaz67bjukaogrfrzqa32/113069af.jpg?rlkey=kj8a9xbf5wntxornopwimxd66&amp;dl=0","Click to download Image")</f>
      </c>
      <c r="B4096" s="0">
        <f>HYPERLINK("https://dl.dropboxusercontent.com/scl/fi/432djr5cxy1i2hdi6a4kq/womens-t-shirt-size-chartscassidy.jpg?rlkey=gcdksm6gb5ip2xy0eioom9snt&amp;dl=0","Click to download SizeChart")</f>
      </c>
      <c r="C4096" s="0" t="inlineStr">
        <is>
          <t>Cassidy Womens Ringer T-shirt</t>
        </is>
      </c>
      <c r="D4096" s="0" t="inlineStr">
        <is>
          <t>'113069</t>
        </is>
      </c>
      <c r="E4096" s="0" t="inlineStr">
        <is>
          <t>IOWA CASSIDY W BLACK:113069E-2XL</t>
        </is>
      </c>
      <c r="F4096" s="0" t="inlineStr">
        <is>
          <t>'800113069082</t>
        </is>
      </c>
      <c r="G4096" s="0" t="inlineStr">
        <is>
          <t>WOMENS</t>
        </is>
      </c>
      <c r="H4096" s="0" t="inlineStr">
        <is>
          <t>2XL</t>
        </is>
      </c>
      <c r="I4096" s="0">
        <v>28.99</v>
      </c>
      <c r="J4096" s="0">
        <v>0</v>
      </c>
    </row>
    <row r="4097" spans="1:10" customHeight="0">
      <c r="A4097" s="0">
        <f>HYPERLINK("https://dl.dropboxusercontent.com/scl/fi/thaz67bjukaogrfrzqa32/113069af.jpg?rlkey=kj8a9xbf5wntxornopwimxd66&amp;dl=0","Click to download Image")</f>
      </c>
      <c r="B4097" s="0">
        <f>HYPERLINK("https://dl.dropboxusercontent.com/scl/fi/432djr5cxy1i2hdi6a4kq/womens-t-shirt-size-chartscassidy.jpg?rlkey=gcdksm6gb5ip2xy0eioom9snt&amp;dl=0","Click to download SizeChart")</f>
      </c>
      <c r="C4097" s="0" t="inlineStr">
        <is>
          <t>Cassidy Womens Ringer T-shirt</t>
        </is>
      </c>
      <c r="D4097" s="0" t="inlineStr">
        <is>
          <t>'113069</t>
        </is>
      </c>
      <c r="E4097" s="0" t="inlineStr">
        <is>
          <t>IOWA CASSIDY W BLACK:113069F-3XL</t>
        </is>
      </c>
      <c r="F4097" s="0" t="inlineStr">
        <is>
          <t>'800113069099</t>
        </is>
      </c>
      <c r="G4097" s="0" t="inlineStr">
        <is>
          <t>WOMENS</t>
        </is>
      </c>
      <c r="H4097" s="0" t="inlineStr">
        <is>
          <t>3XL</t>
        </is>
      </c>
      <c r="I4097" s="0">
        <v>28.99</v>
      </c>
      <c r="J4097" s="0">
        <v>3</v>
      </c>
    </row>
    <row r="4098" spans="1:10" customHeight="0">
      <c r="A4098" s="0">
        <f>HYPERLINK("https://dl.dropboxusercontent.com/scl/fi/thaz67bjukaogrfrzqa32/113069af.jpg?rlkey=kj8a9xbf5wntxornopwimxd66&amp;dl=0","Click to download Image")</f>
      </c>
      <c r="B4098" s="0">
        <f>HYPERLINK("https://dl.dropboxusercontent.com/scl/fi/432djr5cxy1i2hdi6a4kq/womens-t-shirt-size-chartscassidy.jpg?rlkey=gcdksm6gb5ip2xy0eioom9snt&amp;dl=0","Click to download SizeChart")</f>
      </c>
      <c r="C4098" s="0" t="inlineStr">
        <is>
          <t>Cassidy Womens Ringer T-shirt</t>
        </is>
      </c>
      <c r="D4098" s="0" t="inlineStr">
        <is>
          <t>'113069</t>
        </is>
      </c>
      <c r="E4098" s="0" t="inlineStr">
        <is>
          <t>IOWA CASSIDY W BLACK 12 PACK (113069)</t>
        </is>
      </c>
      <c r="F4098" s="0" t="inlineStr">
        <is>
          <t>'800113069990</t>
        </is>
      </c>
      <c r="G4098" s="0" t="inlineStr">
        <is>
          <t>WOMENS</t>
        </is>
      </c>
      <c r="H4098" s="0" t="inlineStr">
        <is>
          <t>12 PACK</t>
        </is>
      </c>
      <c r="I4098" s="0">
        <v>259.2</v>
      </c>
      <c r="J4098" s="0">
        <v>0</v>
      </c>
    </row>
    <row r="4099" spans="1:10" customHeight="0">
      <c r="A4099" s="0">
        <f>HYPERLINK("https://dl.dropboxusercontent.com/scl/fi/gd4wq58kdlhv8fyq9zyc9/114498-f.jpg?rlkey=pyn27pwnnl3r5ildcel8ipr1h&amp;dl=0","Click to download Image")</f>
      </c>
      <c r="B4099" s="0">
        <f>HYPERLINK("https://dl.dropboxusercontent.com/scl/fi/432djr5cxy1i2hdi6a4kq/womens-t-shirt-size-chartscassidy.jpg?rlkey=gcdksm6gb5ip2xy0eioom9snt&amp;dl=0","Click to download SizeChart")</f>
      </c>
      <c r="C4099" s="0" t="inlineStr">
        <is>
          <t>Cassidy Womens Ringer T-shirt</t>
        </is>
      </c>
      <c r="D4099" s="0" t="inlineStr">
        <is>
          <t>'114498</t>
        </is>
      </c>
      <c r="E4099" s="0" t="inlineStr">
        <is>
          <t>UNI CASSIDY W PURPLE:114498A - S</t>
        </is>
      </c>
      <c r="F4099" s="0" t="inlineStr">
        <is>
          <t>'000000000000</t>
        </is>
      </c>
      <c r="G4099" s="0" t="inlineStr">
        <is>
          <t>WOMENS</t>
        </is>
      </c>
      <c r="H4099" s="0" t="inlineStr">
        <is>
          <t>S</t>
        </is>
      </c>
      <c r="I4099" s="0">
        <v>26.99</v>
      </c>
      <c r="J4099" s="0">
        <v>9</v>
      </c>
    </row>
    <row r="4100" spans="1:10" customHeight="0">
      <c r="A4100" s="0">
        <f>HYPERLINK("https://dl.dropboxusercontent.com/scl/fi/gd4wq58kdlhv8fyq9zyc9/114498-f.jpg?rlkey=pyn27pwnnl3r5ildcel8ipr1h&amp;dl=0","Click to download Image")</f>
      </c>
      <c r="B4100" s="0">
        <f>HYPERLINK("https://dl.dropboxusercontent.com/scl/fi/432djr5cxy1i2hdi6a4kq/womens-t-shirt-size-chartscassidy.jpg?rlkey=gcdksm6gb5ip2xy0eioom9snt&amp;dl=0","Click to download SizeChart")</f>
      </c>
      <c r="C4100" s="0" t="inlineStr">
        <is>
          <t>Cassidy Womens Ringer T-shirt</t>
        </is>
      </c>
      <c r="D4100" s="0" t="inlineStr">
        <is>
          <t>'114498</t>
        </is>
      </c>
      <c r="E4100" s="0" t="inlineStr">
        <is>
          <t>UNI CASSIDY W PURPLE:114498B - M</t>
        </is>
      </c>
      <c r="F4100" s="0" t="inlineStr">
        <is>
          <t>'000000000000</t>
        </is>
      </c>
      <c r="G4100" s="0" t="inlineStr">
        <is>
          <t>WOMENS</t>
        </is>
      </c>
      <c r="H4100" s="0" t="inlineStr">
        <is>
          <t>M</t>
        </is>
      </c>
      <c r="I4100" s="0">
        <v>26.99</v>
      </c>
      <c r="J4100" s="0">
        <v>20</v>
      </c>
    </row>
    <row r="4101" spans="1:10" customHeight="0">
      <c r="A4101" s="0">
        <f>HYPERLINK("https://dl.dropboxusercontent.com/scl/fi/gd4wq58kdlhv8fyq9zyc9/114498-f.jpg?rlkey=pyn27pwnnl3r5ildcel8ipr1h&amp;dl=0","Click to download Image")</f>
      </c>
      <c r="B4101" s="0">
        <f>HYPERLINK("https://dl.dropboxusercontent.com/scl/fi/432djr5cxy1i2hdi6a4kq/womens-t-shirt-size-chartscassidy.jpg?rlkey=gcdksm6gb5ip2xy0eioom9snt&amp;dl=0","Click to download SizeChart")</f>
      </c>
      <c r="C4101" s="0" t="inlineStr">
        <is>
          <t>Cassidy Womens Ringer T-shirt</t>
        </is>
      </c>
      <c r="D4101" s="0" t="inlineStr">
        <is>
          <t>'114498</t>
        </is>
      </c>
      <c r="E4101" s="0" t="inlineStr">
        <is>
          <t>UNI CASSIDY W PURPLE:114498C - L</t>
        </is>
      </c>
      <c r="F4101" s="0" t="inlineStr">
        <is>
          <t>'000000000000</t>
        </is>
      </c>
      <c r="G4101" s="0" t="inlineStr">
        <is>
          <t>WOMENS</t>
        </is>
      </c>
      <c r="H4101" s="0" t="inlineStr">
        <is>
          <t>L</t>
        </is>
      </c>
      <c r="I4101" s="0">
        <v>26.99</v>
      </c>
      <c r="J4101" s="0">
        <v>21</v>
      </c>
    </row>
    <row r="4102" spans="1:10" customHeight="0">
      <c r="A4102" s="0">
        <f>HYPERLINK("https://dl.dropboxusercontent.com/scl/fi/gd4wq58kdlhv8fyq9zyc9/114498-f.jpg?rlkey=pyn27pwnnl3r5ildcel8ipr1h&amp;dl=0","Click to download Image")</f>
      </c>
      <c r="B4102" s="0">
        <f>HYPERLINK("https://dl.dropboxusercontent.com/scl/fi/432djr5cxy1i2hdi6a4kq/womens-t-shirt-size-chartscassidy.jpg?rlkey=gcdksm6gb5ip2xy0eioom9snt&amp;dl=0","Click to download SizeChart")</f>
      </c>
      <c r="C4102" s="0" t="inlineStr">
        <is>
          <t>Cassidy Womens Ringer T-shirt</t>
        </is>
      </c>
      <c r="D4102" s="0" t="inlineStr">
        <is>
          <t>'114498</t>
        </is>
      </c>
      <c r="E4102" s="0" t="inlineStr">
        <is>
          <t>UNI CASSIDY W PURPLE:114498D - XL</t>
        </is>
      </c>
      <c r="F4102" s="0" t="inlineStr">
        <is>
          <t>'000000000000</t>
        </is>
      </c>
      <c r="G4102" s="0" t="inlineStr">
        <is>
          <t>WOMENS</t>
        </is>
      </c>
      <c r="H4102" s="0" t="inlineStr">
        <is>
          <t>XL</t>
        </is>
      </c>
      <c r="I4102" s="0">
        <v>26.99</v>
      </c>
      <c r="J4102" s="0">
        <v>9</v>
      </c>
    </row>
    <row r="4103" spans="1:10" customHeight="0">
      <c r="A4103" s="0">
        <f>HYPERLINK("https://dl.dropboxusercontent.com/scl/fi/gd4wq58kdlhv8fyq9zyc9/114498-f.jpg?rlkey=pyn27pwnnl3r5ildcel8ipr1h&amp;dl=0","Click to download Image")</f>
      </c>
      <c r="B4103" s="0">
        <f>HYPERLINK("https://dl.dropboxusercontent.com/scl/fi/432djr5cxy1i2hdi6a4kq/womens-t-shirt-size-chartscassidy.jpg?rlkey=gcdksm6gb5ip2xy0eioom9snt&amp;dl=0","Click to download SizeChart")</f>
      </c>
      <c r="C4103" s="0" t="inlineStr">
        <is>
          <t>Cassidy Womens Ringer T-shirt</t>
        </is>
      </c>
      <c r="D4103" s="0" t="inlineStr">
        <is>
          <t>'114498</t>
        </is>
      </c>
      <c r="E4103" s="0" t="inlineStr">
        <is>
          <t>UNI CASSIDY W PURPLE:114498E - 2XL</t>
        </is>
      </c>
      <c r="F4103" s="0" t="inlineStr">
        <is>
          <t>'000000000000</t>
        </is>
      </c>
      <c r="G4103" s="0" t="inlineStr">
        <is>
          <t>WOMENS</t>
        </is>
      </c>
      <c r="H4103" s="0" t="inlineStr">
        <is>
          <t>2XL</t>
        </is>
      </c>
      <c r="I4103" s="0">
        <v>28.99</v>
      </c>
      <c r="J4103" s="0">
        <v>3</v>
      </c>
    </row>
    <row r="4104" spans="1:10" customHeight="0">
      <c r="A4104" s="0">
        <f>HYPERLINK("https://dl.dropboxusercontent.com/scl/fi/gd4wq58kdlhv8fyq9zyc9/114498-f.jpg?rlkey=pyn27pwnnl3r5ildcel8ipr1h&amp;dl=0","Click to download Image")</f>
      </c>
      <c r="B4104" s="0">
        <f>HYPERLINK("https://dl.dropboxusercontent.com/scl/fi/432djr5cxy1i2hdi6a4kq/womens-t-shirt-size-chartscassidy.jpg?rlkey=gcdksm6gb5ip2xy0eioom9snt&amp;dl=0","Click to download SizeChart")</f>
      </c>
      <c r="C4104" s="0" t="inlineStr">
        <is>
          <t>Cassidy Womens Ringer T-shirt</t>
        </is>
      </c>
      <c r="D4104" s="0" t="inlineStr">
        <is>
          <t>'114498</t>
        </is>
      </c>
      <c r="E4104" s="0" t="inlineStr">
        <is>
          <t>UNI CASSIDY W PURPLE:114498F - 3XL</t>
        </is>
      </c>
      <c r="F4104" s="0" t="inlineStr">
        <is>
          <t>'000000000000</t>
        </is>
      </c>
      <c r="G4104" s="0" t="inlineStr">
        <is>
          <t>WOMENS</t>
        </is>
      </c>
      <c r="H4104" s="0" t="inlineStr">
        <is>
          <t>3XL</t>
        </is>
      </c>
      <c r="I4104" s="0">
        <v>28.99</v>
      </c>
      <c r="J4104" s="0">
        <v>2</v>
      </c>
    </row>
    <row r="4105" spans="1:10" customHeight="0">
      <c r="A4105" s="0">
        <f>HYPERLINK("https://dl.dropboxusercontent.com/scl/fi/gd4wq58kdlhv8fyq9zyc9/114498-f.jpg?rlkey=pyn27pwnnl3r5ildcel8ipr1h&amp;dl=0","Click to download Image")</f>
      </c>
      <c r="B4105" s="0">
        <f>HYPERLINK("https://dl.dropboxusercontent.com/scl/fi/432djr5cxy1i2hdi6a4kq/womens-t-shirt-size-chartscassidy.jpg?rlkey=gcdksm6gb5ip2xy0eioom9snt&amp;dl=0","Click to download SizeChart")</f>
      </c>
      <c r="C4105" s="0" t="inlineStr">
        <is>
          <t>Cassidy Womens Ringer T-shirt</t>
        </is>
      </c>
      <c r="D4105" s="0" t="inlineStr">
        <is>
          <t>'114498</t>
        </is>
      </c>
      <c r="E4105" s="0" t="inlineStr">
        <is>
          <t>UNI CASSIDY W PURPLE 12 PACK (114498)</t>
        </is>
      </c>
      <c r="F4105" s="0" t="inlineStr">
        <is>
          <t>'000000000000</t>
        </is>
      </c>
      <c r="G4105" s="0" t="inlineStr">
        <is>
          <t>WOMENS</t>
        </is>
      </c>
      <c r="H4105" s="0" t="inlineStr">
        <is>
          <t>12 PACK</t>
        </is>
      </c>
      <c r="I4105" s="0">
        <v>259.2</v>
      </c>
      <c r="J4105" s="0">
        <v>0</v>
      </c>
    </row>
    <row r="4106" spans="1:10" customHeight="0">
      <c r="A4106" s="0">
        <f>HYPERLINK("https://dl.dropboxusercontent.com/scl/fi/3of3ei8zmtdgwcoghmox5/cassidy-114501-f.jpg?rlkey=6bv6tdoly2lfjovau4grab7y9&amp;dl=0","Click to download Image")</f>
      </c>
      <c r="B4106" s="0">
        <f>HYPERLINK("https://dl.dropboxusercontent.com/scl/fi/432djr5cxy1i2hdi6a4kq/womens-t-shirt-size-chartscassidy.jpg?rlkey=gcdksm6gb5ip2xy0eioom9snt&amp;dl=0","Click to download SizeChart")</f>
      </c>
      <c r="C4106" s="0" t="inlineStr">
        <is>
          <t>Cassidy Womens Ringer T-shirt</t>
        </is>
      </c>
      <c r="D4106" s="0" t="inlineStr">
        <is>
          <t>'114501</t>
        </is>
      </c>
      <c r="E4106" s="0" t="inlineStr">
        <is>
          <t>MU CASSIDY W BLACK:114501A - S</t>
        </is>
      </c>
      <c r="F4106" s="0" t="inlineStr">
        <is>
          <t>'000000000000</t>
        </is>
      </c>
      <c r="G4106" s="0" t="inlineStr">
        <is>
          <t>WOMENS</t>
        </is>
      </c>
      <c r="H4106" s="0" t="inlineStr">
        <is>
          <t>S</t>
        </is>
      </c>
      <c r="I4106" s="0">
        <v>26.99</v>
      </c>
      <c r="J4106" s="0">
        <v>5</v>
      </c>
    </row>
    <row r="4107" spans="1:10" customHeight="0">
      <c r="A4107" s="0">
        <f>HYPERLINK("https://dl.dropboxusercontent.com/scl/fi/3of3ei8zmtdgwcoghmox5/cassidy-114501-f.jpg?rlkey=6bv6tdoly2lfjovau4grab7y9&amp;dl=0","Click to download Image")</f>
      </c>
      <c r="B4107" s="0">
        <f>HYPERLINK("https://dl.dropboxusercontent.com/scl/fi/432djr5cxy1i2hdi6a4kq/womens-t-shirt-size-chartscassidy.jpg?rlkey=gcdksm6gb5ip2xy0eioom9snt&amp;dl=0","Click to download SizeChart")</f>
      </c>
      <c r="C4107" s="0" t="inlineStr">
        <is>
          <t>Cassidy Womens Ringer T-shirt</t>
        </is>
      </c>
      <c r="D4107" s="0" t="inlineStr">
        <is>
          <t>'114501</t>
        </is>
      </c>
      <c r="E4107" s="0" t="inlineStr">
        <is>
          <t>MU CASSIDY W BLACK:114501B - M</t>
        </is>
      </c>
      <c r="F4107" s="0" t="inlineStr">
        <is>
          <t>'000000000000</t>
        </is>
      </c>
      <c r="G4107" s="0" t="inlineStr">
        <is>
          <t>WOMENS</t>
        </is>
      </c>
      <c r="H4107" s="0" t="inlineStr">
        <is>
          <t>M</t>
        </is>
      </c>
      <c r="I4107" s="0">
        <v>26.99</v>
      </c>
      <c r="J4107" s="0">
        <v>18</v>
      </c>
    </row>
    <row r="4108" spans="1:10" customHeight="0">
      <c r="A4108" s="0">
        <f>HYPERLINK("https://dl.dropboxusercontent.com/scl/fi/3of3ei8zmtdgwcoghmox5/cassidy-114501-f.jpg?rlkey=6bv6tdoly2lfjovau4grab7y9&amp;dl=0","Click to download Image")</f>
      </c>
      <c r="B4108" s="0">
        <f>HYPERLINK("https://dl.dropboxusercontent.com/scl/fi/432djr5cxy1i2hdi6a4kq/womens-t-shirt-size-chartscassidy.jpg?rlkey=gcdksm6gb5ip2xy0eioom9snt&amp;dl=0","Click to download SizeChart")</f>
      </c>
      <c r="C4108" s="0" t="inlineStr">
        <is>
          <t>Cassidy Womens Ringer T-shirt</t>
        </is>
      </c>
      <c r="D4108" s="0" t="inlineStr">
        <is>
          <t>'114501</t>
        </is>
      </c>
      <c r="E4108" s="0" t="inlineStr">
        <is>
          <t>MU CASSIDY W BLACK:114501C - L</t>
        </is>
      </c>
      <c r="F4108" s="0" t="inlineStr">
        <is>
          <t>'000000000000</t>
        </is>
      </c>
      <c r="G4108" s="0" t="inlineStr">
        <is>
          <t>WOMENS</t>
        </is>
      </c>
      <c r="H4108" s="0" t="inlineStr">
        <is>
          <t>L</t>
        </is>
      </c>
      <c r="I4108" s="0">
        <v>26.99</v>
      </c>
      <c r="J4108" s="0">
        <v>17</v>
      </c>
    </row>
    <row r="4109" spans="1:10" customHeight="0">
      <c r="A4109" s="0">
        <f>HYPERLINK("https://dl.dropboxusercontent.com/scl/fi/3of3ei8zmtdgwcoghmox5/cassidy-114501-f.jpg?rlkey=6bv6tdoly2lfjovau4grab7y9&amp;dl=0","Click to download Image")</f>
      </c>
      <c r="B4109" s="0">
        <f>HYPERLINK("https://dl.dropboxusercontent.com/scl/fi/432djr5cxy1i2hdi6a4kq/womens-t-shirt-size-chartscassidy.jpg?rlkey=gcdksm6gb5ip2xy0eioom9snt&amp;dl=0","Click to download SizeChart")</f>
      </c>
      <c r="C4109" s="0" t="inlineStr">
        <is>
          <t>Cassidy Womens Ringer T-shirt</t>
        </is>
      </c>
      <c r="D4109" s="0" t="inlineStr">
        <is>
          <t>'114501</t>
        </is>
      </c>
      <c r="E4109" s="0" t="inlineStr">
        <is>
          <t>MU CASSIDY W BLACK:114501D - XL</t>
        </is>
      </c>
      <c r="F4109" s="0" t="inlineStr">
        <is>
          <t>'000000000000</t>
        </is>
      </c>
      <c r="G4109" s="0" t="inlineStr">
        <is>
          <t>WOMENS</t>
        </is>
      </c>
      <c r="H4109" s="0" t="inlineStr">
        <is>
          <t>XL</t>
        </is>
      </c>
      <c r="I4109" s="0">
        <v>26.99</v>
      </c>
      <c r="J4109" s="0">
        <v>8</v>
      </c>
    </row>
    <row r="4110" spans="1:10" customHeight="0">
      <c r="A4110" s="0">
        <f>HYPERLINK("https://dl.dropboxusercontent.com/scl/fi/3of3ei8zmtdgwcoghmox5/cassidy-114501-f.jpg?rlkey=6bv6tdoly2lfjovau4grab7y9&amp;dl=0","Click to download Image")</f>
      </c>
      <c r="B4110" s="0">
        <f>HYPERLINK("https://dl.dropboxusercontent.com/scl/fi/432djr5cxy1i2hdi6a4kq/womens-t-shirt-size-chartscassidy.jpg?rlkey=gcdksm6gb5ip2xy0eioom9snt&amp;dl=0","Click to download SizeChart")</f>
      </c>
      <c r="C4110" s="0" t="inlineStr">
        <is>
          <t>Cassidy Womens Ringer T-shirt</t>
        </is>
      </c>
      <c r="D4110" s="0" t="inlineStr">
        <is>
          <t>'114501</t>
        </is>
      </c>
      <c r="E4110" s="0" t="inlineStr">
        <is>
          <t>MU CASSIDY W BLACK:114501E - 2XL</t>
        </is>
      </c>
      <c r="F4110" s="0" t="inlineStr">
        <is>
          <t>'000000000000</t>
        </is>
      </c>
      <c r="G4110" s="0" t="inlineStr">
        <is>
          <t>WOMENS</t>
        </is>
      </c>
      <c r="H4110" s="0" t="inlineStr">
        <is>
          <t>2XL</t>
        </is>
      </c>
      <c r="I4110" s="0">
        <v>28.99</v>
      </c>
      <c r="J4110" s="0">
        <v>4</v>
      </c>
    </row>
    <row r="4111" spans="1:10" customHeight="0">
      <c r="A4111" s="0">
        <f>HYPERLINK("https://dl.dropboxusercontent.com/scl/fi/3of3ei8zmtdgwcoghmox5/cassidy-114501-f.jpg?rlkey=6bv6tdoly2lfjovau4grab7y9&amp;dl=0","Click to download Image")</f>
      </c>
      <c r="B4111" s="0">
        <f>HYPERLINK("https://dl.dropboxusercontent.com/scl/fi/432djr5cxy1i2hdi6a4kq/womens-t-shirt-size-chartscassidy.jpg?rlkey=gcdksm6gb5ip2xy0eioom9snt&amp;dl=0","Click to download SizeChart")</f>
      </c>
      <c r="C4111" s="0" t="inlineStr">
        <is>
          <t>Cassidy Womens Ringer T-shirt</t>
        </is>
      </c>
      <c r="D4111" s="0" t="inlineStr">
        <is>
          <t>'114501</t>
        </is>
      </c>
      <c r="E4111" s="0" t="inlineStr">
        <is>
          <t>MU CASSIDY W BLACK:114501F - 3XL</t>
        </is>
      </c>
      <c r="F4111" s="0" t="inlineStr">
        <is>
          <t>'000000000000</t>
        </is>
      </c>
      <c r="G4111" s="0" t="inlineStr">
        <is>
          <t>WOMENS</t>
        </is>
      </c>
      <c r="H4111" s="0" t="inlineStr">
        <is>
          <t>3XL</t>
        </is>
      </c>
      <c r="I4111" s="0">
        <v>28.99</v>
      </c>
      <c r="J4111" s="0">
        <v>2</v>
      </c>
    </row>
    <row r="4112" spans="1:10" customHeight="0">
      <c r="A4112" s="0">
        <f>HYPERLINK("https://dl.dropboxusercontent.com/scl/fi/slvq2r6qte6kjovdcsmj3/114710-f.jpg?rlkey=a3p47kfb6btnecw8c7cpleaxj&amp;dl=0","Click to download Image")</f>
      </c>
      <c r="B4112" s="0">
        <f>HYPERLINK("https://dl.dropboxusercontent.com/scl/fi/s9zo9kw9y9181mw9g2v6m/graphic-update22022-infant.jpg?rlkey=t6dixduv1yv7cqq76i3ys8ltf&amp;dl=0","Click to download SizeChart")</f>
      </c>
      <c r="C4112" s="0" t="inlineStr">
        <is>
          <t>Cordelia Infant Sherpa Jacket</t>
        </is>
      </c>
      <c r="D4112" s="0" t="inlineStr">
        <is>
          <t>'114710</t>
        </is>
      </c>
      <c r="E4112" s="0" t="inlineStr">
        <is>
          <t>UNI CORDELIA I WHITE:114710A-0-3M</t>
        </is>
      </c>
      <c r="F4112" s="0" t="inlineStr">
        <is>
          <t>'000000000000</t>
        </is>
      </c>
      <c r="G4112" s="0" t="inlineStr">
        <is>
          <t>INFANT</t>
        </is>
      </c>
      <c r="H4112" s="0" t="inlineStr">
        <is>
          <t>0-3M</t>
        </is>
      </c>
      <c r="I4112" s="0">
        <v>34.99</v>
      </c>
      <c r="J4112" s="0">
        <v>8</v>
      </c>
    </row>
    <row r="4113" spans="1:10" customHeight="0">
      <c r="A4113" s="0">
        <f>HYPERLINK("https://dl.dropboxusercontent.com/scl/fi/slvq2r6qte6kjovdcsmj3/114710-f.jpg?rlkey=a3p47kfb6btnecw8c7cpleaxj&amp;dl=0","Click to download Image")</f>
      </c>
      <c r="B4113" s="0">
        <f>HYPERLINK("https://dl.dropboxusercontent.com/scl/fi/s9zo9kw9y9181mw9g2v6m/graphic-update22022-infant.jpg?rlkey=t6dixduv1yv7cqq76i3ys8ltf&amp;dl=0","Click to download SizeChart")</f>
      </c>
      <c r="C4113" s="0" t="inlineStr">
        <is>
          <t>Cordelia Infant Sherpa Jacket</t>
        </is>
      </c>
      <c r="D4113" s="0" t="inlineStr">
        <is>
          <t>'114710</t>
        </is>
      </c>
      <c r="E4113" s="0" t="inlineStr">
        <is>
          <t>UNI CORDELIA I WHITE:114710B-3-6M</t>
        </is>
      </c>
      <c r="F4113" s="0" t="inlineStr">
        <is>
          <t>'000000000000</t>
        </is>
      </c>
      <c r="G4113" s="0" t="inlineStr">
        <is>
          <t>INFANT</t>
        </is>
      </c>
      <c r="H4113" s="0" t="inlineStr">
        <is>
          <t>3-6M</t>
        </is>
      </c>
      <c r="I4113" s="0">
        <v>34.99</v>
      </c>
      <c r="J4113" s="0">
        <v>8</v>
      </c>
    </row>
    <row r="4114" spans="1:10" customHeight="0">
      <c r="A4114" s="0">
        <f>HYPERLINK("https://dl.dropboxusercontent.com/scl/fi/slvq2r6qte6kjovdcsmj3/114710-f.jpg?rlkey=a3p47kfb6btnecw8c7cpleaxj&amp;dl=0","Click to download Image")</f>
      </c>
      <c r="B4114" s="0">
        <f>HYPERLINK("https://dl.dropboxusercontent.com/scl/fi/s9zo9kw9y9181mw9g2v6m/graphic-update22022-infant.jpg?rlkey=t6dixduv1yv7cqq76i3ys8ltf&amp;dl=0","Click to download SizeChart")</f>
      </c>
      <c r="C4114" s="0" t="inlineStr">
        <is>
          <t>Cordelia Infant Sherpa Jacket</t>
        </is>
      </c>
      <c r="D4114" s="0" t="inlineStr">
        <is>
          <t>'114710</t>
        </is>
      </c>
      <c r="E4114" s="0" t="inlineStr">
        <is>
          <t>UNI CORDELIA I WHITE:114710C-6-9M</t>
        </is>
      </c>
      <c r="F4114" s="0" t="inlineStr">
        <is>
          <t>'000000000000</t>
        </is>
      </c>
      <c r="G4114" s="0" t="inlineStr">
        <is>
          <t>INFANT</t>
        </is>
      </c>
      <c r="H4114" s="0" t="inlineStr">
        <is>
          <t>6-9M</t>
        </is>
      </c>
      <c r="I4114" s="0">
        <v>34.99</v>
      </c>
      <c r="J4114" s="0">
        <v>8</v>
      </c>
    </row>
    <row r="4115" spans="1:10" customHeight="0">
      <c r="A4115" s="0">
        <f>HYPERLINK("https://dl.dropboxusercontent.com/scl/fi/slvq2r6qte6kjovdcsmj3/114710-f.jpg?rlkey=a3p47kfb6btnecw8c7cpleaxj&amp;dl=0","Click to download Image")</f>
      </c>
      <c r="B4115" s="0">
        <f>HYPERLINK("https://dl.dropboxusercontent.com/scl/fi/s9zo9kw9y9181mw9g2v6m/graphic-update22022-infant.jpg?rlkey=t6dixduv1yv7cqq76i3ys8ltf&amp;dl=0","Click to download SizeChart")</f>
      </c>
      <c r="C4115" s="0" t="inlineStr">
        <is>
          <t>Cordelia Infant Sherpa Jacket</t>
        </is>
      </c>
      <c r="D4115" s="0" t="inlineStr">
        <is>
          <t>'114710</t>
        </is>
      </c>
      <c r="E4115" s="0" t="inlineStr">
        <is>
          <t>UNI CORDELIA I WHITE:114710F-12M</t>
        </is>
      </c>
      <c r="F4115" s="0" t="inlineStr">
        <is>
          <t>'000000000000</t>
        </is>
      </c>
      <c r="G4115" s="0" t="inlineStr">
        <is>
          <t>INFANT</t>
        </is>
      </c>
      <c r="H4115" s="0" t="inlineStr">
        <is>
          <t>12M</t>
        </is>
      </c>
      <c r="I4115" s="0">
        <v>34.99</v>
      </c>
      <c r="J4115" s="0">
        <v>5</v>
      </c>
    </row>
    <row r="4116" spans="1:10" customHeight="0">
      <c r="A4116" s="0">
        <f>HYPERLINK("https://dl.dropboxusercontent.com/scl/fi/slvq2r6qte6kjovdcsmj3/114710-f.jpg?rlkey=a3p47kfb6btnecw8c7cpleaxj&amp;dl=0","Click to download Image")</f>
      </c>
      <c r="B4116" s="0">
        <f>HYPERLINK("https://dl.dropboxusercontent.com/scl/fi/s9zo9kw9y9181mw9g2v6m/graphic-update22022-infant.jpg?rlkey=t6dixduv1yv7cqq76i3ys8ltf&amp;dl=0","Click to download SizeChart")</f>
      </c>
      <c r="C4116" s="0" t="inlineStr">
        <is>
          <t>Cordelia Infant Sherpa Jacket</t>
        </is>
      </c>
      <c r="D4116" s="0" t="inlineStr">
        <is>
          <t>'114710</t>
        </is>
      </c>
      <c r="E4116" s="0" t="inlineStr">
        <is>
          <t>UNI CORDELIA I WHITE 12 PACK (114710)</t>
        </is>
      </c>
      <c r="F4116" s="0" t="inlineStr">
        <is>
          <t>'000000000000</t>
        </is>
      </c>
      <c r="G4116" s="0" t="inlineStr">
        <is>
          <t>INFANT</t>
        </is>
      </c>
      <c r="H4116" s="0" t="inlineStr">
        <is>
          <t>12 PACK</t>
        </is>
      </c>
      <c r="I4116" s="0">
        <v>395.88</v>
      </c>
      <c r="J4116" s="0">
        <v>0</v>
      </c>
    </row>
    <row r="4117" spans="1:10" customHeight="0">
      <c r="A4117" s="0">
        <f>HYPERLINK("https://dl.dropboxusercontent.com/scl/fi/92qyxx4wvj8i820pd8bgu/113001-af.jpg?rlkey=w6ali38wx825sqsrhxu77nvsb&amp;dl=0","Click to download Image")</f>
      </c>
      <c r="B4117" s="0">
        <f>HYPERLINK("https://dl.dropboxusercontent.com/scl/fi/7be376cn5an851ruzv7aj/womens-size-chartsdixie.jpg?rlkey=fzaemvmb7qtasme268t8j9f0q&amp;dl=0","Click to download SizeChart")</f>
      </c>
      <c r="C4117" s="0" t="inlineStr">
        <is>
          <t>Dixie Women's Reversible Vest</t>
        </is>
      </c>
      <c r="D4117" s="0" t="inlineStr">
        <is>
          <t>'113001</t>
        </is>
      </c>
      <c r="E4117" s="0" t="inlineStr">
        <is>
          <t>UNI DIXIE W GOLD:113001A-S</t>
        </is>
      </c>
      <c r="F4117" s="0" t="inlineStr">
        <is>
          <t>'802113001048</t>
        </is>
      </c>
      <c r="G4117" s="0" t="inlineStr">
        <is>
          <t>WOMENS</t>
        </is>
      </c>
      <c r="H4117" s="0" t="inlineStr">
        <is>
          <t>S</t>
        </is>
      </c>
      <c r="I4117" s="0">
        <v>54.99</v>
      </c>
      <c r="J4117" s="0">
        <v>4</v>
      </c>
    </row>
    <row r="4118" spans="1:10" customHeight="0">
      <c r="A4118" s="0">
        <f>HYPERLINK("https://dl.dropboxusercontent.com/scl/fi/92qyxx4wvj8i820pd8bgu/113001-af.jpg?rlkey=w6ali38wx825sqsrhxu77nvsb&amp;dl=0","Click to download Image")</f>
      </c>
      <c r="B4118" s="0">
        <f>HYPERLINK("https://dl.dropboxusercontent.com/scl/fi/7be376cn5an851ruzv7aj/womens-size-chartsdixie.jpg?rlkey=fzaemvmb7qtasme268t8j9f0q&amp;dl=0","Click to download SizeChart")</f>
      </c>
      <c r="C4118" s="0" t="inlineStr">
        <is>
          <t>Dixie Women's Reversible Vest</t>
        </is>
      </c>
      <c r="D4118" s="0" t="inlineStr">
        <is>
          <t>'113001</t>
        </is>
      </c>
      <c r="E4118" s="0" t="inlineStr">
        <is>
          <t>UNI DIXIE W GOLD:113001B-M</t>
        </is>
      </c>
      <c r="F4118" s="0" t="inlineStr">
        <is>
          <t>'802113001055</t>
        </is>
      </c>
      <c r="G4118" s="0" t="inlineStr">
        <is>
          <t>WOMENS</t>
        </is>
      </c>
      <c r="H4118" s="0" t="inlineStr">
        <is>
          <t>M</t>
        </is>
      </c>
      <c r="I4118" s="0">
        <v>54.99</v>
      </c>
      <c r="J4118" s="0">
        <v>18</v>
      </c>
    </row>
    <row r="4119" spans="1:10" customHeight="0">
      <c r="A4119" s="0">
        <f>HYPERLINK("https://dl.dropboxusercontent.com/scl/fi/92qyxx4wvj8i820pd8bgu/113001-af.jpg?rlkey=w6ali38wx825sqsrhxu77nvsb&amp;dl=0","Click to download Image")</f>
      </c>
      <c r="B4119" s="0">
        <f>HYPERLINK("https://dl.dropboxusercontent.com/scl/fi/7be376cn5an851ruzv7aj/womens-size-chartsdixie.jpg?rlkey=fzaemvmb7qtasme268t8j9f0q&amp;dl=0","Click to download SizeChart")</f>
      </c>
      <c r="C4119" s="0" t="inlineStr">
        <is>
          <t>Dixie Women's Reversible Vest</t>
        </is>
      </c>
      <c r="D4119" s="0" t="inlineStr">
        <is>
          <t>'113001</t>
        </is>
      </c>
      <c r="E4119" s="0" t="inlineStr">
        <is>
          <t>UNI DIXIE W GOLD:113001C-L</t>
        </is>
      </c>
      <c r="F4119" s="0" t="inlineStr">
        <is>
          <t>'802113001062</t>
        </is>
      </c>
      <c r="G4119" s="0" t="inlineStr">
        <is>
          <t>WOMENS</t>
        </is>
      </c>
      <c r="H4119" s="0" t="inlineStr">
        <is>
          <t>L</t>
        </is>
      </c>
      <c r="I4119" s="0">
        <v>54.99</v>
      </c>
      <c r="J4119" s="0">
        <v>21</v>
      </c>
    </row>
    <row r="4120" spans="1:10" customHeight="0">
      <c r="A4120" s="0">
        <f>HYPERLINK("https://dl.dropboxusercontent.com/scl/fi/92qyxx4wvj8i820pd8bgu/113001-af.jpg?rlkey=w6ali38wx825sqsrhxu77nvsb&amp;dl=0","Click to download Image")</f>
      </c>
      <c r="B4120" s="0">
        <f>HYPERLINK("https://dl.dropboxusercontent.com/scl/fi/7be376cn5an851ruzv7aj/womens-size-chartsdixie.jpg?rlkey=fzaemvmb7qtasme268t8j9f0q&amp;dl=0","Click to download SizeChart")</f>
      </c>
      <c r="C4120" s="0" t="inlineStr">
        <is>
          <t>Dixie Women's Reversible Vest</t>
        </is>
      </c>
      <c r="D4120" s="0" t="inlineStr">
        <is>
          <t>'113001</t>
        </is>
      </c>
      <c r="E4120" s="0" t="inlineStr">
        <is>
          <t>UNI DIXIE W GOLD:113001D-XL</t>
        </is>
      </c>
      <c r="F4120" s="0" t="inlineStr">
        <is>
          <t>'802113001079</t>
        </is>
      </c>
      <c r="G4120" s="0" t="inlineStr">
        <is>
          <t>WOMENS</t>
        </is>
      </c>
      <c r="H4120" s="0" t="inlineStr">
        <is>
          <t>XL</t>
        </is>
      </c>
      <c r="I4120" s="0">
        <v>54.99</v>
      </c>
      <c r="J4120" s="0">
        <v>8</v>
      </c>
    </row>
    <row r="4121" spans="1:10" customHeight="0">
      <c r="A4121" s="0">
        <f>HYPERLINK("https://dl.dropboxusercontent.com/scl/fi/92qyxx4wvj8i820pd8bgu/113001-af.jpg?rlkey=w6ali38wx825sqsrhxu77nvsb&amp;dl=0","Click to download Image")</f>
      </c>
      <c r="B4121" s="0">
        <f>HYPERLINK("https://dl.dropboxusercontent.com/scl/fi/7be376cn5an851ruzv7aj/womens-size-chartsdixie.jpg?rlkey=fzaemvmb7qtasme268t8j9f0q&amp;dl=0","Click to download SizeChart")</f>
      </c>
      <c r="C4121" s="0" t="inlineStr">
        <is>
          <t>Dixie Women's Reversible Vest</t>
        </is>
      </c>
      <c r="D4121" s="0" t="inlineStr">
        <is>
          <t>'113001</t>
        </is>
      </c>
      <c r="E4121" s="0" t="inlineStr">
        <is>
          <t>UNI DIXIE W GOLD:113001E-2XL</t>
        </is>
      </c>
      <c r="F4121" s="0" t="inlineStr">
        <is>
          <t>'802113001086</t>
        </is>
      </c>
      <c r="G4121" s="0" t="inlineStr">
        <is>
          <t>WOMENS</t>
        </is>
      </c>
      <c r="H4121" s="0" t="inlineStr">
        <is>
          <t>2XL</t>
        </is>
      </c>
      <c r="I4121" s="0">
        <v>56.99</v>
      </c>
      <c r="J4121" s="0">
        <v>2</v>
      </c>
    </row>
    <row r="4122" spans="1:10" customHeight="0">
      <c r="A4122" s="0">
        <f>HYPERLINK("https://dl.dropboxusercontent.com/scl/fi/92qyxx4wvj8i820pd8bgu/113001-af.jpg?rlkey=w6ali38wx825sqsrhxu77nvsb&amp;dl=0","Click to download Image")</f>
      </c>
      <c r="B4122" s="0">
        <f>HYPERLINK("https://dl.dropboxusercontent.com/scl/fi/7be376cn5an851ruzv7aj/womens-size-chartsdixie.jpg?rlkey=fzaemvmb7qtasme268t8j9f0q&amp;dl=0","Click to download SizeChart")</f>
      </c>
      <c r="C4122" s="0" t="inlineStr">
        <is>
          <t>Dixie Women's Reversible Vest</t>
        </is>
      </c>
      <c r="D4122" s="0" t="inlineStr">
        <is>
          <t>'113001</t>
        </is>
      </c>
      <c r="E4122" s="0" t="inlineStr">
        <is>
          <t>UNI DIXIE W GOLD:113001F-3XL</t>
        </is>
      </c>
      <c r="F4122" s="0" t="inlineStr">
        <is>
          <t>'802113001093</t>
        </is>
      </c>
      <c r="G4122" s="0" t="inlineStr">
        <is>
          <t>WOMENS</t>
        </is>
      </c>
      <c r="H4122" s="0" t="inlineStr">
        <is>
          <t>3XL</t>
        </is>
      </c>
      <c r="I4122" s="0">
        <v>56.99</v>
      </c>
      <c r="J4122" s="0">
        <v>0</v>
      </c>
    </row>
    <row r="4123" spans="1:10" customHeight="0">
      <c r="A4123" s="0">
        <f>HYPERLINK("https://dl.dropboxusercontent.com/scl/fi/92qyxx4wvj8i820pd8bgu/113001-af.jpg?rlkey=w6ali38wx825sqsrhxu77nvsb&amp;dl=0","Click to download Image")</f>
      </c>
      <c r="B4123" s="0">
        <f>HYPERLINK("https://dl.dropboxusercontent.com/scl/fi/7be376cn5an851ruzv7aj/womens-size-chartsdixie.jpg?rlkey=fzaemvmb7qtasme268t8j9f0q&amp;dl=0","Click to download SizeChart")</f>
      </c>
      <c r="C4123" s="0" t="inlineStr">
        <is>
          <t>Dixie Women's Reversible Vest</t>
        </is>
      </c>
      <c r="D4123" s="0" t="inlineStr">
        <is>
          <t>'113001</t>
        </is>
      </c>
      <c r="E4123" s="0" t="inlineStr">
        <is>
          <t>UNI DIXIE W GOLD 12 PACK:113001Z-12PK</t>
        </is>
      </c>
      <c r="F4123" s="0" t="inlineStr">
        <is>
          <t>'802113001994</t>
        </is>
      </c>
      <c r="G4123" s="0" t="inlineStr">
        <is>
          <t>WOMENS</t>
        </is>
      </c>
      <c r="H4123" s="0" t="inlineStr">
        <is>
          <t>12 PACK</t>
        </is>
      </c>
      <c r="I4123" s="0">
        <v>635.88</v>
      </c>
      <c r="J4123" s="0">
        <v>0</v>
      </c>
    </row>
    <row r="4124" spans="1:10" customHeight="0">
      <c r="A4124" s="0">
        <f>HYPERLINK("https://dl.dropboxusercontent.com/scl/fi/jgsecesa6cyfg5agxd9qr/113000-af.jpg?rlkey=83c1vlpcrgpda75ist6y8wxc9&amp;dl=0","Click to download Image")</f>
      </c>
      <c r="B4124" s="0">
        <f>HYPERLINK("https://dl.dropboxusercontent.com/scl/fi/7be376cn5an851ruzv7aj/womens-size-chartsdixie.jpg?rlkey=fzaemvmb7qtasme268t8j9f0q&amp;dl=0","Click to download SizeChart")</f>
      </c>
      <c r="C4124" s="0" t="inlineStr">
        <is>
          <t>Dixie Women's Reversible Vest</t>
        </is>
      </c>
      <c r="D4124" s="0" t="inlineStr">
        <is>
          <t>'113000</t>
        </is>
      </c>
      <c r="E4124" s="0" t="inlineStr">
        <is>
          <t>ISU DIXIE W GOLD:113000A-S</t>
        </is>
      </c>
      <c r="F4124" s="0" t="inlineStr">
        <is>
          <t>'801113000044</t>
        </is>
      </c>
      <c r="G4124" s="0" t="inlineStr">
        <is>
          <t>WOMENS</t>
        </is>
      </c>
      <c r="H4124" s="0" t="inlineStr">
        <is>
          <t>S</t>
        </is>
      </c>
      <c r="I4124" s="0">
        <v>54.99</v>
      </c>
      <c r="J4124" s="0">
        <v>1</v>
      </c>
    </row>
    <row r="4125" spans="1:10" customHeight="0">
      <c r="A4125" s="0">
        <f>HYPERLINK("https://dl.dropboxusercontent.com/scl/fi/jgsecesa6cyfg5agxd9qr/113000-af.jpg?rlkey=83c1vlpcrgpda75ist6y8wxc9&amp;dl=0","Click to download Image")</f>
      </c>
      <c r="B4125" s="0">
        <f>HYPERLINK("https://dl.dropboxusercontent.com/scl/fi/7be376cn5an851ruzv7aj/womens-size-chartsdixie.jpg?rlkey=fzaemvmb7qtasme268t8j9f0q&amp;dl=0","Click to download SizeChart")</f>
      </c>
      <c r="C4125" s="0" t="inlineStr">
        <is>
          <t>Dixie Women's Reversible Vest</t>
        </is>
      </c>
      <c r="D4125" s="0" t="inlineStr">
        <is>
          <t>'113000</t>
        </is>
      </c>
      <c r="E4125" s="0" t="inlineStr">
        <is>
          <t>ISU DIXIE W GOLD:113000B-M</t>
        </is>
      </c>
      <c r="F4125" s="0" t="inlineStr">
        <is>
          <t>'801113000051</t>
        </is>
      </c>
      <c r="G4125" s="0" t="inlineStr">
        <is>
          <t>WOMENS</t>
        </is>
      </c>
      <c r="H4125" s="0" t="inlineStr">
        <is>
          <t>M</t>
        </is>
      </c>
      <c r="I4125" s="0">
        <v>54.99</v>
      </c>
      <c r="J4125" s="0">
        <v>13</v>
      </c>
    </row>
    <row r="4126" spans="1:10" customHeight="0">
      <c r="A4126" s="0">
        <f>HYPERLINK("https://dl.dropboxusercontent.com/scl/fi/jgsecesa6cyfg5agxd9qr/113000-af.jpg?rlkey=83c1vlpcrgpda75ist6y8wxc9&amp;dl=0","Click to download Image")</f>
      </c>
      <c r="B4126" s="0">
        <f>HYPERLINK("https://dl.dropboxusercontent.com/scl/fi/7be376cn5an851ruzv7aj/womens-size-chartsdixie.jpg?rlkey=fzaemvmb7qtasme268t8j9f0q&amp;dl=0","Click to download SizeChart")</f>
      </c>
      <c r="C4126" s="0" t="inlineStr">
        <is>
          <t>Dixie Women's Reversible Vest</t>
        </is>
      </c>
      <c r="D4126" s="0" t="inlineStr">
        <is>
          <t>'113000</t>
        </is>
      </c>
      <c r="E4126" s="0" t="inlineStr">
        <is>
          <t>ISU DIXIE W GOLD:113000C-L</t>
        </is>
      </c>
      <c r="F4126" s="0" t="inlineStr">
        <is>
          <t>'801113000068</t>
        </is>
      </c>
      <c r="G4126" s="0" t="inlineStr">
        <is>
          <t>WOMENS</t>
        </is>
      </c>
      <c r="H4126" s="0" t="inlineStr">
        <is>
          <t>L</t>
        </is>
      </c>
      <c r="I4126" s="0">
        <v>54.99</v>
      </c>
      <c r="J4126" s="0">
        <v>19</v>
      </c>
    </row>
    <row r="4127" spans="1:10" customHeight="0">
      <c r="A4127" s="0">
        <f>HYPERLINK("https://dl.dropboxusercontent.com/scl/fi/jgsecesa6cyfg5agxd9qr/113000-af.jpg?rlkey=83c1vlpcrgpda75ist6y8wxc9&amp;dl=0","Click to download Image")</f>
      </c>
      <c r="B4127" s="0">
        <f>HYPERLINK("https://dl.dropboxusercontent.com/scl/fi/7be376cn5an851ruzv7aj/womens-size-chartsdixie.jpg?rlkey=fzaemvmb7qtasme268t8j9f0q&amp;dl=0","Click to download SizeChart")</f>
      </c>
      <c r="C4127" s="0" t="inlineStr">
        <is>
          <t>Dixie Women's Reversible Vest</t>
        </is>
      </c>
      <c r="D4127" s="0" t="inlineStr">
        <is>
          <t>'113000</t>
        </is>
      </c>
      <c r="E4127" s="0" t="inlineStr">
        <is>
          <t>ISU DIXIE W GOLD:113000D-XL</t>
        </is>
      </c>
      <c r="F4127" s="0" t="inlineStr">
        <is>
          <t>'801113000075</t>
        </is>
      </c>
      <c r="G4127" s="0" t="inlineStr">
        <is>
          <t>WOMENS</t>
        </is>
      </c>
      <c r="H4127" s="0" t="inlineStr">
        <is>
          <t>XL</t>
        </is>
      </c>
      <c r="I4127" s="0">
        <v>54.99</v>
      </c>
      <c r="J4127" s="0">
        <v>1</v>
      </c>
    </row>
    <row r="4128" spans="1:10" customHeight="0">
      <c r="A4128" s="0">
        <f>HYPERLINK("https://dl.dropboxusercontent.com/scl/fi/jgsecesa6cyfg5agxd9qr/113000-af.jpg?rlkey=83c1vlpcrgpda75ist6y8wxc9&amp;dl=0","Click to download Image")</f>
      </c>
      <c r="B4128" s="0">
        <f>HYPERLINK("https://dl.dropboxusercontent.com/scl/fi/7be376cn5an851ruzv7aj/womens-size-chartsdixie.jpg?rlkey=fzaemvmb7qtasme268t8j9f0q&amp;dl=0","Click to download SizeChart")</f>
      </c>
      <c r="C4128" s="0" t="inlineStr">
        <is>
          <t>Dixie Women's Reversible Vest</t>
        </is>
      </c>
      <c r="D4128" s="0" t="inlineStr">
        <is>
          <t>'113000</t>
        </is>
      </c>
      <c r="E4128" s="0" t="inlineStr">
        <is>
          <t>ISU DIXIE W GOLD:113000E-2XL</t>
        </is>
      </c>
      <c r="F4128" s="0" t="inlineStr">
        <is>
          <t>'801113000082</t>
        </is>
      </c>
      <c r="G4128" s="0" t="inlineStr">
        <is>
          <t>WOMENS</t>
        </is>
      </c>
      <c r="H4128" s="0" t="inlineStr">
        <is>
          <t>2XL</t>
        </is>
      </c>
      <c r="I4128" s="0">
        <v>56.99</v>
      </c>
      <c r="J4128" s="0">
        <v>0</v>
      </c>
    </row>
    <row r="4129" spans="1:10" customHeight="0">
      <c r="A4129" s="0">
        <f>HYPERLINK("https://dl.dropboxusercontent.com/scl/fi/jgsecesa6cyfg5agxd9qr/113000-af.jpg?rlkey=83c1vlpcrgpda75ist6y8wxc9&amp;dl=0","Click to download Image")</f>
      </c>
      <c r="B4129" s="0">
        <f>HYPERLINK("https://dl.dropboxusercontent.com/scl/fi/7be376cn5an851ruzv7aj/womens-size-chartsdixie.jpg?rlkey=fzaemvmb7qtasme268t8j9f0q&amp;dl=0","Click to download SizeChart")</f>
      </c>
      <c r="C4129" s="0" t="inlineStr">
        <is>
          <t>Dixie Women's Reversible Vest</t>
        </is>
      </c>
      <c r="D4129" s="0" t="inlineStr">
        <is>
          <t>'113000</t>
        </is>
      </c>
      <c r="E4129" s="0" t="inlineStr">
        <is>
          <t>ISU DIXIE W GOLD:113000F-3XL</t>
        </is>
      </c>
      <c r="F4129" s="0" t="inlineStr">
        <is>
          <t>'801113000099</t>
        </is>
      </c>
      <c r="G4129" s="0" t="inlineStr">
        <is>
          <t>WOMENS</t>
        </is>
      </c>
      <c r="H4129" s="0" t="inlineStr">
        <is>
          <t>3XL</t>
        </is>
      </c>
      <c r="I4129" s="0">
        <v>56.99</v>
      </c>
      <c r="J4129" s="0">
        <v>1</v>
      </c>
    </row>
    <row r="4130" spans="1:10" customHeight="0">
      <c r="A4130" s="0">
        <f>HYPERLINK("https://dl.dropboxusercontent.com/scl/fi/jgsecesa6cyfg5agxd9qr/113000-af.jpg?rlkey=83c1vlpcrgpda75ist6y8wxc9&amp;dl=0","Click to download Image")</f>
      </c>
      <c r="B4130" s="0">
        <f>HYPERLINK("https://dl.dropboxusercontent.com/scl/fi/7be376cn5an851ruzv7aj/womens-size-chartsdixie.jpg?rlkey=fzaemvmb7qtasme268t8j9f0q&amp;dl=0","Click to download SizeChart")</f>
      </c>
      <c r="C4130" s="0" t="inlineStr">
        <is>
          <t>Dixie Women's Reversible Vest</t>
        </is>
      </c>
      <c r="D4130" s="0" t="inlineStr">
        <is>
          <t>'113000</t>
        </is>
      </c>
      <c r="E4130" s="0" t="inlineStr">
        <is>
          <t>ISU DIXIE W GOLD 12 PACK:113000Z-12PK</t>
        </is>
      </c>
      <c r="F4130" s="0" t="inlineStr">
        <is>
          <t>'801113000990</t>
        </is>
      </c>
      <c r="G4130" s="0" t="inlineStr">
        <is>
          <t>WOMENS</t>
        </is>
      </c>
      <c r="H4130" s="0" t="inlineStr">
        <is>
          <t>12 PACK</t>
        </is>
      </c>
      <c r="I4130" s="0">
        <v>635.88</v>
      </c>
      <c r="J4130" s="0">
        <v>0</v>
      </c>
    </row>
    <row r="4131" spans="1:10" customHeight="0">
      <c r="A4131" s="0">
        <f>HYPERLINK("https://dl.dropboxusercontent.com/scl/fi/p4xg6exqsp85n3k13hixj/114571-af.jpg?rlkey=3lz3mx0p46o30qqfct7jl6mzr&amp;dl=0","Click to download Image")</f>
      </c>
      <c r="B4131" s="0">
        <f>HYPERLINK("https://dl.dropboxusercontent.com/scl/fi/7be376cn5an851ruzv7aj/womens-size-chartsdixie.jpg?rlkey=fzaemvmb7qtasme268t8j9f0q&amp;dl=0","Click to download SizeChart")</f>
      </c>
      <c r="C4131" s="0" t="inlineStr">
        <is>
          <t>Dixie Women's Reversible Vest</t>
        </is>
      </c>
      <c r="D4131" s="0" t="inlineStr">
        <is>
          <t>'114571</t>
        </is>
      </c>
      <c r="E4131" s="0" t="inlineStr">
        <is>
          <t>MU DIXIE W BLACK:114571A-S</t>
        </is>
      </c>
      <c r="F4131" s="0" t="inlineStr">
        <is>
          <t>'803114571042</t>
        </is>
      </c>
      <c r="G4131" s="0" t="inlineStr">
        <is>
          <t>WOMENS</t>
        </is>
      </c>
      <c r="H4131" s="0" t="inlineStr">
        <is>
          <t>S</t>
        </is>
      </c>
      <c r="I4131" s="0">
        <v>54.99</v>
      </c>
      <c r="J4131" s="0">
        <v>3</v>
      </c>
    </row>
    <row r="4132" spans="1:10" customHeight="0">
      <c r="A4132" s="0">
        <f>HYPERLINK("https://dl.dropboxusercontent.com/scl/fi/p4xg6exqsp85n3k13hixj/114571-af.jpg?rlkey=3lz3mx0p46o30qqfct7jl6mzr&amp;dl=0","Click to download Image")</f>
      </c>
      <c r="B4132" s="0">
        <f>HYPERLINK("https://dl.dropboxusercontent.com/scl/fi/7be376cn5an851ruzv7aj/womens-size-chartsdixie.jpg?rlkey=fzaemvmb7qtasme268t8j9f0q&amp;dl=0","Click to download SizeChart")</f>
      </c>
      <c r="C4132" s="0" t="inlineStr">
        <is>
          <t>Dixie Women's Reversible Vest</t>
        </is>
      </c>
      <c r="D4132" s="0" t="inlineStr">
        <is>
          <t>'114571</t>
        </is>
      </c>
      <c r="E4132" s="0" t="inlineStr">
        <is>
          <t>MU DIXIE W BLACK:114571B-M</t>
        </is>
      </c>
      <c r="F4132" s="0" t="inlineStr">
        <is>
          <t>'803114571059</t>
        </is>
      </c>
      <c r="G4132" s="0" t="inlineStr">
        <is>
          <t>WOMENS</t>
        </is>
      </c>
      <c r="H4132" s="0" t="inlineStr">
        <is>
          <t>M</t>
        </is>
      </c>
      <c r="I4132" s="0">
        <v>54.99</v>
      </c>
      <c r="J4132" s="0">
        <v>9</v>
      </c>
    </row>
    <row r="4133" spans="1:10" customHeight="0">
      <c r="A4133" s="0">
        <f>HYPERLINK("https://dl.dropboxusercontent.com/scl/fi/p4xg6exqsp85n3k13hixj/114571-af.jpg?rlkey=3lz3mx0p46o30qqfct7jl6mzr&amp;dl=0","Click to download Image")</f>
      </c>
      <c r="B4133" s="0">
        <f>HYPERLINK("https://dl.dropboxusercontent.com/scl/fi/7be376cn5an851ruzv7aj/womens-size-chartsdixie.jpg?rlkey=fzaemvmb7qtasme268t8j9f0q&amp;dl=0","Click to download SizeChart")</f>
      </c>
      <c r="C4133" s="0" t="inlineStr">
        <is>
          <t>Dixie Women's Reversible Vest</t>
        </is>
      </c>
      <c r="D4133" s="0" t="inlineStr">
        <is>
          <t>'114571</t>
        </is>
      </c>
      <c r="E4133" s="0" t="inlineStr">
        <is>
          <t>MU DIXIE W BLACK:114571C-L</t>
        </is>
      </c>
      <c r="F4133" s="0" t="inlineStr">
        <is>
          <t>'803114571066</t>
        </is>
      </c>
      <c r="G4133" s="0" t="inlineStr">
        <is>
          <t>WOMENS</t>
        </is>
      </c>
      <c r="H4133" s="0" t="inlineStr">
        <is>
          <t>L</t>
        </is>
      </c>
      <c r="I4133" s="0">
        <v>54.99</v>
      </c>
      <c r="J4133" s="0">
        <v>8</v>
      </c>
    </row>
    <row r="4134" spans="1:10" customHeight="0">
      <c r="A4134" s="0">
        <f>HYPERLINK("https://dl.dropboxusercontent.com/scl/fi/p4xg6exqsp85n3k13hixj/114571-af.jpg?rlkey=3lz3mx0p46o30qqfct7jl6mzr&amp;dl=0","Click to download Image")</f>
      </c>
      <c r="B4134" s="0">
        <f>HYPERLINK("https://dl.dropboxusercontent.com/scl/fi/7be376cn5an851ruzv7aj/womens-size-chartsdixie.jpg?rlkey=fzaemvmb7qtasme268t8j9f0q&amp;dl=0","Click to download SizeChart")</f>
      </c>
      <c r="C4134" s="0" t="inlineStr">
        <is>
          <t>Dixie Women's Reversible Vest</t>
        </is>
      </c>
      <c r="D4134" s="0" t="inlineStr">
        <is>
          <t>'114571</t>
        </is>
      </c>
      <c r="E4134" s="0" t="inlineStr">
        <is>
          <t>MU DIXIE W BLACK:114571D-XL</t>
        </is>
      </c>
      <c r="F4134" s="0" t="inlineStr">
        <is>
          <t>'803114571073</t>
        </is>
      </c>
      <c r="G4134" s="0" t="inlineStr">
        <is>
          <t>WOMENS</t>
        </is>
      </c>
      <c r="H4134" s="0" t="inlineStr">
        <is>
          <t>XL</t>
        </is>
      </c>
      <c r="I4134" s="0">
        <v>54.99</v>
      </c>
      <c r="J4134" s="0">
        <v>4</v>
      </c>
    </row>
    <row r="4135" spans="1:10" customHeight="0">
      <c r="A4135" s="0">
        <f>HYPERLINK("https://dl.dropboxusercontent.com/scl/fi/p4xg6exqsp85n3k13hixj/114571-af.jpg?rlkey=3lz3mx0p46o30qqfct7jl6mzr&amp;dl=0","Click to download Image")</f>
      </c>
      <c r="B4135" s="0">
        <f>HYPERLINK("https://dl.dropboxusercontent.com/scl/fi/7be376cn5an851ruzv7aj/womens-size-chartsdixie.jpg?rlkey=fzaemvmb7qtasme268t8j9f0q&amp;dl=0","Click to download SizeChart")</f>
      </c>
      <c r="C4135" s="0" t="inlineStr">
        <is>
          <t>Dixie Women's Reversible Vest</t>
        </is>
      </c>
      <c r="D4135" s="0" t="inlineStr">
        <is>
          <t>'114571</t>
        </is>
      </c>
      <c r="E4135" s="0" t="inlineStr">
        <is>
          <t>MU DIXIE W BLACK:114571E-2XL</t>
        </is>
      </c>
      <c r="F4135" s="0" t="inlineStr">
        <is>
          <t>'803114571080</t>
        </is>
      </c>
      <c r="G4135" s="0" t="inlineStr">
        <is>
          <t>WOMENS</t>
        </is>
      </c>
      <c r="H4135" s="0" t="inlineStr">
        <is>
          <t>2XL</t>
        </is>
      </c>
      <c r="I4135" s="0">
        <v>56.99</v>
      </c>
      <c r="J4135" s="0">
        <v>4</v>
      </c>
    </row>
    <row r="4136" spans="1:10" customHeight="0">
      <c r="A4136" s="0">
        <f>HYPERLINK("https://dl.dropboxusercontent.com/scl/fi/p4xg6exqsp85n3k13hixj/114571-af.jpg?rlkey=3lz3mx0p46o30qqfct7jl6mzr&amp;dl=0","Click to download Image")</f>
      </c>
      <c r="B4136" s="0">
        <f>HYPERLINK("https://dl.dropboxusercontent.com/scl/fi/7be376cn5an851ruzv7aj/womens-size-chartsdixie.jpg?rlkey=fzaemvmb7qtasme268t8j9f0q&amp;dl=0","Click to download SizeChart")</f>
      </c>
      <c r="C4136" s="0" t="inlineStr">
        <is>
          <t>Dixie Women's Reversible Vest</t>
        </is>
      </c>
      <c r="D4136" s="0" t="inlineStr">
        <is>
          <t>'114571</t>
        </is>
      </c>
      <c r="E4136" s="0" t="inlineStr">
        <is>
          <t>MU DIXIE W BLACK:114571F-3XL</t>
        </is>
      </c>
      <c r="F4136" s="0" t="inlineStr">
        <is>
          <t>'803114571097</t>
        </is>
      </c>
      <c r="G4136" s="0" t="inlineStr">
        <is>
          <t>WOMENS</t>
        </is>
      </c>
      <c r="H4136" s="0" t="inlineStr">
        <is>
          <t>3XL</t>
        </is>
      </c>
      <c r="I4136" s="0">
        <v>56.99</v>
      </c>
      <c r="J4136" s="0">
        <v>2</v>
      </c>
    </row>
    <row r="4137" spans="1:10" customHeight="0">
      <c r="A4137" s="0">
        <f>HYPERLINK("https://dl.dropboxusercontent.com/scl/fi/p4xg6exqsp85n3k13hixj/114571-af.jpg?rlkey=3lz3mx0p46o30qqfct7jl6mzr&amp;dl=0","Click to download Image")</f>
      </c>
      <c r="B4137" s="0">
        <f>HYPERLINK("https://dl.dropboxusercontent.com/scl/fi/7be376cn5an851ruzv7aj/womens-size-chartsdixie.jpg?rlkey=fzaemvmb7qtasme268t8j9f0q&amp;dl=0","Click to download SizeChart")</f>
      </c>
      <c r="C4137" s="0" t="inlineStr">
        <is>
          <t>Dixie Women's Reversible Vest</t>
        </is>
      </c>
      <c r="D4137" s="0" t="inlineStr">
        <is>
          <t>'114571</t>
        </is>
      </c>
      <c r="E4137" s="0" t="inlineStr">
        <is>
          <t>MU DIXIE W BLACK 12 PACK:114571Z-12PK</t>
        </is>
      </c>
      <c r="F4137" s="0" t="inlineStr">
        <is>
          <t>'803114571998</t>
        </is>
      </c>
      <c r="G4137" s="0" t="inlineStr">
        <is>
          <t>WOMENS</t>
        </is>
      </c>
      <c r="H4137" s="0" t="inlineStr">
        <is>
          <t>12 PACK</t>
        </is>
      </c>
      <c r="I4137" s="0">
        <v>528</v>
      </c>
      <c r="J4137" s="0">
        <v>0</v>
      </c>
    </row>
    <row r="4138" spans="1:10" customHeight="0">
      <c r="A4138" s="0">
        <f>HYPERLINK("https://dl.dropboxusercontent.com/scl/fi/w1wxb1kt91nfknfcv2gsl/dsc9002-edit-s-2.jpg?rlkey=ez3rhzmee624t6pm5ybzzn8yd&amp;dl=0","Click to download Image")</f>
      </c>
      <c r="B4138" s="0">
        <f>HYPERLINK("https://dl.dropboxusercontent.com/scl/fi/7be376cn5an851ruzv7aj/womens-size-chartsdixie.jpg?rlkey=fzaemvmb7qtasme268t8j9f0q&amp;dl=0","Click to download SizeChart")</f>
      </c>
      <c r="C4138" s="0" t="inlineStr">
        <is>
          <t>Dixie Women's Reversible Vest</t>
        </is>
      </c>
      <c r="D4138" s="0" t="inlineStr">
        <is>
          <t>'114570</t>
        </is>
      </c>
      <c r="E4138" s="0" t="inlineStr">
        <is>
          <t>INDIANA DIXIE W CARDINAL:A-S</t>
        </is>
      </c>
      <c r="F4138" s="0" t="inlineStr">
        <is>
          <t>'806114570046</t>
        </is>
      </c>
      <c r="G4138" s="0" t="inlineStr">
        <is>
          <t>WOMENS</t>
        </is>
      </c>
      <c r="H4138" s="0" t="inlineStr">
        <is>
          <t>S</t>
        </is>
      </c>
      <c r="I4138" s="0">
        <v>54.99</v>
      </c>
      <c r="J4138" s="0">
        <v>5</v>
      </c>
    </row>
    <row r="4139" spans="1:10" customHeight="0">
      <c r="A4139" s="0">
        <f>HYPERLINK("https://dl.dropboxusercontent.com/scl/fi/w1wxb1kt91nfknfcv2gsl/dsc9002-edit-s-2.jpg?rlkey=ez3rhzmee624t6pm5ybzzn8yd&amp;dl=0","Click to download Image")</f>
      </c>
      <c r="B4139" s="0">
        <f>HYPERLINK("https://dl.dropboxusercontent.com/scl/fi/7be376cn5an851ruzv7aj/womens-size-chartsdixie.jpg?rlkey=fzaemvmb7qtasme268t8j9f0q&amp;dl=0","Click to download SizeChart")</f>
      </c>
      <c r="C4139" s="0" t="inlineStr">
        <is>
          <t>Dixie Women's Reversible Vest</t>
        </is>
      </c>
      <c r="D4139" s="0" t="inlineStr">
        <is>
          <t>'114570</t>
        </is>
      </c>
      <c r="E4139" s="0" t="inlineStr">
        <is>
          <t>INDIANA DIXIE W CARDINAL:B-M</t>
        </is>
      </c>
      <c r="F4139" s="0" t="inlineStr">
        <is>
          <t>'806114570053</t>
        </is>
      </c>
      <c r="G4139" s="0" t="inlineStr">
        <is>
          <t>WOMENS</t>
        </is>
      </c>
      <c r="H4139" s="0" t="inlineStr">
        <is>
          <t>M</t>
        </is>
      </c>
      <c r="I4139" s="0">
        <v>54.99</v>
      </c>
      <c r="J4139" s="0">
        <v>17</v>
      </c>
    </row>
    <row r="4140" spans="1:10" customHeight="0">
      <c r="A4140" s="0">
        <f>HYPERLINK("https://dl.dropboxusercontent.com/scl/fi/w1wxb1kt91nfknfcv2gsl/dsc9002-edit-s-2.jpg?rlkey=ez3rhzmee624t6pm5ybzzn8yd&amp;dl=0","Click to download Image")</f>
      </c>
      <c r="B4140" s="0">
        <f>HYPERLINK("https://dl.dropboxusercontent.com/scl/fi/7be376cn5an851ruzv7aj/womens-size-chartsdixie.jpg?rlkey=fzaemvmb7qtasme268t8j9f0q&amp;dl=0","Click to download SizeChart")</f>
      </c>
      <c r="C4140" s="0" t="inlineStr">
        <is>
          <t>Dixie Women's Reversible Vest</t>
        </is>
      </c>
      <c r="D4140" s="0" t="inlineStr">
        <is>
          <t>'114570</t>
        </is>
      </c>
      <c r="E4140" s="0" t="inlineStr">
        <is>
          <t>INDIANA DIXIE W CARDINAL:C-L</t>
        </is>
      </c>
      <c r="F4140" s="0" t="inlineStr">
        <is>
          <t>'806114570060</t>
        </is>
      </c>
      <c r="G4140" s="0" t="inlineStr">
        <is>
          <t>WOMENS</t>
        </is>
      </c>
      <c r="H4140" s="0" t="inlineStr">
        <is>
          <t>L</t>
        </is>
      </c>
      <c r="I4140" s="0">
        <v>54.99</v>
      </c>
      <c r="J4140" s="0">
        <v>17</v>
      </c>
    </row>
    <row r="4141" spans="1:10" customHeight="0">
      <c r="A4141" s="0">
        <f>HYPERLINK("https://dl.dropboxusercontent.com/scl/fi/w1wxb1kt91nfknfcv2gsl/dsc9002-edit-s-2.jpg?rlkey=ez3rhzmee624t6pm5ybzzn8yd&amp;dl=0","Click to download Image")</f>
      </c>
      <c r="B4141" s="0">
        <f>HYPERLINK("https://dl.dropboxusercontent.com/scl/fi/7be376cn5an851ruzv7aj/womens-size-chartsdixie.jpg?rlkey=fzaemvmb7qtasme268t8j9f0q&amp;dl=0","Click to download SizeChart")</f>
      </c>
      <c r="C4141" s="0" t="inlineStr">
        <is>
          <t>Dixie Women's Reversible Vest</t>
        </is>
      </c>
      <c r="D4141" s="0" t="inlineStr">
        <is>
          <t>'114570</t>
        </is>
      </c>
      <c r="E4141" s="0" t="inlineStr">
        <is>
          <t>INDIANA DIXIE W CARDINAL:D-XL</t>
        </is>
      </c>
      <c r="F4141" s="0" t="inlineStr">
        <is>
          <t>'806114570077</t>
        </is>
      </c>
      <c r="G4141" s="0" t="inlineStr">
        <is>
          <t>WOMENS</t>
        </is>
      </c>
      <c r="H4141" s="0" t="inlineStr">
        <is>
          <t>XL</t>
        </is>
      </c>
      <c r="I4141" s="0">
        <v>54.99</v>
      </c>
      <c r="J4141" s="0">
        <v>4</v>
      </c>
    </row>
    <row r="4142" spans="1:10" customHeight="0">
      <c r="A4142" s="0">
        <f>HYPERLINK("https://dl.dropboxusercontent.com/scl/fi/w1wxb1kt91nfknfcv2gsl/dsc9002-edit-s-2.jpg?rlkey=ez3rhzmee624t6pm5ybzzn8yd&amp;dl=0","Click to download Image")</f>
      </c>
      <c r="B4142" s="0">
        <f>HYPERLINK("https://dl.dropboxusercontent.com/scl/fi/7be376cn5an851ruzv7aj/womens-size-chartsdixie.jpg?rlkey=fzaemvmb7qtasme268t8j9f0q&amp;dl=0","Click to download SizeChart")</f>
      </c>
      <c r="C4142" s="0" t="inlineStr">
        <is>
          <t>Dixie Women's Reversible Vest</t>
        </is>
      </c>
      <c r="D4142" s="0" t="inlineStr">
        <is>
          <t>'114570</t>
        </is>
      </c>
      <c r="E4142" s="0" t="inlineStr">
        <is>
          <t>INDIANA DIXIE W CARDINAL:E-2XL</t>
        </is>
      </c>
      <c r="F4142" s="0" t="inlineStr">
        <is>
          <t>'806114570084</t>
        </is>
      </c>
      <c r="G4142" s="0" t="inlineStr">
        <is>
          <t>WOMENS</t>
        </is>
      </c>
      <c r="H4142" s="0" t="inlineStr">
        <is>
          <t>2XL</t>
        </is>
      </c>
      <c r="I4142" s="0">
        <v>56.99</v>
      </c>
      <c r="J4142" s="0">
        <v>5</v>
      </c>
    </row>
    <row r="4143" spans="1:10" customHeight="0">
      <c r="A4143" s="0">
        <f>HYPERLINK("https://dl.dropboxusercontent.com/scl/fi/w1wxb1kt91nfknfcv2gsl/dsc9002-edit-s-2.jpg?rlkey=ez3rhzmee624t6pm5ybzzn8yd&amp;dl=0","Click to download Image")</f>
      </c>
      <c r="B4143" s="0">
        <f>HYPERLINK("https://dl.dropboxusercontent.com/scl/fi/7be376cn5an851ruzv7aj/womens-size-chartsdixie.jpg?rlkey=fzaemvmb7qtasme268t8j9f0q&amp;dl=0","Click to download SizeChart")</f>
      </c>
      <c r="C4143" s="0" t="inlineStr">
        <is>
          <t>Dixie Women's Reversible Vest</t>
        </is>
      </c>
      <c r="D4143" s="0" t="inlineStr">
        <is>
          <t>'114570</t>
        </is>
      </c>
      <c r="E4143" s="0" t="inlineStr">
        <is>
          <t>INDIANA DIXIE W CARDINAL:F-3XL</t>
        </is>
      </c>
      <c r="F4143" s="0" t="inlineStr">
        <is>
          <t>'806114570091</t>
        </is>
      </c>
      <c r="G4143" s="0" t="inlineStr">
        <is>
          <t>WOMENS</t>
        </is>
      </c>
      <c r="H4143" s="0" t="inlineStr">
        <is>
          <t>3XL</t>
        </is>
      </c>
      <c r="I4143" s="0">
        <v>56.99</v>
      </c>
      <c r="J4143" s="0">
        <v>3</v>
      </c>
    </row>
    <row r="4144" spans="1:10" customHeight="0">
      <c r="A4144" s="0">
        <f>HYPERLINK("https://dl.dropboxusercontent.com/scl/fi/w1wxb1kt91nfknfcv2gsl/dsc9002-edit-s-2.jpg?rlkey=ez3rhzmee624t6pm5ybzzn8yd&amp;dl=0","Click to download Image")</f>
      </c>
      <c r="B4144" s="0">
        <f>HYPERLINK("https://dl.dropboxusercontent.com/scl/fi/7be376cn5an851ruzv7aj/womens-size-chartsdixie.jpg?rlkey=fzaemvmb7qtasme268t8j9f0q&amp;dl=0","Click to download SizeChart")</f>
      </c>
      <c r="C4144" s="0" t="inlineStr">
        <is>
          <t>Dixie Women's Reversible Vest</t>
        </is>
      </c>
      <c r="D4144" s="0" t="inlineStr">
        <is>
          <t>'114570</t>
        </is>
      </c>
      <c r="E4144" s="0" t="inlineStr">
        <is>
          <t>INDIANA DIXIE W CARDINAL 12 PACK:Z-12PK</t>
        </is>
      </c>
      <c r="F4144" s="0" t="inlineStr">
        <is>
          <t>'806114570992</t>
        </is>
      </c>
      <c r="G4144" s="0" t="inlineStr">
        <is>
          <t>WOMENS</t>
        </is>
      </c>
      <c r="H4144" s="0" t="inlineStr">
        <is>
          <t>12 PACK</t>
        </is>
      </c>
      <c r="I4144" s="0">
        <v>635.88</v>
      </c>
      <c r="J4144" s="0">
        <v>0</v>
      </c>
    </row>
    <row r="4145" spans="1:10" customHeight="0">
      <c r="A4145" s="0">
        <f>HYPERLINK("https://dl.dropboxusercontent.com/scl/fi/l2y0l1cs8on9l2iy1pjxv/115194-af.jpg?rlkey=79wt15mpwbr6s70b7w7t1exza&amp;dl=0","Click to download Image")</f>
      </c>
      <c r="B4145" s="0">
        <f>HYPERLINK("https://dl.dropboxusercontent.com/scl/fi/7be376cn5an851ruzv7aj/womens-size-chartsdixie.jpg?rlkey=fzaemvmb7qtasme268t8j9f0q&amp;dl=0","Click to download SizeChart")</f>
      </c>
      <c r="C4145" s="0" t="inlineStr">
        <is>
          <t>Dixie Women's Reversible Vest</t>
        </is>
      </c>
      <c r="D4145" s="0" t="inlineStr">
        <is>
          <t>'115194</t>
        </is>
      </c>
      <c r="E4145" s="0" t="inlineStr">
        <is>
          <t>PURDUE DIXIE W BLACK:115194A-S</t>
        </is>
      </c>
      <c r="F4145" s="0" t="inlineStr">
        <is>
          <t>'804115194049</t>
        </is>
      </c>
      <c r="G4145" s="0" t="inlineStr">
        <is>
          <t>WOMENS</t>
        </is>
      </c>
      <c r="H4145" s="0" t="inlineStr">
        <is>
          <t>S</t>
        </is>
      </c>
      <c r="I4145" s="0">
        <v>54.99</v>
      </c>
      <c r="J4145" s="0">
        <v>6</v>
      </c>
    </row>
    <row r="4146" spans="1:10" customHeight="0">
      <c r="A4146" s="0">
        <f>HYPERLINK("https://dl.dropboxusercontent.com/scl/fi/l2y0l1cs8on9l2iy1pjxv/115194-af.jpg?rlkey=79wt15mpwbr6s70b7w7t1exza&amp;dl=0","Click to download Image")</f>
      </c>
      <c r="B4146" s="0">
        <f>HYPERLINK("https://dl.dropboxusercontent.com/scl/fi/7be376cn5an851ruzv7aj/womens-size-chartsdixie.jpg?rlkey=fzaemvmb7qtasme268t8j9f0q&amp;dl=0","Click to download SizeChart")</f>
      </c>
      <c r="C4146" s="0" t="inlineStr">
        <is>
          <t>Dixie Women's Reversible Vest</t>
        </is>
      </c>
      <c r="D4146" s="0" t="inlineStr">
        <is>
          <t>'115194</t>
        </is>
      </c>
      <c r="E4146" s="0" t="inlineStr">
        <is>
          <t>PURDUE DIXIE W BLACK:115194B-M</t>
        </is>
      </c>
      <c r="F4146" s="0" t="inlineStr">
        <is>
          <t>'804115194056</t>
        </is>
      </c>
      <c r="G4146" s="0" t="inlineStr">
        <is>
          <t>WOMENS</t>
        </is>
      </c>
      <c r="H4146" s="0" t="inlineStr">
        <is>
          <t>M</t>
        </is>
      </c>
      <c r="I4146" s="0">
        <v>54.99</v>
      </c>
      <c r="J4146" s="0">
        <v>12</v>
      </c>
    </row>
    <row r="4147" spans="1:10" customHeight="0">
      <c r="A4147" s="0">
        <f>HYPERLINK("https://dl.dropboxusercontent.com/scl/fi/l2y0l1cs8on9l2iy1pjxv/115194-af.jpg?rlkey=79wt15mpwbr6s70b7w7t1exza&amp;dl=0","Click to download Image")</f>
      </c>
      <c r="B4147" s="0">
        <f>HYPERLINK("https://dl.dropboxusercontent.com/scl/fi/7be376cn5an851ruzv7aj/womens-size-chartsdixie.jpg?rlkey=fzaemvmb7qtasme268t8j9f0q&amp;dl=0","Click to download SizeChart")</f>
      </c>
      <c r="C4147" s="0" t="inlineStr">
        <is>
          <t>Dixie Women's Reversible Vest</t>
        </is>
      </c>
      <c r="D4147" s="0" t="inlineStr">
        <is>
          <t>'115194</t>
        </is>
      </c>
      <c r="E4147" s="0" t="inlineStr">
        <is>
          <t>PURDUE DIXIE W BLACK:115194C-L</t>
        </is>
      </c>
      <c r="F4147" s="0" t="inlineStr">
        <is>
          <t>'804115194063</t>
        </is>
      </c>
      <c r="G4147" s="0" t="inlineStr">
        <is>
          <t>WOMENS</t>
        </is>
      </c>
      <c r="H4147" s="0" t="inlineStr">
        <is>
          <t>L</t>
        </is>
      </c>
      <c r="I4147" s="0">
        <v>54.99</v>
      </c>
      <c r="J4147" s="0">
        <v>12</v>
      </c>
    </row>
    <row r="4148" spans="1:10" customHeight="0">
      <c r="A4148" s="0">
        <f>HYPERLINK("https://dl.dropboxusercontent.com/scl/fi/l2y0l1cs8on9l2iy1pjxv/115194-af.jpg?rlkey=79wt15mpwbr6s70b7w7t1exza&amp;dl=0","Click to download Image")</f>
      </c>
      <c r="B4148" s="0">
        <f>HYPERLINK("https://dl.dropboxusercontent.com/scl/fi/7be376cn5an851ruzv7aj/womens-size-chartsdixie.jpg?rlkey=fzaemvmb7qtasme268t8j9f0q&amp;dl=0","Click to download SizeChart")</f>
      </c>
      <c r="C4148" s="0" t="inlineStr">
        <is>
          <t>Dixie Women's Reversible Vest</t>
        </is>
      </c>
      <c r="D4148" s="0" t="inlineStr">
        <is>
          <t>'115194</t>
        </is>
      </c>
      <c r="E4148" s="0" t="inlineStr">
        <is>
          <t>PURDUE DIXIE W BLACK:115194D-XL</t>
        </is>
      </c>
      <c r="F4148" s="0" t="inlineStr">
        <is>
          <t>'804115194070</t>
        </is>
      </c>
      <c r="G4148" s="0" t="inlineStr">
        <is>
          <t>WOMENS</t>
        </is>
      </c>
      <c r="H4148" s="0" t="inlineStr">
        <is>
          <t>XL</t>
        </is>
      </c>
      <c r="I4148" s="0">
        <v>54.99</v>
      </c>
      <c r="J4148" s="0">
        <v>6</v>
      </c>
    </row>
    <row r="4149" spans="1:10" customHeight="0">
      <c r="A4149" s="0">
        <f>HYPERLINK("https://dl.dropboxusercontent.com/scl/fi/l2y0l1cs8on9l2iy1pjxv/115194-af.jpg?rlkey=79wt15mpwbr6s70b7w7t1exza&amp;dl=0","Click to download Image")</f>
      </c>
      <c r="B4149" s="0">
        <f>HYPERLINK("https://dl.dropboxusercontent.com/scl/fi/7be376cn5an851ruzv7aj/womens-size-chartsdixie.jpg?rlkey=fzaemvmb7qtasme268t8j9f0q&amp;dl=0","Click to download SizeChart")</f>
      </c>
      <c r="C4149" s="0" t="inlineStr">
        <is>
          <t>Dixie Women's Reversible Vest</t>
        </is>
      </c>
      <c r="D4149" s="0" t="inlineStr">
        <is>
          <t>'115194</t>
        </is>
      </c>
      <c r="E4149" s="0" t="inlineStr">
        <is>
          <t>PURDUE DIXIE W BLACK:115194E-2XL</t>
        </is>
      </c>
      <c r="F4149" s="0" t="inlineStr">
        <is>
          <t>'804115194087</t>
        </is>
      </c>
      <c r="G4149" s="0" t="inlineStr">
        <is>
          <t>WOMENS</t>
        </is>
      </c>
      <c r="H4149" s="0" t="inlineStr">
        <is>
          <t>2XL</t>
        </is>
      </c>
      <c r="I4149" s="0">
        <v>56.99</v>
      </c>
      <c r="J4149" s="0">
        <v>4</v>
      </c>
    </row>
    <row r="4150" spans="1:10" customHeight="0">
      <c r="A4150" s="0">
        <f>HYPERLINK("https://dl.dropboxusercontent.com/scl/fi/l2y0l1cs8on9l2iy1pjxv/115194-af.jpg?rlkey=79wt15mpwbr6s70b7w7t1exza&amp;dl=0","Click to download Image")</f>
      </c>
      <c r="B4150" s="0">
        <f>HYPERLINK("https://dl.dropboxusercontent.com/scl/fi/7be376cn5an851ruzv7aj/womens-size-chartsdixie.jpg?rlkey=fzaemvmb7qtasme268t8j9f0q&amp;dl=0","Click to download SizeChart")</f>
      </c>
      <c r="C4150" s="0" t="inlineStr">
        <is>
          <t>Dixie Women's Reversible Vest</t>
        </is>
      </c>
      <c r="D4150" s="0" t="inlineStr">
        <is>
          <t>'115194</t>
        </is>
      </c>
      <c r="E4150" s="0" t="inlineStr">
        <is>
          <t>PURDUE DIXIE W BLACK:115194F-3XL</t>
        </is>
      </c>
      <c r="F4150" s="0" t="inlineStr">
        <is>
          <t>'804115194094</t>
        </is>
      </c>
      <c r="G4150" s="0" t="inlineStr">
        <is>
          <t>WOMENS</t>
        </is>
      </c>
      <c r="H4150" s="0" t="inlineStr">
        <is>
          <t>3XL</t>
        </is>
      </c>
      <c r="I4150" s="0">
        <v>56.99</v>
      </c>
      <c r="J4150" s="0">
        <v>2</v>
      </c>
    </row>
    <row r="4151" spans="1:10" customHeight="0">
      <c r="A4151" s="0">
        <f>HYPERLINK("https://dl.dropboxusercontent.com/scl/fi/l2y0l1cs8on9l2iy1pjxv/115194-af.jpg?rlkey=79wt15mpwbr6s70b7w7t1exza&amp;dl=0","Click to download Image")</f>
      </c>
      <c r="B4151" s="0">
        <f>HYPERLINK("https://dl.dropboxusercontent.com/scl/fi/7be376cn5an851ruzv7aj/womens-size-chartsdixie.jpg?rlkey=fzaemvmb7qtasme268t8j9f0q&amp;dl=0","Click to download SizeChart")</f>
      </c>
      <c r="C4151" s="0" t="inlineStr">
        <is>
          <t>Dixie Women's Reversible Vest</t>
        </is>
      </c>
      <c r="D4151" s="0" t="inlineStr">
        <is>
          <t>'115194</t>
        </is>
      </c>
      <c r="E4151" s="0" t="inlineStr">
        <is>
          <t>PURDUE DIXIE W BLACK 12 PACK:115194Z-12PK</t>
        </is>
      </c>
      <c r="F4151" s="0" t="inlineStr">
        <is>
          <t>'804115194995</t>
        </is>
      </c>
      <c r="G4151" s="0" t="inlineStr">
        <is>
          <t>WOMENS</t>
        </is>
      </c>
      <c r="H4151" s="0" t="inlineStr">
        <is>
          <t>12 PACK</t>
        </is>
      </c>
      <c r="I4151" s="0">
        <v>635.88</v>
      </c>
      <c r="J4151" s="0">
        <v>0</v>
      </c>
    </row>
    <row r="4152" spans="1:10" customHeight="0">
      <c r="A4152" s="0">
        <f>HYPERLINK("https://dl.dropboxusercontent.com/scl/fi/oskzn2herhv9f1s5vt9ha/116154-af.jpg?rlkey=xtba53wbfctf8donvd5ebh1u8&amp;dl=0","Click to download Image")</f>
      </c>
      <c r="B4152" s="0">
        <f>HYPERLINK("https://dl.dropboxusercontent.com/scl/fi/7be376cn5an851ruzv7aj/womens-size-chartsdixie.jpg?rlkey=fzaemvmb7qtasme268t8j9f0q&amp;dl=0","Click to download SizeChart")</f>
      </c>
      <c r="C4152" s="0" t="inlineStr">
        <is>
          <t>Dixie Women's Reversible Vest</t>
        </is>
      </c>
      <c r="D4152" s="0" t="inlineStr">
        <is>
          <t>'116154</t>
        </is>
      </c>
      <c r="E4152" s="0" t="inlineStr">
        <is>
          <t>KSU DIXIE W GOLD:116154A-S</t>
        </is>
      </c>
      <c r="F4152" s="0" t="inlineStr">
        <is>
          <t>'805116154049</t>
        </is>
      </c>
      <c r="G4152" s="0" t="inlineStr">
        <is>
          <t>WOMENS</t>
        </is>
      </c>
      <c r="H4152" s="0" t="inlineStr">
        <is>
          <t>S</t>
        </is>
      </c>
      <c r="I4152" s="0">
        <v>54.99</v>
      </c>
      <c r="J4152" s="0">
        <v>8</v>
      </c>
    </row>
    <row r="4153" spans="1:10" customHeight="0">
      <c r="A4153" s="0">
        <f>HYPERLINK("https://dl.dropboxusercontent.com/scl/fi/oskzn2herhv9f1s5vt9ha/116154-af.jpg?rlkey=xtba53wbfctf8donvd5ebh1u8&amp;dl=0","Click to download Image")</f>
      </c>
      <c r="B4153" s="0">
        <f>HYPERLINK("https://dl.dropboxusercontent.com/scl/fi/7be376cn5an851ruzv7aj/womens-size-chartsdixie.jpg?rlkey=fzaemvmb7qtasme268t8j9f0q&amp;dl=0","Click to download SizeChart")</f>
      </c>
      <c r="C4153" s="0" t="inlineStr">
        <is>
          <t>Dixie Women's Reversible Vest</t>
        </is>
      </c>
      <c r="D4153" s="0" t="inlineStr">
        <is>
          <t>'116154</t>
        </is>
      </c>
      <c r="E4153" s="0" t="inlineStr">
        <is>
          <t>KSU DIXIE W GOLD:116154B-M</t>
        </is>
      </c>
      <c r="F4153" s="0" t="inlineStr">
        <is>
          <t>'805116154056</t>
        </is>
      </c>
      <c r="G4153" s="0" t="inlineStr">
        <is>
          <t>WOMENS</t>
        </is>
      </c>
      <c r="H4153" s="0" t="inlineStr">
        <is>
          <t>M</t>
        </is>
      </c>
      <c r="I4153" s="0">
        <v>54.99</v>
      </c>
      <c r="J4153" s="0">
        <v>15</v>
      </c>
    </row>
    <row r="4154" spans="1:10" customHeight="0">
      <c r="A4154" s="0">
        <f>HYPERLINK("https://dl.dropboxusercontent.com/scl/fi/oskzn2herhv9f1s5vt9ha/116154-af.jpg?rlkey=xtba53wbfctf8donvd5ebh1u8&amp;dl=0","Click to download Image")</f>
      </c>
      <c r="B4154" s="0">
        <f>HYPERLINK("https://dl.dropboxusercontent.com/scl/fi/7be376cn5an851ruzv7aj/womens-size-chartsdixie.jpg?rlkey=fzaemvmb7qtasme268t8j9f0q&amp;dl=0","Click to download SizeChart")</f>
      </c>
      <c r="C4154" s="0" t="inlineStr">
        <is>
          <t>Dixie Women's Reversible Vest</t>
        </is>
      </c>
      <c r="D4154" s="0" t="inlineStr">
        <is>
          <t>'116154</t>
        </is>
      </c>
      <c r="E4154" s="0" t="inlineStr">
        <is>
          <t>KSU DIXIE W GOLD:116154C-L</t>
        </is>
      </c>
      <c r="F4154" s="0" t="inlineStr">
        <is>
          <t>'805116154063</t>
        </is>
      </c>
      <c r="G4154" s="0" t="inlineStr">
        <is>
          <t>WOMENS</t>
        </is>
      </c>
      <c r="H4154" s="0" t="inlineStr">
        <is>
          <t>L</t>
        </is>
      </c>
      <c r="I4154" s="0">
        <v>54.99</v>
      </c>
      <c r="J4154" s="0">
        <v>16</v>
      </c>
    </row>
    <row r="4155" spans="1:10" customHeight="0">
      <c r="A4155" s="0">
        <f>HYPERLINK("https://dl.dropboxusercontent.com/scl/fi/oskzn2herhv9f1s5vt9ha/116154-af.jpg?rlkey=xtba53wbfctf8donvd5ebh1u8&amp;dl=0","Click to download Image")</f>
      </c>
      <c r="B4155" s="0">
        <f>HYPERLINK("https://dl.dropboxusercontent.com/scl/fi/7be376cn5an851ruzv7aj/womens-size-chartsdixie.jpg?rlkey=fzaemvmb7qtasme268t8j9f0q&amp;dl=0","Click to download SizeChart")</f>
      </c>
      <c r="C4155" s="0" t="inlineStr">
        <is>
          <t>Dixie Women's Reversible Vest</t>
        </is>
      </c>
      <c r="D4155" s="0" t="inlineStr">
        <is>
          <t>'116154</t>
        </is>
      </c>
      <c r="E4155" s="0" t="inlineStr">
        <is>
          <t>KSU DIXIE W GOLD:116154D-XL</t>
        </is>
      </c>
      <c r="F4155" s="0" t="inlineStr">
        <is>
          <t>'805116154070</t>
        </is>
      </c>
      <c r="G4155" s="0" t="inlineStr">
        <is>
          <t>WOMENS</t>
        </is>
      </c>
      <c r="H4155" s="0" t="inlineStr">
        <is>
          <t>XL</t>
        </is>
      </c>
      <c r="I4155" s="0">
        <v>54.99</v>
      </c>
      <c r="J4155" s="0">
        <v>8</v>
      </c>
    </row>
    <row r="4156" spans="1:10" customHeight="0">
      <c r="A4156" s="0">
        <f>HYPERLINK("https://dl.dropboxusercontent.com/scl/fi/oskzn2herhv9f1s5vt9ha/116154-af.jpg?rlkey=xtba53wbfctf8donvd5ebh1u8&amp;dl=0","Click to download Image")</f>
      </c>
      <c r="B4156" s="0">
        <f>HYPERLINK("https://dl.dropboxusercontent.com/scl/fi/7be376cn5an851ruzv7aj/womens-size-chartsdixie.jpg?rlkey=fzaemvmb7qtasme268t8j9f0q&amp;dl=0","Click to download SizeChart")</f>
      </c>
      <c r="C4156" s="0" t="inlineStr">
        <is>
          <t>Dixie Women's Reversible Vest</t>
        </is>
      </c>
      <c r="D4156" s="0" t="inlineStr">
        <is>
          <t>'116154</t>
        </is>
      </c>
      <c r="E4156" s="0" t="inlineStr">
        <is>
          <t>KSU DIXIE W GOLD:116154E-2XL</t>
        </is>
      </c>
      <c r="F4156" s="0" t="inlineStr">
        <is>
          <t>'805116154087</t>
        </is>
      </c>
      <c r="G4156" s="0" t="inlineStr">
        <is>
          <t>WOMENS</t>
        </is>
      </c>
      <c r="H4156" s="0" t="inlineStr">
        <is>
          <t>2XL</t>
        </is>
      </c>
      <c r="I4156" s="0">
        <v>56.99</v>
      </c>
      <c r="J4156" s="0">
        <v>3</v>
      </c>
    </row>
    <row r="4157" spans="1:10" customHeight="0">
      <c r="A4157" s="0">
        <f>HYPERLINK("https://dl.dropboxusercontent.com/scl/fi/oskzn2herhv9f1s5vt9ha/116154-af.jpg?rlkey=xtba53wbfctf8donvd5ebh1u8&amp;dl=0","Click to download Image")</f>
      </c>
      <c r="B4157" s="0">
        <f>HYPERLINK("https://dl.dropboxusercontent.com/scl/fi/7be376cn5an851ruzv7aj/womens-size-chartsdixie.jpg?rlkey=fzaemvmb7qtasme268t8j9f0q&amp;dl=0","Click to download SizeChart")</f>
      </c>
      <c r="C4157" s="0" t="inlineStr">
        <is>
          <t>Dixie Women's Reversible Vest</t>
        </is>
      </c>
      <c r="D4157" s="0" t="inlineStr">
        <is>
          <t>'116154</t>
        </is>
      </c>
      <c r="E4157" s="0" t="inlineStr">
        <is>
          <t>KSU DIXIE W GOLD:116154F-3XL</t>
        </is>
      </c>
      <c r="F4157" s="0" t="inlineStr">
        <is>
          <t>'805116154094</t>
        </is>
      </c>
      <c r="G4157" s="0" t="inlineStr">
        <is>
          <t>WOMENS</t>
        </is>
      </c>
      <c r="H4157" s="0" t="inlineStr">
        <is>
          <t>3XL</t>
        </is>
      </c>
      <c r="I4157" s="0">
        <v>56.99</v>
      </c>
      <c r="J4157" s="0">
        <v>2</v>
      </c>
    </row>
    <row r="4158" spans="1:10" customHeight="0">
      <c r="A4158" s="0">
        <f>HYPERLINK("https://dl.dropboxusercontent.com/scl/fi/oskzn2herhv9f1s5vt9ha/116154-af.jpg?rlkey=xtba53wbfctf8donvd5ebh1u8&amp;dl=0","Click to download Image")</f>
      </c>
      <c r="B4158" s="0">
        <f>HYPERLINK("https://dl.dropboxusercontent.com/scl/fi/7be376cn5an851ruzv7aj/womens-size-chartsdixie.jpg?rlkey=fzaemvmb7qtasme268t8j9f0q&amp;dl=0","Click to download SizeChart")</f>
      </c>
      <c r="C4158" s="0" t="inlineStr">
        <is>
          <t>Dixie Women's Reversible Vest</t>
        </is>
      </c>
      <c r="D4158" s="0" t="inlineStr">
        <is>
          <t>'116154</t>
        </is>
      </c>
      <c r="E4158" s="0" t="inlineStr">
        <is>
          <t>KSU DIXIE W GOLD 12 PACK:116154Z-12PK</t>
        </is>
      </c>
      <c r="F4158" s="0" t="inlineStr">
        <is>
          <t>'805116154995</t>
        </is>
      </c>
      <c r="G4158" s="0" t="inlineStr">
        <is>
          <t>WOMENS</t>
        </is>
      </c>
      <c r="H4158" s="0" t="inlineStr">
        <is>
          <t>12 PACK</t>
        </is>
      </c>
      <c r="I4158" s="0">
        <v>528</v>
      </c>
      <c r="J4158" s="0">
        <v>0</v>
      </c>
    </row>
    <row r="4159" spans="1:10" customHeight="0">
      <c r="A4159" s="0">
        <f>HYPERLINK("https://dl.dropboxusercontent.com/scl/fi/vsf1pyzocwh4rjz79dne5/ia-af.jpg?rlkey=kiu92up9l0nwc9dxzedn9d83f&amp;dl=0","Click to download Image")</f>
      </c>
      <c r="C4159" s="0" t="inlineStr">
        <is>
          <t>Sheridan Men's Cap </t>
        </is>
      </c>
      <c r="D4159" s="0" t="inlineStr">
        <is>
          <t>'109880</t>
        </is>
      </c>
      <c r="E4159" s="0" t="inlineStr">
        <is>
          <t>IOWA SHERIDAN:109880</t>
        </is>
      </c>
      <c r="F4159" s="0" t="inlineStr">
        <is>
          <t>'700109880014</t>
        </is>
      </c>
      <c r="G4159" s="0" t="inlineStr">
        <is>
          <t>MENS</t>
        </is>
      </c>
      <c r="H4159" s="0" t="inlineStr">
        <is>
          <t>ADULT</t>
        </is>
      </c>
      <c r="I4159" s="0">
        <v>22</v>
      </c>
      <c r="J4159" s="0">
        <v>70</v>
      </c>
    </row>
    <row r="4160" spans="1:10" customHeight="0">
      <c r="A4160" s="0">
        <f>HYPERLINK("https://dl.dropboxusercontent.com/scl/fi/p9wzrx3t1eveg6y83oxz8/isu-af.jpg?rlkey=8q1ezu7k7yrpdu4lkf6lgsxkb&amp;dl=0","Click to download Image")</f>
      </c>
      <c r="C4160" s="0" t="inlineStr">
        <is>
          <t>Sheridan Men's Cap </t>
        </is>
      </c>
      <c r="D4160" s="0" t="inlineStr">
        <is>
          <t>'109879</t>
        </is>
      </c>
      <c r="E4160" s="0" t="inlineStr">
        <is>
          <t>ISU SHERIDAN:109879</t>
        </is>
      </c>
      <c r="F4160" s="0" t="inlineStr">
        <is>
          <t>'700109879018</t>
        </is>
      </c>
      <c r="G4160" s="0" t="inlineStr">
        <is>
          <t>MENS</t>
        </is>
      </c>
      <c r="H4160" s="0" t="inlineStr">
        <is>
          <t>ADULT</t>
        </is>
      </c>
      <c r="I4160" s="0">
        <v>22</v>
      </c>
      <c r="J4160" s="0">
        <v>112</v>
      </c>
    </row>
    <row r="4161" spans="1:10" customHeight="0">
      <c r="A4161" s="0">
        <f>HYPERLINK("https://dl.dropboxusercontent.com/scl/fi/tjr7pvunwluj4f8wk82vs/114063-af.jpg?rlkey=ufexmu6q3yl1teyg9g4qsw5fx&amp;dl=0","Click to download Image")</f>
      </c>
      <c r="B4161" s="0">
        <f>HYPERLINK("https://dl.dropboxusercontent.com/scl/fi/rm63fc10xvey74h8s9oyu/mens-t-shirt-size-chartsjett.jpg?rlkey=u2rv8zx75x6g0uiuz86kdqc4k&amp;dl=0","Click to download SizeChart")</f>
      </c>
      <c r="C4161" s="0" t="inlineStr">
        <is>
          <t>Jett Men's T-Shirt</t>
        </is>
      </c>
      <c r="D4161" s="0" t="inlineStr">
        <is>
          <t>'114063</t>
        </is>
      </c>
      <c r="E4161" s="0" t="inlineStr">
        <is>
          <t>UNI JETT M PURPLE:114063A-S</t>
        </is>
      </c>
      <c r="F4161" s="0" t="inlineStr">
        <is>
          <t>'802114063045</t>
        </is>
      </c>
      <c r="G4161" s="0" t="inlineStr">
        <is>
          <t>MENS</t>
        </is>
      </c>
      <c r="H4161" s="0" t="inlineStr">
        <is>
          <t>S</t>
        </is>
      </c>
      <c r="I4161" s="0">
        <v>24.99</v>
      </c>
      <c r="J4161" s="0">
        <v>0</v>
      </c>
    </row>
    <row r="4162" spans="1:10" customHeight="0">
      <c r="A4162" s="0">
        <f>HYPERLINK("https://dl.dropboxusercontent.com/scl/fi/tjr7pvunwluj4f8wk82vs/114063-af.jpg?rlkey=ufexmu6q3yl1teyg9g4qsw5fx&amp;dl=0","Click to download Image")</f>
      </c>
      <c r="B4162" s="0">
        <f>HYPERLINK("https://dl.dropboxusercontent.com/scl/fi/rm63fc10xvey74h8s9oyu/mens-t-shirt-size-chartsjett.jpg?rlkey=u2rv8zx75x6g0uiuz86kdqc4k&amp;dl=0","Click to download SizeChart")</f>
      </c>
      <c r="C4162" s="0" t="inlineStr">
        <is>
          <t>Jett Men's T-Shirt</t>
        </is>
      </c>
      <c r="D4162" s="0" t="inlineStr">
        <is>
          <t>'114063</t>
        </is>
      </c>
      <c r="E4162" s="0" t="inlineStr">
        <is>
          <t>UNI JETT M PURPLE:114063B-M</t>
        </is>
      </c>
      <c r="F4162" s="0" t="inlineStr">
        <is>
          <t>'802114063052</t>
        </is>
      </c>
      <c r="G4162" s="0" t="inlineStr">
        <is>
          <t>MENS</t>
        </is>
      </c>
      <c r="H4162" s="0" t="inlineStr">
        <is>
          <t>M</t>
        </is>
      </c>
      <c r="I4162" s="0">
        <v>24.99</v>
      </c>
      <c r="J4162" s="0">
        <v>2</v>
      </c>
    </row>
    <row r="4163" spans="1:10" customHeight="0">
      <c r="A4163" s="0">
        <f>HYPERLINK("https://dl.dropboxusercontent.com/scl/fi/tjr7pvunwluj4f8wk82vs/114063-af.jpg?rlkey=ufexmu6q3yl1teyg9g4qsw5fx&amp;dl=0","Click to download Image")</f>
      </c>
      <c r="B4163" s="0">
        <f>HYPERLINK("https://dl.dropboxusercontent.com/scl/fi/rm63fc10xvey74h8s9oyu/mens-t-shirt-size-chartsjett.jpg?rlkey=u2rv8zx75x6g0uiuz86kdqc4k&amp;dl=0","Click to download SizeChart")</f>
      </c>
      <c r="C4163" s="0" t="inlineStr">
        <is>
          <t>Jett Men's T-Shirt</t>
        </is>
      </c>
      <c r="D4163" s="0" t="inlineStr">
        <is>
          <t>'114063</t>
        </is>
      </c>
      <c r="E4163" s="0" t="inlineStr">
        <is>
          <t>UNI JETT M PURPLE:114063C-L</t>
        </is>
      </c>
      <c r="F4163" s="0" t="inlineStr">
        <is>
          <t>'802114063069</t>
        </is>
      </c>
      <c r="G4163" s="0" t="inlineStr">
        <is>
          <t>MENS</t>
        </is>
      </c>
      <c r="H4163" s="0" t="inlineStr">
        <is>
          <t>L</t>
        </is>
      </c>
      <c r="I4163" s="0">
        <v>24.99</v>
      </c>
      <c r="J4163" s="0">
        <v>1</v>
      </c>
    </row>
    <row r="4164" spans="1:10" customHeight="0">
      <c r="A4164" s="0">
        <f>HYPERLINK("https://dl.dropboxusercontent.com/scl/fi/tjr7pvunwluj4f8wk82vs/114063-af.jpg?rlkey=ufexmu6q3yl1teyg9g4qsw5fx&amp;dl=0","Click to download Image")</f>
      </c>
      <c r="B4164" s="0">
        <f>HYPERLINK("https://dl.dropboxusercontent.com/scl/fi/rm63fc10xvey74h8s9oyu/mens-t-shirt-size-chartsjett.jpg?rlkey=u2rv8zx75x6g0uiuz86kdqc4k&amp;dl=0","Click to download SizeChart")</f>
      </c>
      <c r="C4164" s="0" t="inlineStr">
        <is>
          <t>Jett Men's T-Shirt</t>
        </is>
      </c>
      <c r="D4164" s="0" t="inlineStr">
        <is>
          <t>'114063</t>
        </is>
      </c>
      <c r="E4164" s="0" t="inlineStr">
        <is>
          <t>UNI JETT M PURPLE:114063D-XL</t>
        </is>
      </c>
      <c r="F4164" s="0" t="inlineStr">
        <is>
          <t>'802114063076</t>
        </is>
      </c>
      <c r="G4164" s="0" t="inlineStr">
        <is>
          <t>MENS</t>
        </is>
      </c>
      <c r="H4164" s="0" t="inlineStr">
        <is>
          <t>XL</t>
        </is>
      </c>
      <c r="I4164" s="0">
        <v>24.99</v>
      </c>
      <c r="J4164" s="0">
        <v>0</v>
      </c>
    </row>
    <row r="4165" spans="1:10" customHeight="0">
      <c r="A4165" s="0">
        <f>HYPERLINK("https://dl.dropboxusercontent.com/scl/fi/tjr7pvunwluj4f8wk82vs/114063-af.jpg?rlkey=ufexmu6q3yl1teyg9g4qsw5fx&amp;dl=0","Click to download Image")</f>
      </c>
      <c r="B4165" s="0">
        <f>HYPERLINK("https://dl.dropboxusercontent.com/scl/fi/rm63fc10xvey74h8s9oyu/mens-t-shirt-size-chartsjett.jpg?rlkey=u2rv8zx75x6g0uiuz86kdqc4k&amp;dl=0","Click to download SizeChart")</f>
      </c>
      <c r="C4165" s="0" t="inlineStr">
        <is>
          <t>Jett Men's T-Shirt</t>
        </is>
      </c>
      <c r="D4165" s="0" t="inlineStr">
        <is>
          <t>'114063</t>
        </is>
      </c>
      <c r="E4165" s="0" t="inlineStr">
        <is>
          <t>UNI JETT M PURPLE:114063E-2XL</t>
        </is>
      </c>
      <c r="F4165" s="0" t="inlineStr">
        <is>
          <t>'802114063083</t>
        </is>
      </c>
      <c r="G4165" s="0" t="inlineStr">
        <is>
          <t>MENS</t>
        </is>
      </c>
      <c r="H4165" s="0" t="inlineStr">
        <is>
          <t>2XL</t>
        </is>
      </c>
      <c r="I4165" s="0">
        <v>26.99</v>
      </c>
      <c r="J4165" s="0">
        <v>2</v>
      </c>
    </row>
    <row r="4166" spans="1:10" customHeight="0">
      <c r="A4166" s="0">
        <f>HYPERLINK("https://dl.dropboxusercontent.com/scl/fi/tjr7pvunwluj4f8wk82vs/114063-af.jpg?rlkey=ufexmu6q3yl1teyg9g4qsw5fx&amp;dl=0","Click to download Image")</f>
      </c>
      <c r="B4166" s="0">
        <f>HYPERLINK("https://dl.dropboxusercontent.com/scl/fi/rm63fc10xvey74h8s9oyu/mens-t-shirt-size-chartsjett.jpg?rlkey=u2rv8zx75x6g0uiuz86kdqc4k&amp;dl=0","Click to download SizeChart")</f>
      </c>
      <c r="C4166" s="0" t="inlineStr">
        <is>
          <t>Jett Men's T-Shirt</t>
        </is>
      </c>
      <c r="D4166" s="0" t="inlineStr">
        <is>
          <t>'114063</t>
        </is>
      </c>
      <c r="E4166" s="0" t="inlineStr">
        <is>
          <t>UNI JETT M PURPLE:114063F-3XL</t>
        </is>
      </c>
      <c r="F4166" s="0" t="inlineStr">
        <is>
          <t>'802114063090</t>
        </is>
      </c>
      <c r="G4166" s="0" t="inlineStr">
        <is>
          <t>MENS</t>
        </is>
      </c>
      <c r="H4166" s="0" t="inlineStr">
        <is>
          <t>3XL</t>
        </is>
      </c>
      <c r="I4166" s="0">
        <v>26.99</v>
      </c>
      <c r="J4166" s="0">
        <v>2</v>
      </c>
    </row>
    <row r="4167" spans="1:10" customHeight="0">
      <c r="A4167" s="0">
        <f>HYPERLINK("https://dl.dropboxusercontent.com/scl/fi/tjr7pvunwluj4f8wk82vs/114063-af.jpg?rlkey=ufexmu6q3yl1teyg9g4qsw5fx&amp;dl=0","Click to download Image")</f>
      </c>
      <c r="B4167" s="0">
        <f>HYPERLINK("https://dl.dropboxusercontent.com/scl/fi/rm63fc10xvey74h8s9oyu/mens-t-shirt-size-chartsjett.jpg?rlkey=u2rv8zx75x6g0uiuz86kdqc4k&amp;dl=0","Click to download SizeChart")</f>
      </c>
      <c r="C4167" s="0" t="inlineStr">
        <is>
          <t>Jett Men's T-Shirt</t>
        </is>
      </c>
      <c r="D4167" s="0" t="inlineStr">
        <is>
          <t>'114063</t>
        </is>
      </c>
      <c r="E4167" s="0" t="inlineStr">
        <is>
          <t>UNI JETT M PURPLE 12 PACK:114063Z-12PK</t>
        </is>
      </c>
      <c r="F4167" s="0" t="inlineStr">
        <is>
          <t>'802114063991</t>
        </is>
      </c>
      <c r="G4167" s="0" t="inlineStr">
        <is>
          <t>MENS</t>
        </is>
      </c>
      <c r="H4167" s="0" t="inlineStr">
        <is>
          <t>12 PACK</t>
        </is>
      </c>
      <c r="I4167" s="0">
        <v>240</v>
      </c>
      <c r="J4167" s="0">
        <v>0</v>
      </c>
    </row>
    <row r="4168" spans="1:10" customHeight="0">
      <c r="A4168" s="0">
        <f>HYPERLINK("https://dl.dropboxusercontent.com/scl/fi/57alvhxzsm0f2tphx4p4a/114482-af.jpg?rlkey=91ji05xvx2n6j7qtxanozc0u1&amp;dl=0","Click to download Image")</f>
      </c>
      <c r="B4168" s="0">
        <f>HYPERLINK("https://dl.dropboxusercontent.com/scl/fi/80fjoldyhix66xvifv5td/mens-t-shirt-size-chartsneil.jpg?rlkey=u9jmjn3oxe4qqhmwu69663u2z&amp;dl=0","Click to download SizeChart")</f>
      </c>
      <c r="C4168" s="0" t="inlineStr">
        <is>
          <t>Neil Men's Long Sleeve Pocket Henley</t>
        </is>
      </c>
      <c r="D4168" s="0" t="inlineStr">
        <is>
          <t>'114482</t>
        </is>
      </c>
      <c r="E4168" s="0" t="inlineStr">
        <is>
          <t>KSU NEIL M BLACK:114482A - S</t>
        </is>
      </c>
      <c r="F4168" s="0" t="inlineStr">
        <is>
          <t>'805114482045</t>
        </is>
      </c>
      <c r="G4168" s="0" t="inlineStr">
        <is>
          <t>MENS</t>
        </is>
      </c>
      <c r="H4168" s="0" t="inlineStr">
        <is>
          <t>S</t>
        </is>
      </c>
      <c r="I4168" s="0">
        <v>44.99</v>
      </c>
      <c r="J4168" s="0">
        <v>2</v>
      </c>
    </row>
    <row r="4169" spans="1:10" customHeight="0">
      <c r="A4169" s="0">
        <f>HYPERLINK("https://dl.dropboxusercontent.com/scl/fi/57alvhxzsm0f2tphx4p4a/114482-af.jpg?rlkey=91ji05xvx2n6j7qtxanozc0u1&amp;dl=0","Click to download Image")</f>
      </c>
      <c r="B4169" s="0">
        <f>HYPERLINK("https://dl.dropboxusercontent.com/scl/fi/80fjoldyhix66xvifv5td/mens-t-shirt-size-chartsneil.jpg?rlkey=u9jmjn3oxe4qqhmwu69663u2z&amp;dl=0","Click to download SizeChart")</f>
      </c>
      <c r="C4169" s="0" t="inlineStr">
        <is>
          <t>Neil Men's Long Sleeve Pocket Henley</t>
        </is>
      </c>
      <c r="D4169" s="0" t="inlineStr">
        <is>
          <t>'114482</t>
        </is>
      </c>
      <c r="E4169" s="0" t="inlineStr">
        <is>
          <t>KSU NEIL M BLACK:114482B - M</t>
        </is>
      </c>
      <c r="F4169" s="0" t="inlineStr">
        <is>
          <t>'805114482052</t>
        </is>
      </c>
      <c r="G4169" s="0" t="inlineStr">
        <is>
          <t>MENS</t>
        </is>
      </c>
      <c r="H4169" s="0" t="inlineStr">
        <is>
          <t>M</t>
        </is>
      </c>
      <c r="I4169" s="0">
        <v>44.99</v>
      </c>
      <c r="J4169" s="0">
        <v>6</v>
      </c>
    </row>
    <row r="4170" spans="1:10" customHeight="0">
      <c r="A4170" s="0">
        <f>HYPERLINK("https://dl.dropboxusercontent.com/scl/fi/57alvhxzsm0f2tphx4p4a/114482-af.jpg?rlkey=91ji05xvx2n6j7qtxanozc0u1&amp;dl=0","Click to download Image")</f>
      </c>
      <c r="B4170" s="0">
        <f>HYPERLINK("https://dl.dropboxusercontent.com/scl/fi/80fjoldyhix66xvifv5td/mens-t-shirt-size-chartsneil.jpg?rlkey=u9jmjn3oxe4qqhmwu69663u2z&amp;dl=0","Click to download SizeChart")</f>
      </c>
      <c r="C4170" s="0" t="inlineStr">
        <is>
          <t>Neil Men's Long Sleeve Pocket Henley</t>
        </is>
      </c>
      <c r="D4170" s="0" t="inlineStr">
        <is>
          <t>'114482</t>
        </is>
      </c>
      <c r="E4170" s="0" t="inlineStr">
        <is>
          <t>KSU NEIL M BLACK:114482C - L</t>
        </is>
      </c>
      <c r="F4170" s="0" t="inlineStr">
        <is>
          <t>'805114482069</t>
        </is>
      </c>
      <c r="G4170" s="0" t="inlineStr">
        <is>
          <t>MENS</t>
        </is>
      </c>
      <c r="H4170" s="0" t="inlineStr">
        <is>
          <t>L</t>
        </is>
      </c>
      <c r="I4170" s="0">
        <v>44.99</v>
      </c>
      <c r="J4170" s="0">
        <v>9</v>
      </c>
    </row>
    <row r="4171" spans="1:10" customHeight="0">
      <c r="A4171" s="0">
        <f>HYPERLINK("https://dl.dropboxusercontent.com/scl/fi/57alvhxzsm0f2tphx4p4a/114482-af.jpg?rlkey=91ji05xvx2n6j7qtxanozc0u1&amp;dl=0","Click to download Image")</f>
      </c>
      <c r="B4171" s="0">
        <f>HYPERLINK("https://dl.dropboxusercontent.com/scl/fi/80fjoldyhix66xvifv5td/mens-t-shirt-size-chartsneil.jpg?rlkey=u9jmjn3oxe4qqhmwu69663u2z&amp;dl=0","Click to download SizeChart")</f>
      </c>
      <c r="C4171" s="0" t="inlineStr">
        <is>
          <t>Neil Men's Long Sleeve Pocket Henley</t>
        </is>
      </c>
      <c r="D4171" s="0" t="inlineStr">
        <is>
          <t>'114482</t>
        </is>
      </c>
      <c r="E4171" s="0" t="inlineStr">
        <is>
          <t>KSU NEIL M BLACK:114482D - XL</t>
        </is>
      </c>
      <c r="F4171" s="0" t="inlineStr">
        <is>
          <t>'805114482076</t>
        </is>
      </c>
      <c r="G4171" s="0" t="inlineStr">
        <is>
          <t>MENS</t>
        </is>
      </c>
      <c r="H4171" s="0" t="inlineStr">
        <is>
          <t>XL</t>
        </is>
      </c>
      <c r="I4171" s="0">
        <v>44.99</v>
      </c>
      <c r="J4171" s="0">
        <v>9</v>
      </c>
    </row>
    <row r="4172" spans="1:10" customHeight="0">
      <c r="A4172" s="0">
        <f>HYPERLINK("https://dl.dropboxusercontent.com/scl/fi/57alvhxzsm0f2tphx4p4a/114482-af.jpg?rlkey=91ji05xvx2n6j7qtxanozc0u1&amp;dl=0","Click to download Image")</f>
      </c>
      <c r="B4172" s="0">
        <f>HYPERLINK("https://dl.dropboxusercontent.com/scl/fi/80fjoldyhix66xvifv5td/mens-t-shirt-size-chartsneil.jpg?rlkey=u9jmjn3oxe4qqhmwu69663u2z&amp;dl=0","Click to download SizeChart")</f>
      </c>
      <c r="C4172" s="0" t="inlineStr">
        <is>
          <t>Neil Men's Long Sleeve Pocket Henley</t>
        </is>
      </c>
      <c r="D4172" s="0" t="inlineStr">
        <is>
          <t>'114482</t>
        </is>
      </c>
      <c r="E4172" s="0" t="inlineStr">
        <is>
          <t>KSU NEIL M BLACK:114482E - 2XL</t>
        </is>
      </c>
      <c r="F4172" s="0" t="inlineStr">
        <is>
          <t>'805114482083</t>
        </is>
      </c>
      <c r="G4172" s="0" t="inlineStr">
        <is>
          <t>MENS</t>
        </is>
      </c>
      <c r="H4172" s="0" t="inlineStr">
        <is>
          <t>2XL</t>
        </is>
      </c>
      <c r="I4172" s="0">
        <v>46.99</v>
      </c>
      <c r="J4172" s="0">
        <v>8</v>
      </c>
    </row>
    <row r="4173" spans="1:10" customHeight="0">
      <c r="A4173" s="0">
        <f>HYPERLINK("https://dl.dropboxusercontent.com/scl/fi/57alvhxzsm0f2tphx4p4a/114482-af.jpg?rlkey=91ji05xvx2n6j7qtxanozc0u1&amp;dl=0","Click to download Image")</f>
      </c>
      <c r="B4173" s="0">
        <f>HYPERLINK("https://dl.dropboxusercontent.com/scl/fi/80fjoldyhix66xvifv5td/mens-t-shirt-size-chartsneil.jpg?rlkey=u9jmjn3oxe4qqhmwu69663u2z&amp;dl=0","Click to download SizeChart")</f>
      </c>
      <c r="C4173" s="0" t="inlineStr">
        <is>
          <t>Neil Men's Long Sleeve Pocket Henley</t>
        </is>
      </c>
      <c r="D4173" s="0" t="inlineStr">
        <is>
          <t>'114482</t>
        </is>
      </c>
      <c r="E4173" s="0" t="inlineStr">
        <is>
          <t>KSU NEIL M BLACK:114482F - 3XL</t>
        </is>
      </c>
      <c r="F4173" s="0" t="inlineStr">
        <is>
          <t>'805114482090</t>
        </is>
      </c>
      <c r="G4173" s="0" t="inlineStr">
        <is>
          <t>MENS</t>
        </is>
      </c>
      <c r="H4173" s="0" t="inlineStr">
        <is>
          <t>3XL</t>
        </is>
      </c>
      <c r="I4173" s="0">
        <v>46.99</v>
      </c>
      <c r="J4173" s="0">
        <v>5</v>
      </c>
    </row>
    <row r="4174" spans="1:10" customHeight="0">
      <c r="A4174" s="0">
        <f>HYPERLINK("https://dl.dropboxusercontent.com/scl/fi/57alvhxzsm0f2tphx4p4a/114482-af.jpg?rlkey=91ji05xvx2n6j7qtxanozc0u1&amp;dl=0","Click to download Image")</f>
      </c>
      <c r="B4174" s="0">
        <f>HYPERLINK("https://dl.dropboxusercontent.com/scl/fi/80fjoldyhix66xvifv5td/mens-t-shirt-size-chartsneil.jpg?rlkey=u9jmjn3oxe4qqhmwu69663u2z&amp;dl=0","Click to download SizeChart")</f>
      </c>
      <c r="C4174" s="0" t="inlineStr">
        <is>
          <t>Neil Men's Long Sleeve Pocket Henley</t>
        </is>
      </c>
      <c r="D4174" s="0" t="inlineStr">
        <is>
          <t>'114482</t>
        </is>
      </c>
      <c r="E4174" s="0" t="inlineStr">
        <is>
          <t>KSU NEIL M BLACK 12 PACK (114482)</t>
        </is>
      </c>
      <c r="F4174" s="0" t="inlineStr">
        <is>
          <t>'805114482991</t>
        </is>
      </c>
      <c r="G4174" s="0" t="inlineStr">
        <is>
          <t>MENS</t>
        </is>
      </c>
      <c r="H4174" s="0" t="inlineStr">
        <is>
          <t>12 PACK</t>
        </is>
      </c>
      <c r="I4174" s="0">
        <v>521.88</v>
      </c>
      <c r="J4174" s="0">
        <v>0</v>
      </c>
    </row>
    <row r="4175" spans="1:10" customHeight="0">
      <c r="A4175" s="0">
        <f>HYPERLINK("https://dl.dropboxusercontent.com/scl/fi/i1bd02a24bx57t7n8hb6w/114481-af.jpg?rlkey=ixb87kgj7g02turmwva6i6a0t&amp;dl=0","Click to download Image")</f>
      </c>
      <c r="B4175" s="0">
        <f>HYPERLINK("https://dl.dropboxusercontent.com/scl/fi/80fjoldyhix66xvifv5td/mens-t-shirt-size-chartsneil.jpg?rlkey=u9jmjn3oxe4qqhmwu69663u2z&amp;dl=0","Click to download SizeChart")</f>
      </c>
      <c r="C4175" s="0" t="inlineStr">
        <is>
          <t>Neil Men's Long Sleeve Pocket Henley</t>
        </is>
      </c>
      <c r="D4175" s="0" t="inlineStr">
        <is>
          <t>'114481</t>
        </is>
      </c>
      <c r="E4175" s="0" t="inlineStr">
        <is>
          <t>MU NEIL M BLACK:114481A-S</t>
        </is>
      </c>
      <c r="F4175" s="0" t="inlineStr">
        <is>
          <t>'803114481044</t>
        </is>
      </c>
      <c r="G4175" s="0" t="inlineStr">
        <is>
          <t>MENS</t>
        </is>
      </c>
      <c r="H4175" s="0" t="inlineStr">
        <is>
          <t>S</t>
        </is>
      </c>
      <c r="I4175" s="0">
        <v>44.99</v>
      </c>
      <c r="J4175" s="0">
        <v>2</v>
      </c>
    </row>
    <row r="4176" spans="1:10" customHeight="0">
      <c r="A4176" s="0">
        <f>HYPERLINK("https://dl.dropboxusercontent.com/scl/fi/i1bd02a24bx57t7n8hb6w/114481-af.jpg?rlkey=ixb87kgj7g02turmwva6i6a0t&amp;dl=0","Click to download Image")</f>
      </c>
      <c r="B4176" s="0">
        <f>HYPERLINK("https://dl.dropboxusercontent.com/scl/fi/80fjoldyhix66xvifv5td/mens-t-shirt-size-chartsneil.jpg?rlkey=u9jmjn3oxe4qqhmwu69663u2z&amp;dl=0","Click to download SizeChart")</f>
      </c>
      <c r="C4176" s="0" t="inlineStr">
        <is>
          <t>Neil Men's Long Sleeve Pocket Henley</t>
        </is>
      </c>
      <c r="D4176" s="0" t="inlineStr">
        <is>
          <t>'114481</t>
        </is>
      </c>
      <c r="E4176" s="0" t="inlineStr">
        <is>
          <t>MU NEIL M BLACK:114481B-M</t>
        </is>
      </c>
      <c r="F4176" s="0" t="inlineStr">
        <is>
          <t>'803114481051</t>
        </is>
      </c>
      <c r="G4176" s="0" t="inlineStr">
        <is>
          <t>MENS</t>
        </is>
      </c>
      <c r="H4176" s="0" t="inlineStr">
        <is>
          <t>M</t>
        </is>
      </c>
      <c r="I4176" s="0">
        <v>44.99</v>
      </c>
      <c r="J4176" s="0">
        <v>4</v>
      </c>
    </row>
    <row r="4177" spans="1:10" customHeight="0">
      <c r="A4177" s="0">
        <f>HYPERLINK("https://dl.dropboxusercontent.com/scl/fi/i1bd02a24bx57t7n8hb6w/114481-af.jpg?rlkey=ixb87kgj7g02turmwva6i6a0t&amp;dl=0","Click to download Image")</f>
      </c>
      <c r="B4177" s="0">
        <f>HYPERLINK("https://dl.dropboxusercontent.com/scl/fi/80fjoldyhix66xvifv5td/mens-t-shirt-size-chartsneil.jpg?rlkey=u9jmjn3oxe4qqhmwu69663u2z&amp;dl=0","Click to download SizeChart")</f>
      </c>
      <c r="C4177" s="0" t="inlineStr">
        <is>
          <t>Neil Men's Long Sleeve Pocket Henley</t>
        </is>
      </c>
      <c r="D4177" s="0" t="inlineStr">
        <is>
          <t>'114481</t>
        </is>
      </c>
      <c r="E4177" s="0" t="inlineStr">
        <is>
          <t>MU NEIL M BLACK:114481C-L</t>
        </is>
      </c>
      <c r="F4177" s="0" t="inlineStr">
        <is>
          <t>'803114481068</t>
        </is>
      </c>
      <c r="G4177" s="0" t="inlineStr">
        <is>
          <t>MENS</t>
        </is>
      </c>
      <c r="H4177" s="0" t="inlineStr">
        <is>
          <t>L</t>
        </is>
      </c>
      <c r="I4177" s="0">
        <v>44.99</v>
      </c>
      <c r="J4177" s="0">
        <v>5</v>
      </c>
    </row>
    <row r="4178" spans="1:10" customHeight="0">
      <c r="A4178" s="0">
        <f>HYPERLINK("https://dl.dropboxusercontent.com/scl/fi/i1bd02a24bx57t7n8hb6w/114481-af.jpg?rlkey=ixb87kgj7g02turmwva6i6a0t&amp;dl=0","Click to download Image")</f>
      </c>
      <c r="B4178" s="0">
        <f>HYPERLINK("https://dl.dropboxusercontent.com/scl/fi/80fjoldyhix66xvifv5td/mens-t-shirt-size-chartsneil.jpg?rlkey=u9jmjn3oxe4qqhmwu69663u2z&amp;dl=0","Click to download SizeChart")</f>
      </c>
      <c r="C4178" s="0" t="inlineStr">
        <is>
          <t>Neil Men's Long Sleeve Pocket Henley</t>
        </is>
      </c>
      <c r="D4178" s="0" t="inlineStr">
        <is>
          <t>'114481</t>
        </is>
      </c>
      <c r="E4178" s="0" t="inlineStr">
        <is>
          <t>MU NEIL M BLACK:114481D-XL</t>
        </is>
      </c>
      <c r="F4178" s="0" t="inlineStr">
        <is>
          <t>'803114481075</t>
        </is>
      </c>
      <c r="G4178" s="0" t="inlineStr">
        <is>
          <t>MENS</t>
        </is>
      </c>
      <c r="H4178" s="0" t="inlineStr">
        <is>
          <t>XL</t>
        </is>
      </c>
      <c r="I4178" s="0">
        <v>44.99</v>
      </c>
      <c r="J4178" s="0">
        <v>7</v>
      </c>
    </row>
    <row r="4179" spans="1:10" customHeight="0">
      <c r="A4179" s="0">
        <f>HYPERLINK("https://dl.dropboxusercontent.com/scl/fi/i1bd02a24bx57t7n8hb6w/114481-af.jpg?rlkey=ixb87kgj7g02turmwva6i6a0t&amp;dl=0","Click to download Image")</f>
      </c>
      <c r="B4179" s="0">
        <f>HYPERLINK("https://dl.dropboxusercontent.com/scl/fi/80fjoldyhix66xvifv5td/mens-t-shirt-size-chartsneil.jpg?rlkey=u9jmjn3oxe4qqhmwu69663u2z&amp;dl=0","Click to download SizeChart")</f>
      </c>
      <c r="C4179" s="0" t="inlineStr">
        <is>
          <t>Neil Men's Long Sleeve Pocket Henley</t>
        </is>
      </c>
      <c r="D4179" s="0" t="inlineStr">
        <is>
          <t>'114481</t>
        </is>
      </c>
      <c r="E4179" s="0" t="inlineStr">
        <is>
          <t>MU NEIL M BLACK:114481E-2XL</t>
        </is>
      </c>
      <c r="F4179" s="0" t="inlineStr">
        <is>
          <t>'803114481082</t>
        </is>
      </c>
      <c r="G4179" s="0" t="inlineStr">
        <is>
          <t>MENS</t>
        </is>
      </c>
      <c r="H4179" s="0" t="inlineStr">
        <is>
          <t>2XL</t>
        </is>
      </c>
      <c r="I4179" s="0">
        <v>46.99</v>
      </c>
      <c r="J4179" s="0">
        <v>5</v>
      </c>
    </row>
    <row r="4180" spans="1:10" customHeight="0">
      <c r="A4180" s="0">
        <f>HYPERLINK("https://dl.dropboxusercontent.com/scl/fi/i1bd02a24bx57t7n8hb6w/114481-af.jpg?rlkey=ixb87kgj7g02turmwva6i6a0t&amp;dl=0","Click to download Image")</f>
      </c>
      <c r="B4180" s="0">
        <f>HYPERLINK("https://dl.dropboxusercontent.com/scl/fi/80fjoldyhix66xvifv5td/mens-t-shirt-size-chartsneil.jpg?rlkey=u9jmjn3oxe4qqhmwu69663u2z&amp;dl=0","Click to download SizeChart")</f>
      </c>
      <c r="C4180" s="0" t="inlineStr">
        <is>
          <t>Neil Men's Long Sleeve Pocket Henley</t>
        </is>
      </c>
      <c r="D4180" s="0" t="inlineStr">
        <is>
          <t>'114481</t>
        </is>
      </c>
      <c r="E4180" s="0" t="inlineStr">
        <is>
          <t>MU NEIL M BLACK:114481F-3XL</t>
        </is>
      </c>
      <c r="F4180" s="0" t="inlineStr">
        <is>
          <t>'803114481099</t>
        </is>
      </c>
      <c r="G4180" s="0" t="inlineStr">
        <is>
          <t>MENS</t>
        </is>
      </c>
      <c r="H4180" s="0" t="inlineStr">
        <is>
          <t>3XL</t>
        </is>
      </c>
      <c r="I4180" s="0">
        <v>46.99</v>
      </c>
      <c r="J4180" s="0">
        <v>3</v>
      </c>
    </row>
    <row r="4181" spans="1:10" customHeight="0">
      <c r="A4181" s="0">
        <f>HYPERLINK("https://dl.dropboxusercontent.com/scl/fi/i1bd02a24bx57t7n8hb6w/114481-af.jpg?rlkey=ixb87kgj7g02turmwva6i6a0t&amp;dl=0","Click to download Image")</f>
      </c>
      <c r="B4181" s="0">
        <f>HYPERLINK("https://dl.dropboxusercontent.com/scl/fi/80fjoldyhix66xvifv5td/mens-t-shirt-size-chartsneil.jpg?rlkey=u9jmjn3oxe4qqhmwu69663u2z&amp;dl=0","Click to download SizeChart")</f>
      </c>
      <c r="C4181" s="0" t="inlineStr">
        <is>
          <t>Neil Men's Long Sleeve Pocket Henley</t>
        </is>
      </c>
      <c r="D4181" s="0" t="inlineStr">
        <is>
          <t>'114481</t>
        </is>
      </c>
      <c r="E4181" s="0" t="inlineStr">
        <is>
          <t>MU NEIL M BLACK 12 PACK:114481Z-12PK</t>
        </is>
      </c>
      <c r="F4181" s="0" t="inlineStr">
        <is>
          <t>'803114481990</t>
        </is>
      </c>
      <c r="G4181" s="0" t="inlineStr">
        <is>
          <t>MENS</t>
        </is>
      </c>
      <c r="H4181" s="0" t="inlineStr">
        <is>
          <t>12 PACK</t>
        </is>
      </c>
      <c r="I4181" s="0">
        <v>521.88</v>
      </c>
      <c r="J4181" s="0">
        <v>0</v>
      </c>
    </row>
    <row r="4182" spans="1:10" customHeight="0">
      <c r="A4182" s="0">
        <f>HYPERLINK("https://dl.dropboxusercontent.com/scl/fi/3c6xervgmjutki2dl64kt/113589af.jpg?rlkey=6pqg7gfmpns5pakpwr6qq1ibb&amp;dl=0","Click to download Image")</f>
      </c>
      <c r="C4182" s="0" t="inlineStr">
        <is>
          <t>Sterling Womens Cap</t>
        </is>
      </c>
      <c r="D4182" s="0" t="inlineStr">
        <is>
          <t>'113589</t>
        </is>
      </c>
      <c r="E4182" s="0" t="inlineStr">
        <is>
          <t>UNI STERLING:113589</t>
        </is>
      </c>
      <c r="F4182" s="0" t="inlineStr">
        <is>
          <t>'702113589013</t>
        </is>
      </c>
      <c r="G4182" s="0" t="inlineStr">
        <is>
          <t>WOMENS</t>
        </is>
      </c>
      <c r="H4182" s="0" t="inlineStr">
        <is>
          <t>WOMENS</t>
        </is>
      </c>
      <c r="I4182" s="0">
        <v>20.99</v>
      </c>
      <c r="J4182" s="0">
        <v>64</v>
      </c>
    </row>
    <row r="4183" spans="1:10" customHeight="0">
      <c r="A4183" s="0">
        <f>HYPERLINK("https://dl.dropboxusercontent.com/scl/fi/yomig8ywn7mgsqyzp9fex/113588af.jpg?rlkey=bnc2p1jz8252axfa1b2en696x&amp;dl=0","Click to download Image")</f>
      </c>
      <c r="C4183" s="0" t="inlineStr">
        <is>
          <t>Sterling Womens Cap</t>
        </is>
      </c>
      <c r="D4183" s="0" t="inlineStr">
        <is>
          <t>'113588</t>
        </is>
      </c>
      <c r="E4183" s="0" t="inlineStr">
        <is>
          <t>ISU STERLING:113588</t>
        </is>
      </c>
      <c r="F4183" s="0" t="inlineStr">
        <is>
          <t>'701113588019</t>
        </is>
      </c>
      <c r="G4183" s="0" t="inlineStr">
        <is>
          <t>WOMENS</t>
        </is>
      </c>
      <c r="H4183" s="0" t="inlineStr">
        <is>
          <t>WOMENS</t>
        </is>
      </c>
      <c r="I4183" s="0">
        <v>20.99</v>
      </c>
      <c r="J4183" s="0">
        <v>7</v>
      </c>
    </row>
    <row r="4184" spans="1:10" customHeight="0">
      <c r="A4184" s="0">
        <f>HYPERLINK("https://dl.dropboxusercontent.com/scl/fi/riic7wrwrbkstn875azey/113587af.jpg?rlkey=mdxkufci64y1swkf26vjz8o50&amp;dl=0","Click to download Image")</f>
      </c>
      <c r="C4184" s="0" t="inlineStr">
        <is>
          <t>Sterling Womens Cap</t>
        </is>
      </c>
      <c r="D4184" s="0" t="inlineStr">
        <is>
          <t>'113587</t>
        </is>
      </c>
      <c r="E4184" s="0" t="inlineStr">
        <is>
          <t>IOWA STERLING:113587</t>
        </is>
      </c>
      <c r="F4184" s="0" t="inlineStr">
        <is>
          <t>'700113587015</t>
        </is>
      </c>
      <c r="G4184" s="0" t="inlineStr">
        <is>
          <t>WOMENS</t>
        </is>
      </c>
      <c r="H4184" s="0" t="inlineStr">
        <is>
          <t>WOMENS</t>
        </is>
      </c>
      <c r="I4184" s="0">
        <v>20.99</v>
      </c>
      <c r="J4184" s="0">
        <v>23</v>
      </c>
    </row>
    <row r="4185" spans="1:10" customHeight="0">
      <c r="A4185" s="0">
        <f>HYPERLINK("https://dl.dropboxusercontent.com/scl/fi/2s6hpvpj326402hvarowo/120549-af.jpg?rlkey=cvlcb52hix5rljzza63za1fmo&amp;dl=0","Click to download Image")</f>
      </c>
      <c r="C4185" s="0" t="inlineStr">
        <is>
          <t>Sterling Womens Cap</t>
        </is>
      </c>
      <c r="D4185" s="0" t="inlineStr">
        <is>
          <t>'120549</t>
        </is>
      </c>
      <c r="E4185" s="0" t="inlineStr">
        <is>
          <t>KSU A STERLING:120549</t>
        </is>
      </c>
      <c r="F4185" s="0" t="inlineStr">
        <is>
          <t>'705120549018</t>
        </is>
      </c>
      <c r="G4185" s="0" t="inlineStr">
        <is>
          <t>WOMENS</t>
        </is>
      </c>
      <c r="H4185" s="0" t="inlineStr">
        <is>
          <t>WOMENS</t>
        </is>
      </c>
      <c r="I4185" s="0">
        <v>20.99</v>
      </c>
      <c r="J4185" s="0">
        <v>131</v>
      </c>
    </row>
    <row r="4186" spans="1:10" customHeight="0">
      <c r="A4186" s="0">
        <f>HYPERLINK("https://dl.dropboxusercontent.com/scl/fi/4ugd62gp91ciuni4y51v5/109842af63317.jpg?rlkey=2v98yvl5hn38zxh966kwztiym&amp;dl=0","Click to download Image")</f>
      </c>
      <c r="C4186" s="0" t="inlineStr">
        <is>
          <t>Harlem Mens Cap</t>
        </is>
      </c>
      <c r="D4186" s="0" t="inlineStr">
        <is>
          <t>'109842</t>
        </is>
      </c>
      <c r="E4186" s="0" t="inlineStr">
        <is>
          <t>UNI HARLEM:109842</t>
        </is>
      </c>
      <c r="F4186" s="0" t="inlineStr">
        <is>
          <t>'700109842012</t>
        </is>
      </c>
      <c r="G4186" s="0" t="inlineStr">
        <is>
          <t>MENS</t>
        </is>
      </c>
      <c r="H4186" s="0" t="inlineStr">
        <is>
          <t>ADULT</t>
        </is>
      </c>
      <c r="I4186" s="0">
        <v>20</v>
      </c>
      <c r="J4186" s="0">
        <v>30</v>
      </c>
    </row>
    <row r="4187" spans="1:10" customHeight="0">
      <c r="A4187" s="0">
        <f>HYPERLINK("https://dl.dropboxusercontent.com/scl/fi/kk44tx9kwqosdyxolmf6j/ia-af.jpg?rlkey=bnh99fnbfjgroyesnoyi4js1m&amp;dl=0","Click to download Image")</f>
      </c>
      <c r="C4187" s="0" t="inlineStr">
        <is>
          <t>Eve Womens Cap</t>
        </is>
      </c>
      <c r="D4187" s="0" t="inlineStr">
        <is>
          <t>'109868</t>
        </is>
      </c>
      <c r="E4187" s="0" t="inlineStr">
        <is>
          <t>IOWA EVE:109868</t>
        </is>
      </c>
      <c r="F4187" s="0" t="inlineStr">
        <is>
          <t>'700109868012</t>
        </is>
      </c>
      <c r="G4187" s="0" t="inlineStr">
        <is>
          <t>WOMENS</t>
        </is>
      </c>
      <c r="H4187" s="0" t="inlineStr">
        <is>
          <t>WOMENS</t>
        </is>
      </c>
      <c r="I4187" s="0">
        <v>20.99</v>
      </c>
      <c r="J4187" s="0">
        <v>163</v>
      </c>
    </row>
    <row r="4188" spans="1:10" customHeight="0">
      <c r="A4188" s="0">
        <f>HYPERLINK("https://dl.dropboxusercontent.com/scl/fi/1dhkp82lcaylr0j7327el/isu-af.jpg?rlkey=1w9stemtbr92cbbbryh82si67&amp;dl=0","Click to download Image")</f>
      </c>
      <c r="C4188" s="0" t="inlineStr">
        <is>
          <t>Eve Womens Cap</t>
        </is>
      </c>
      <c r="D4188" s="0" t="inlineStr">
        <is>
          <t>'109869</t>
        </is>
      </c>
      <c r="E4188" s="0" t="inlineStr">
        <is>
          <t>ISU EVE:109869</t>
        </is>
      </c>
      <c r="F4188" s="0" t="inlineStr">
        <is>
          <t>'000000000000</t>
        </is>
      </c>
      <c r="G4188" s="0" t="inlineStr">
        <is>
          <t>WOMENS</t>
        </is>
      </c>
      <c r="H4188" s="0" t="inlineStr">
        <is>
          <t>WOMENS</t>
        </is>
      </c>
      <c r="I4188" s="0">
        <v>20.99</v>
      </c>
      <c r="J4188" s="0">
        <v>118</v>
      </c>
    </row>
    <row r="4189" spans="1:10" customHeight="0">
      <c r="A4189" s="0">
        <f>HYPERLINK("https://dl.dropboxusercontent.com/scl/fi/ha5lkq4hlbi97pris4tog/109865af05590.jpg?rlkey=stw979jrkkxr358y55epnhdgf&amp;dl=0","Click to download Image")</f>
      </c>
      <c r="C4189" s="0" t="inlineStr">
        <is>
          <t>Krystal Womens Cap</t>
        </is>
      </c>
      <c r="D4189" s="0" t="inlineStr">
        <is>
          <t>'109865</t>
        </is>
      </c>
      <c r="E4189" s="0" t="inlineStr">
        <is>
          <t>IOWA KRYSTAL:109865</t>
        </is>
      </c>
      <c r="F4189" s="0" t="inlineStr">
        <is>
          <t>'700109865011</t>
        </is>
      </c>
      <c r="G4189" s="0" t="inlineStr">
        <is>
          <t>WOMENS</t>
        </is>
      </c>
      <c r="H4189" s="0" t="inlineStr">
        <is>
          <t>WOMENS</t>
        </is>
      </c>
      <c r="I4189" s="0">
        <v>21</v>
      </c>
      <c r="J4189" s="0">
        <v>89</v>
      </c>
    </row>
    <row r="4190" spans="1:10" customHeight="0">
      <c r="A4190" s="0">
        <f>HYPERLINK("https://dl.dropboxusercontent.com/scl/fi/bz4sxhk7r3c9ezb8zi9j1/109660af60506.jpg?rlkey=ft5p484oswn88obck2nhabs30&amp;dl=0","Click to download Image")</f>
      </c>
      <c r="C4190" s="0" t="inlineStr">
        <is>
          <t>Winona Womens Cap</t>
        </is>
      </c>
      <c r="D4190" s="0" t="inlineStr">
        <is>
          <t>'109660</t>
        </is>
      </c>
      <c r="E4190" s="0" t="inlineStr">
        <is>
          <t>ISU WINONA:109660</t>
        </is>
      </c>
      <c r="F4190" s="0" t="inlineStr">
        <is>
          <t>'700109660012</t>
        </is>
      </c>
      <c r="G4190" s="0" t="inlineStr">
        <is>
          <t>WOMENS</t>
        </is>
      </c>
      <c r="H4190" s="0" t="inlineStr">
        <is>
          <t>WOMENS</t>
        </is>
      </c>
      <c r="I4190" s="0">
        <v>22</v>
      </c>
      <c r="J4190" s="0">
        <v>3</v>
      </c>
    </row>
    <row r="4191" spans="1:10" customHeight="0">
      <c r="A4191" s="0">
        <f>HYPERLINK("https://dl.dropboxusercontent.com/scl/fi/cpl033yxu8curv6mzlfsk/109661af53409.jpg?rlkey=kfocw5aoof45he3tor4zekgbv&amp;dl=0","Click to download Image")</f>
      </c>
      <c r="C4191" s="0" t="inlineStr">
        <is>
          <t>Winona Womens Cap</t>
        </is>
      </c>
      <c r="D4191" s="0" t="inlineStr">
        <is>
          <t>'109661</t>
        </is>
      </c>
      <c r="E4191" s="0" t="inlineStr">
        <is>
          <t>UNI WINONA:109661</t>
        </is>
      </c>
      <c r="F4191" s="0" t="inlineStr">
        <is>
          <t>'700109661019</t>
        </is>
      </c>
      <c r="G4191" s="0" t="inlineStr">
        <is>
          <t>WOMENS</t>
        </is>
      </c>
      <c r="H4191" s="0" t="inlineStr">
        <is>
          <t>WOMENS</t>
        </is>
      </c>
      <c r="I4191" s="0">
        <v>22</v>
      </c>
      <c r="J4191" s="0">
        <v>40</v>
      </c>
    </row>
    <row r="4192" spans="1:10" customHeight="0">
      <c r="A4192" s="0">
        <f>HYPERLINK("https://dl.dropboxusercontent.com/scl/fi/edcqguvt8zq3y2qoxnxa5/atlas-131684-tn.jpg?rlkey=q4p7yiaz1h59n8io28wrzlqhv&amp;dl=0","Click to download Image")</f>
      </c>
      <c r="B4192" s="0">
        <f>HYPERLINK("https://dl.dropboxusercontent.com/scl/fi/q92jld1yef0fv3ifmovo9/mens-hoodie-size-chartsatlas.jpg?rlkey=cvo3r0u3qo3cb74g8xyfssxs2&amp;dl=0","Click to download SizeChart")</f>
      </c>
      <c r="C4192" s="0" t="inlineStr">
        <is>
          <t>Atlas Men's Camo Hoodie</t>
        </is>
      </c>
      <c r="D4192" s="0" t="inlineStr">
        <is>
          <t>'131684</t>
        </is>
      </c>
      <c r="E4192" s="0" t="inlineStr">
        <is>
          <t>DRK M ATLAS CO:131684A-S</t>
        </is>
      </c>
      <c r="F4192" s="0" t="inlineStr">
        <is>
          <t>'817131684043</t>
        </is>
      </c>
      <c r="G4192" s="0" t="inlineStr">
        <is>
          <t>MENS</t>
        </is>
      </c>
      <c r="H4192" s="0" t="inlineStr">
        <is>
          <t>S</t>
        </is>
      </c>
      <c r="I4192" s="0">
        <v>54.99</v>
      </c>
      <c r="J4192" s="0">
        <v>0</v>
      </c>
    </row>
    <row r="4193" spans="1:10" customHeight="0">
      <c r="A4193" s="0">
        <f>HYPERLINK("https://dl.dropboxusercontent.com/scl/fi/edcqguvt8zq3y2qoxnxa5/atlas-131684-tn.jpg?rlkey=q4p7yiaz1h59n8io28wrzlqhv&amp;dl=0","Click to download Image")</f>
      </c>
      <c r="B4193" s="0">
        <f>HYPERLINK("https://dl.dropboxusercontent.com/scl/fi/q92jld1yef0fv3ifmovo9/mens-hoodie-size-chartsatlas.jpg?rlkey=cvo3r0u3qo3cb74g8xyfssxs2&amp;dl=0","Click to download SizeChart")</f>
      </c>
      <c r="C4193" s="0" t="inlineStr">
        <is>
          <t>Atlas Men's Camo Hoodie</t>
        </is>
      </c>
      <c r="D4193" s="0" t="inlineStr">
        <is>
          <t>'131684</t>
        </is>
      </c>
      <c r="E4193" s="0" t="inlineStr">
        <is>
          <t>DRK M ATLAS CO:131684B-M</t>
        </is>
      </c>
      <c r="F4193" s="0" t="inlineStr">
        <is>
          <t>'817131684050</t>
        </is>
      </c>
      <c r="G4193" s="0" t="inlineStr">
        <is>
          <t>MENS</t>
        </is>
      </c>
      <c r="H4193" s="0" t="inlineStr">
        <is>
          <t>M</t>
        </is>
      </c>
      <c r="I4193" s="0">
        <v>54.99</v>
      </c>
      <c r="J4193" s="0">
        <v>2</v>
      </c>
    </row>
    <row r="4194" spans="1:10" customHeight="0">
      <c r="A4194" s="0">
        <f>HYPERLINK("https://dl.dropboxusercontent.com/scl/fi/edcqguvt8zq3y2qoxnxa5/atlas-131684-tn.jpg?rlkey=q4p7yiaz1h59n8io28wrzlqhv&amp;dl=0","Click to download Image")</f>
      </c>
      <c r="B4194" s="0">
        <f>HYPERLINK("https://dl.dropboxusercontent.com/scl/fi/q92jld1yef0fv3ifmovo9/mens-hoodie-size-chartsatlas.jpg?rlkey=cvo3r0u3qo3cb74g8xyfssxs2&amp;dl=0","Click to download SizeChart")</f>
      </c>
      <c r="C4194" s="0" t="inlineStr">
        <is>
          <t>Atlas Men's Camo Hoodie</t>
        </is>
      </c>
      <c r="D4194" s="0" t="inlineStr">
        <is>
          <t>'131684</t>
        </is>
      </c>
      <c r="E4194" s="0" t="inlineStr">
        <is>
          <t>DRK M ATLAS CO:131684C-L</t>
        </is>
      </c>
      <c r="F4194" s="0" t="inlineStr">
        <is>
          <t>'817131684067</t>
        </is>
      </c>
      <c r="G4194" s="0" t="inlineStr">
        <is>
          <t>MENS</t>
        </is>
      </c>
      <c r="H4194" s="0" t="inlineStr">
        <is>
          <t>L</t>
        </is>
      </c>
      <c r="I4194" s="0">
        <v>54.99</v>
      </c>
      <c r="J4194" s="0">
        <v>4</v>
      </c>
    </row>
    <row r="4195" spans="1:10" customHeight="0">
      <c r="A4195" s="0">
        <f>HYPERLINK("https://dl.dropboxusercontent.com/scl/fi/edcqguvt8zq3y2qoxnxa5/atlas-131684-tn.jpg?rlkey=q4p7yiaz1h59n8io28wrzlqhv&amp;dl=0","Click to download Image")</f>
      </c>
      <c r="B4195" s="0">
        <f>HYPERLINK("https://dl.dropboxusercontent.com/scl/fi/q92jld1yef0fv3ifmovo9/mens-hoodie-size-chartsatlas.jpg?rlkey=cvo3r0u3qo3cb74g8xyfssxs2&amp;dl=0","Click to download SizeChart")</f>
      </c>
      <c r="C4195" s="0" t="inlineStr">
        <is>
          <t>Atlas Men's Camo Hoodie</t>
        </is>
      </c>
      <c r="D4195" s="0" t="inlineStr">
        <is>
          <t>'131684</t>
        </is>
      </c>
      <c r="E4195" s="0" t="inlineStr">
        <is>
          <t>DRK M ATLAS CO:131684D-XL</t>
        </is>
      </c>
      <c r="F4195" s="0" t="inlineStr">
        <is>
          <t>'817131684074</t>
        </is>
      </c>
      <c r="G4195" s="0" t="inlineStr">
        <is>
          <t>MENS</t>
        </is>
      </c>
      <c r="H4195" s="0" t="inlineStr">
        <is>
          <t>XL</t>
        </is>
      </c>
      <c r="I4195" s="0">
        <v>54.99</v>
      </c>
      <c r="J4195" s="0">
        <v>1</v>
      </c>
    </row>
    <row r="4196" spans="1:10" customHeight="0">
      <c r="A4196" s="0">
        <f>HYPERLINK("https://dl.dropboxusercontent.com/scl/fi/edcqguvt8zq3y2qoxnxa5/atlas-131684-tn.jpg?rlkey=q4p7yiaz1h59n8io28wrzlqhv&amp;dl=0","Click to download Image")</f>
      </c>
      <c r="B4196" s="0">
        <f>HYPERLINK("https://dl.dropboxusercontent.com/scl/fi/q92jld1yef0fv3ifmovo9/mens-hoodie-size-chartsatlas.jpg?rlkey=cvo3r0u3qo3cb74g8xyfssxs2&amp;dl=0","Click to download SizeChart")</f>
      </c>
      <c r="C4196" s="0" t="inlineStr">
        <is>
          <t>Atlas Men's Camo Hoodie</t>
        </is>
      </c>
      <c r="D4196" s="0" t="inlineStr">
        <is>
          <t>'131684</t>
        </is>
      </c>
      <c r="E4196" s="0" t="inlineStr">
        <is>
          <t>DRK M ATLAS CO:131684E-2XL</t>
        </is>
      </c>
      <c r="F4196" s="0" t="inlineStr">
        <is>
          <t>'817131684081</t>
        </is>
      </c>
      <c r="G4196" s="0" t="inlineStr">
        <is>
          <t>MENS</t>
        </is>
      </c>
      <c r="H4196" s="0" t="inlineStr">
        <is>
          <t>2XL</t>
        </is>
      </c>
      <c r="I4196" s="0">
        <v>56.99</v>
      </c>
      <c r="J4196" s="0">
        <v>0</v>
      </c>
    </row>
    <row r="4197" spans="1:10" customHeight="0">
      <c r="A4197" s="0">
        <f>HYPERLINK("https://dl.dropboxusercontent.com/scl/fi/edcqguvt8zq3y2qoxnxa5/atlas-131684-tn.jpg?rlkey=q4p7yiaz1h59n8io28wrzlqhv&amp;dl=0","Click to download Image")</f>
      </c>
      <c r="B4197" s="0">
        <f>HYPERLINK("https://dl.dropboxusercontent.com/scl/fi/q92jld1yef0fv3ifmovo9/mens-hoodie-size-chartsatlas.jpg?rlkey=cvo3r0u3qo3cb74g8xyfssxs2&amp;dl=0","Click to download SizeChart")</f>
      </c>
      <c r="C4197" s="0" t="inlineStr">
        <is>
          <t>Atlas Men's Camo Hoodie</t>
        </is>
      </c>
      <c r="D4197" s="0" t="inlineStr">
        <is>
          <t>'131684</t>
        </is>
      </c>
      <c r="E4197" s="0" t="inlineStr">
        <is>
          <t>DRK M ATLAS CO:131684F-3XL</t>
        </is>
      </c>
      <c r="F4197" s="0" t="inlineStr">
        <is>
          <t>'817131684098</t>
        </is>
      </c>
      <c r="G4197" s="0" t="inlineStr">
        <is>
          <t>MENS</t>
        </is>
      </c>
      <c r="H4197" s="0" t="inlineStr">
        <is>
          <t>3XL</t>
        </is>
      </c>
      <c r="I4197" s="0">
        <v>56.99</v>
      </c>
      <c r="J4197" s="0">
        <v>0</v>
      </c>
    </row>
    <row r="4198" spans="1:10" customHeight="0">
      <c r="A4198" s="0">
        <f>HYPERLINK("https://dl.dropboxusercontent.com/scl/fi/oegv8q6li93zfdln5q1mx/113064af.jpg?rlkey=6rv1mfd5d2upswvqtgoquk32k&amp;dl=0","Click to download Image")</f>
      </c>
      <c r="B4198" s="0">
        <f>HYPERLINK("https://dl.dropboxusercontent.com/scl/fi/q92jld1yef0fv3ifmovo9/mens-hoodie-size-chartsatlas.jpg?rlkey=cvo3r0u3qo3cb74g8xyfssxs2&amp;dl=0","Click to download SizeChart")</f>
      </c>
      <c r="C4198" s="0" t="inlineStr">
        <is>
          <t>Atlas Men's Camo Hoodie</t>
        </is>
      </c>
      <c r="D4198" s="0" t="inlineStr">
        <is>
          <t>'113064</t>
        </is>
      </c>
      <c r="E4198" s="0" t="inlineStr">
        <is>
          <t>IOWA ATLAS CAMO:113064A - S</t>
        </is>
      </c>
      <c r="F4198" s="0" t="inlineStr">
        <is>
          <t>'000000000000</t>
        </is>
      </c>
      <c r="G4198" s="0" t="inlineStr">
        <is>
          <t>MENS</t>
        </is>
      </c>
      <c r="H4198" s="0" t="inlineStr">
        <is>
          <t>S</t>
        </is>
      </c>
      <c r="I4198" s="0">
        <v>54.99</v>
      </c>
      <c r="J4198" s="0">
        <v>0</v>
      </c>
    </row>
    <row r="4199" spans="1:10" customHeight="0">
      <c r="A4199" s="0">
        <f>HYPERLINK("https://dl.dropboxusercontent.com/scl/fi/oegv8q6li93zfdln5q1mx/113064af.jpg?rlkey=6rv1mfd5d2upswvqtgoquk32k&amp;dl=0","Click to download Image")</f>
      </c>
      <c r="B4199" s="0">
        <f>HYPERLINK("https://dl.dropboxusercontent.com/scl/fi/q92jld1yef0fv3ifmovo9/mens-hoodie-size-chartsatlas.jpg?rlkey=cvo3r0u3qo3cb74g8xyfssxs2&amp;dl=0","Click to download SizeChart")</f>
      </c>
      <c r="C4199" s="0" t="inlineStr">
        <is>
          <t>Atlas Men's Camo Hoodie</t>
        </is>
      </c>
      <c r="D4199" s="0" t="inlineStr">
        <is>
          <t>'113064</t>
        </is>
      </c>
      <c r="E4199" s="0" t="inlineStr">
        <is>
          <t>IOWA ATLAS CAMO:113064B - M</t>
        </is>
      </c>
      <c r="F4199" s="0" t="inlineStr">
        <is>
          <t>'000000000000</t>
        </is>
      </c>
      <c r="G4199" s="0" t="inlineStr">
        <is>
          <t>MENS</t>
        </is>
      </c>
      <c r="H4199" s="0" t="inlineStr">
        <is>
          <t>M</t>
        </is>
      </c>
      <c r="I4199" s="0">
        <v>54.99</v>
      </c>
      <c r="J4199" s="0">
        <v>0</v>
      </c>
    </row>
    <row r="4200" spans="1:10" customHeight="0">
      <c r="A4200" s="0">
        <f>HYPERLINK("https://dl.dropboxusercontent.com/scl/fi/oegv8q6li93zfdln5q1mx/113064af.jpg?rlkey=6rv1mfd5d2upswvqtgoquk32k&amp;dl=0","Click to download Image")</f>
      </c>
      <c r="B4200" s="0">
        <f>HYPERLINK("https://dl.dropboxusercontent.com/scl/fi/q92jld1yef0fv3ifmovo9/mens-hoodie-size-chartsatlas.jpg?rlkey=cvo3r0u3qo3cb74g8xyfssxs2&amp;dl=0","Click to download SizeChart")</f>
      </c>
      <c r="C4200" s="0" t="inlineStr">
        <is>
          <t>Atlas Men's Camo Hoodie</t>
        </is>
      </c>
      <c r="D4200" s="0" t="inlineStr">
        <is>
          <t>'113064</t>
        </is>
      </c>
      <c r="E4200" s="0" t="inlineStr">
        <is>
          <t>IOWA ATLAS CAMO:113064C - L</t>
        </is>
      </c>
      <c r="F4200" s="0" t="inlineStr">
        <is>
          <t>'000000000000</t>
        </is>
      </c>
      <c r="G4200" s="0" t="inlineStr">
        <is>
          <t>MENS</t>
        </is>
      </c>
      <c r="H4200" s="0" t="inlineStr">
        <is>
          <t>L</t>
        </is>
      </c>
      <c r="I4200" s="0">
        <v>54.99</v>
      </c>
      <c r="J4200" s="0">
        <v>0</v>
      </c>
    </row>
    <row r="4201" spans="1:10" customHeight="0">
      <c r="A4201" s="0">
        <f>HYPERLINK("https://dl.dropboxusercontent.com/scl/fi/oegv8q6li93zfdln5q1mx/113064af.jpg?rlkey=6rv1mfd5d2upswvqtgoquk32k&amp;dl=0","Click to download Image")</f>
      </c>
      <c r="B4201" s="0">
        <f>HYPERLINK("https://dl.dropboxusercontent.com/scl/fi/q92jld1yef0fv3ifmovo9/mens-hoodie-size-chartsatlas.jpg?rlkey=cvo3r0u3qo3cb74g8xyfssxs2&amp;dl=0","Click to download SizeChart")</f>
      </c>
      <c r="C4201" s="0" t="inlineStr">
        <is>
          <t>Atlas Men's Camo Hoodie</t>
        </is>
      </c>
      <c r="D4201" s="0" t="inlineStr">
        <is>
          <t>'113064</t>
        </is>
      </c>
      <c r="E4201" s="0" t="inlineStr">
        <is>
          <t>IOWA ATLAS CAMO:113064D - XL</t>
        </is>
      </c>
      <c r="F4201" s="0" t="inlineStr">
        <is>
          <t>'000000000000</t>
        </is>
      </c>
      <c r="G4201" s="0" t="inlineStr">
        <is>
          <t>MENS</t>
        </is>
      </c>
      <c r="H4201" s="0" t="inlineStr">
        <is>
          <t>XL</t>
        </is>
      </c>
      <c r="I4201" s="0">
        <v>54.99</v>
      </c>
      <c r="J4201" s="0">
        <v>0</v>
      </c>
    </row>
    <row r="4202" spans="1:10" customHeight="0">
      <c r="A4202" s="0">
        <f>HYPERLINK("https://dl.dropboxusercontent.com/scl/fi/oegv8q6li93zfdln5q1mx/113064af.jpg?rlkey=6rv1mfd5d2upswvqtgoquk32k&amp;dl=0","Click to download Image")</f>
      </c>
      <c r="B4202" s="0">
        <f>HYPERLINK("https://dl.dropboxusercontent.com/scl/fi/q92jld1yef0fv3ifmovo9/mens-hoodie-size-chartsatlas.jpg?rlkey=cvo3r0u3qo3cb74g8xyfssxs2&amp;dl=0","Click to download SizeChart")</f>
      </c>
      <c r="C4202" s="0" t="inlineStr">
        <is>
          <t>Atlas Men's Camo Hoodie</t>
        </is>
      </c>
      <c r="D4202" s="0" t="inlineStr">
        <is>
          <t>'113064</t>
        </is>
      </c>
      <c r="E4202" s="0" t="inlineStr">
        <is>
          <t>IOWA ATLAS CAMO:113064E - 2XL</t>
        </is>
      </c>
      <c r="F4202" s="0" t="inlineStr">
        <is>
          <t>'000000000000</t>
        </is>
      </c>
      <c r="G4202" s="0" t="inlineStr">
        <is>
          <t>MENS</t>
        </is>
      </c>
      <c r="H4202" s="0" t="inlineStr">
        <is>
          <t>2XL</t>
        </is>
      </c>
      <c r="I4202" s="0">
        <v>56.99</v>
      </c>
      <c r="J4202" s="0">
        <v>3</v>
      </c>
    </row>
    <row r="4203" spans="1:10" customHeight="0">
      <c r="A4203" s="0">
        <f>HYPERLINK("https://dl.dropboxusercontent.com/scl/fi/oegv8q6li93zfdln5q1mx/113064af.jpg?rlkey=6rv1mfd5d2upswvqtgoquk32k&amp;dl=0","Click to download Image")</f>
      </c>
      <c r="B4203" s="0">
        <f>HYPERLINK("https://dl.dropboxusercontent.com/scl/fi/q92jld1yef0fv3ifmovo9/mens-hoodie-size-chartsatlas.jpg?rlkey=cvo3r0u3qo3cb74g8xyfssxs2&amp;dl=0","Click to download SizeChart")</f>
      </c>
      <c r="C4203" s="0" t="inlineStr">
        <is>
          <t>Atlas Men's Camo Hoodie</t>
        </is>
      </c>
      <c r="D4203" s="0" t="inlineStr">
        <is>
          <t>'113064</t>
        </is>
      </c>
      <c r="E4203" s="0" t="inlineStr">
        <is>
          <t>IOWA ATLAS CAMO:113064F - 3XL</t>
        </is>
      </c>
      <c r="F4203" s="0" t="inlineStr">
        <is>
          <t>'000000000000</t>
        </is>
      </c>
      <c r="G4203" s="0" t="inlineStr">
        <is>
          <t>MENS</t>
        </is>
      </c>
      <c r="H4203" s="0" t="inlineStr">
        <is>
          <t>3XL</t>
        </is>
      </c>
      <c r="I4203" s="0">
        <v>56.99</v>
      </c>
      <c r="J4203" s="0">
        <v>4</v>
      </c>
    </row>
    <row r="4204" spans="1:10" customHeight="0">
      <c r="A4204" s="0">
        <f>HYPERLINK("https://dl.dropboxusercontent.com/scl/fi/uhkjw26xx66etgdwunueq/113065af.jpg?rlkey=1ulr9c0tp86pi5886yjrvfzc2&amp;dl=0","Click to download Image")</f>
      </c>
      <c r="B4204" s="0">
        <f>HYPERLINK("https://dl.dropboxusercontent.com/scl/fi/q92jld1yef0fv3ifmovo9/mens-hoodie-size-chartsatlas.jpg?rlkey=cvo3r0u3qo3cb74g8xyfssxs2&amp;dl=0","Click to download SizeChart")</f>
      </c>
      <c r="C4204" s="0" t="inlineStr">
        <is>
          <t>Atlas Men's Camo Hoodie</t>
        </is>
      </c>
      <c r="D4204" s="0" t="inlineStr">
        <is>
          <t>'113065</t>
        </is>
      </c>
      <c r="E4204" s="0" t="inlineStr">
        <is>
          <t>ISU ATLAS CAMO:113065A - S</t>
        </is>
      </c>
      <c r="F4204" s="0" t="inlineStr">
        <is>
          <t>'000000000000</t>
        </is>
      </c>
      <c r="G4204" s="0" t="inlineStr">
        <is>
          <t>MENS</t>
        </is>
      </c>
      <c r="H4204" s="0" t="inlineStr">
        <is>
          <t>S</t>
        </is>
      </c>
      <c r="I4204" s="0">
        <v>54.99</v>
      </c>
      <c r="J4204" s="0">
        <v>1</v>
      </c>
    </row>
    <row r="4205" spans="1:10" customHeight="0">
      <c r="A4205" s="0">
        <f>HYPERLINK("https://dl.dropboxusercontent.com/scl/fi/uhkjw26xx66etgdwunueq/113065af.jpg?rlkey=1ulr9c0tp86pi5886yjrvfzc2&amp;dl=0","Click to download Image")</f>
      </c>
      <c r="B4205" s="0">
        <f>HYPERLINK("https://dl.dropboxusercontent.com/scl/fi/q92jld1yef0fv3ifmovo9/mens-hoodie-size-chartsatlas.jpg?rlkey=cvo3r0u3qo3cb74g8xyfssxs2&amp;dl=0","Click to download SizeChart")</f>
      </c>
      <c r="C4205" s="0" t="inlineStr">
        <is>
          <t>Atlas Men's Camo Hoodie</t>
        </is>
      </c>
      <c r="D4205" s="0" t="inlineStr">
        <is>
          <t>'113065</t>
        </is>
      </c>
      <c r="E4205" s="0" t="inlineStr">
        <is>
          <t>ISU ATLAS CAMO:113065B - M</t>
        </is>
      </c>
      <c r="F4205" s="0" t="inlineStr">
        <is>
          <t>'000000000000</t>
        </is>
      </c>
      <c r="G4205" s="0" t="inlineStr">
        <is>
          <t>MENS</t>
        </is>
      </c>
      <c r="H4205" s="0" t="inlineStr">
        <is>
          <t>M</t>
        </is>
      </c>
      <c r="I4205" s="0">
        <v>54.99</v>
      </c>
      <c r="J4205" s="0">
        <v>5</v>
      </c>
    </row>
    <row r="4206" spans="1:10" customHeight="0">
      <c r="A4206" s="0">
        <f>HYPERLINK("https://dl.dropboxusercontent.com/scl/fi/uhkjw26xx66etgdwunueq/113065af.jpg?rlkey=1ulr9c0tp86pi5886yjrvfzc2&amp;dl=0","Click to download Image")</f>
      </c>
      <c r="B4206" s="0">
        <f>HYPERLINK("https://dl.dropboxusercontent.com/scl/fi/q92jld1yef0fv3ifmovo9/mens-hoodie-size-chartsatlas.jpg?rlkey=cvo3r0u3qo3cb74g8xyfssxs2&amp;dl=0","Click to download SizeChart")</f>
      </c>
      <c r="C4206" s="0" t="inlineStr">
        <is>
          <t>Atlas Men's Camo Hoodie</t>
        </is>
      </c>
      <c r="D4206" s="0" t="inlineStr">
        <is>
          <t>'113065</t>
        </is>
      </c>
      <c r="E4206" s="0" t="inlineStr">
        <is>
          <t>ISU ATLAS CAMO:113065C - L</t>
        </is>
      </c>
      <c r="F4206" s="0" t="inlineStr">
        <is>
          <t>'000000000000</t>
        </is>
      </c>
      <c r="G4206" s="0" t="inlineStr">
        <is>
          <t>MENS</t>
        </is>
      </c>
      <c r="H4206" s="0" t="inlineStr">
        <is>
          <t>L</t>
        </is>
      </c>
      <c r="I4206" s="0">
        <v>54.99</v>
      </c>
      <c r="J4206" s="0">
        <v>7</v>
      </c>
    </row>
    <row r="4207" spans="1:10" customHeight="0">
      <c r="A4207" s="0">
        <f>HYPERLINK("https://dl.dropboxusercontent.com/scl/fi/uhkjw26xx66etgdwunueq/113065af.jpg?rlkey=1ulr9c0tp86pi5886yjrvfzc2&amp;dl=0","Click to download Image")</f>
      </c>
      <c r="B4207" s="0">
        <f>HYPERLINK("https://dl.dropboxusercontent.com/scl/fi/q92jld1yef0fv3ifmovo9/mens-hoodie-size-chartsatlas.jpg?rlkey=cvo3r0u3qo3cb74g8xyfssxs2&amp;dl=0","Click to download SizeChart")</f>
      </c>
      <c r="C4207" s="0" t="inlineStr">
        <is>
          <t>Atlas Men's Camo Hoodie</t>
        </is>
      </c>
      <c r="D4207" s="0" t="inlineStr">
        <is>
          <t>'113065</t>
        </is>
      </c>
      <c r="E4207" s="0" t="inlineStr">
        <is>
          <t>ISU ATLAS CAMO:113065D - XL</t>
        </is>
      </c>
      <c r="F4207" s="0" t="inlineStr">
        <is>
          <t>'000000000000</t>
        </is>
      </c>
      <c r="G4207" s="0" t="inlineStr">
        <is>
          <t>MENS</t>
        </is>
      </c>
      <c r="H4207" s="0" t="inlineStr">
        <is>
          <t>XL</t>
        </is>
      </c>
      <c r="I4207" s="0">
        <v>54.99</v>
      </c>
      <c r="J4207" s="0">
        <v>8</v>
      </c>
    </row>
    <row r="4208" spans="1:10" customHeight="0">
      <c r="A4208" s="0">
        <f>HYPERLINK("https://dl.dropboxusercontent.com/scl/fi/uhkjw26xx66etgdwunueq/113065af.jpg?rlkey=1ulr9c0tp86pi5886yjrvfzc2&amp;dl=0","Click to download Image")</f>
      </c>
      <c r="B4208" s="0">
        <f>HYPERLINK("https://dl.dropboxusercontent.com/scl/fi/q92jld1yef0fv3ifmovo9/mens-hoodie-size-chartsatlas.jpg?rlkey=cvo3r0u3qo3cb74g8xyfssxs2&amp;dl=0","Click to download SizeChart")</f>
      </c>
      <c r="C4208" s="0" t="inlineStr">
        <is>
          <t>Atlas Men's Camo Hoodie</t>
        </is>
      </c>
      <c r="D4208" s="0" t="inlineStr">
        <is>
          <t>'113065</t>
        </is>
      </c>
      <c r="E4208" s="0" t="inlineStr">
        <is>
          <t>ISU ATLAS CAMO:113065E - 2XL</t>
        </is>
      </c>
      <c r="F4208" s="0" t="inlineStr">
        <is>
          <t>'000000000000</t>
        </is>
      </c>
      <c r="G4208" s="0" t="inlineStr">
        <is>
          <t>MENS</t>
        </is>
      </c>
      <c r="H4208" s="0" t="inlineStr">
        <is>
          <t>2XL</t>
        </is>
      </c>
      <c r="I4208" s="0">
        <v>56.99</v>
      </c>
      <c r="J4208" s="0">
        <v>4</v>
      </c>
    </row>
    <row r="4209" spans="1:10" customHeight="0">
      <c r="A4209" s="0">
        <f>HYPERLINK("https://dl.dropboxusercontent.com/scl/fi/uhkjw26xx66etgdwunueq/113065af.jpg?rlkey=1ulr9c0tp86pi5886yjrvfzc2&amp;dl=0","Click to download Image")</f>
      </c>
      <c r="B4209" s="0">
        <f>HYPERLINK("https://dl.dropboxusercontent.com/scl/fi/q92jld1yef0fv3ifmovo9/mens-hoodie-size-chartsatlas.jpg?rlkey=cvo3r0u3qo3cb74g8xyfssxs2&amp;dl=0","Click to download SizeChart")</f>
      </c>
      <c r="C4209" s="0" t="inlineStr">
        <is>
          <t>Atlas Men's Camo Hoodie</t>
        </is>
      </c>
      <c r="D4209" s="0" t="inlineStr">
        <is>
          <t>'113065</t>
        </is>
      </c>
      <c r="E4209" s="0" t="inlineStr">
        <is>
          <t>ISU ATLAS CAMO:113065F - 3XL</t>
        </is>
      </c>
      <c r="F4209" s="0" t="inlineStr">
        <is>
          <t>'000000000000</t>
        </is>
      </c>
      <c r="G4209" s="0" t="inlineStr">
        <is>
          <t>MENS</t>
        </is>
      </c>
      <c r="H4209" s="0" t="inlineStr">
        <is>
          <t>3XL</t>
        </is>
      </c>
      <c r="I4209" s="0">
        <v>56.99</v>
      </c>
      <c r="J4209" s="0">
        <v>2</v>
      </c>
    </row>
    <row r="4210" spans="1:10" customHeight="0">
      <c r="A4210" s="0">
        <f>HYPERLINK("https://dl.dropboxusercontent.com/scl/fi/ambhvn8innzhex5ha6nan/jacqueline-108952.jpg?rlkey=u3zqyc39me9k5p0x99osxms4x&amp;dl=0","Click to download Image")</f>
      </c>
      <c r="C4210" s="0" t="inlineStr">
        <is>
          <t>Jacqueline Puffer Coat</t>
        </is>
      </c>
      <c r="D4210" s="0" t="inlineStr">
        <is>
          <t>'130685</t>
        </is>
      </c>
      <c r="E4210" s="0" t="inlineStr">
        <is>
          <t>DRK JACQUEL W WE:130685A-S</t>
        </is>
      </c>
      <c r="F4210" s="0" t="inlineStr">
        <is>
          <t>'817130685041</t>
        </is>
      </c>
      <c r="G4210" s="0" t="inlineStr">
        <is>
          <t>WOMENS</t>
        </is>
      </c>
      <c r="H4210" s="0" t="inlineStr">
        <is>
          <t>S</t>
        </is>
      </c>
      <c r="I4210" s="0">
        <v>139.99</v>
      </c>
      <c r="J4210" s="0">
        <v>6</v>
      </c>
    </row>
    <row r="4211" spans="1:10" customHeight="0">
      <c r="A4211" s="0">
        <f>HYPERLINK("https://dl.dropboxusercontent.com/scl/fi/ambhvn8innzhex5ha6nan/jacqueline-108952.jpg?rlkey=u3zqyc39me9k5p0x99osxms4x&amp;dl=0","Click to download Image")</f>
      </c>
      <c r="C4211" s="0" t="inlineStr">
        <is>
          <t>Jacqueline Puffer Coat</t>
        </is>
      </c>
      <c r="D4211" s="0" t="inlineStr">
        <is>
          <t>'130685</t>
        </is>
      </c>
      <c r="E4211" s="0" t="inlineStr">
        <is>
          <t>DRK JACQUEL W WE:130685B-M</t>
        </is>
      </c>
      <c r="F4211" s="0" t="inlineStr">
        <is>
          <t>'817130685058</t>
        </is>
      </c>
      <c r="G4211" s="0" t="inlineStr">
        <is>
          <t>WOMENS</t>
        </is>
      </c>
      <c r="H4211" s="0" t="inlineStr">
        <is>
          <t>M</t>
        </is>
      </c>
      <c r="I4211" s="0">
        <v>139.99</v>
      </c>
      <c r="J4211" s="0">
        <v>5</v>
      </c>
    </row>
    <row r="4212" spans="1:10" customHeight="0">
      <c r="A4212" s="0">
        <f>HYPERLINK("https://dl.dropboxusercontent.com/scl/fi/ambhvn8innzhex5ha6nan/jacqueline-108952.jpg?rlkey=u3zqyc39me9k5p0x99osxms4x&amp;dl=0","Click to download Image")</f>
      </c>
      <c r="C4212" s="0" t="inlineStr">
        <is>
          <t>Jacqueline Puffer Coat</t>
        </is>
      </c>
      <c r="D4212" s="0" t="inlineStr">
        <is>
          <t>'130685</t>
        </is>
      </c>
      <c r="E4212" s="0" t="inlineStr">
        <is>
          <t>DRK JACQUEL W WE:130685C-L</t>
        </is>
      </c>
      <c r="F4212" s="0" t="inlineStr">
        <is>
          <t>'817130685065</t>
        </is>
      </c>
      <c r="G4212" s="0" t="inlineStr">
        <is>
          <t>WOMENS</t>
        </is>
      </c>
      <c r="H4212" s="0" t="inlineStr">
        <is>
          <t>L</t>
        </is>
      </c>
      <c r="I4212" s="0">
        <v>139.99</v>
      </c>
      <c r="J4212" s="0">
        <v>4</v>
      </c>
    </row>
    <row r="4213" spans="1:10" customHeight="0">
      <c r="A4213" s="0">
        <f>HYPERLINK("https://dl.dropboxusercontent.com/scl/fi/ambhvn8innzhex5ha6nan/jacqueline-108952.jpg?rlkey=u3zqyc39me9k5p0x99osxms4x&amp;dl=0","Click to download Image")</f>
      </c>
      <c r="C4213" s="0" t="inlineStr">
        <is>
          <t>Jacqueline Puffer Coat</t>
        </is>
      </c>
      <c r="D4213" s="0" t="inlineStr">
        <is>
          <t>'130685</t>
        </is>
      </c>
      <c r="E4213" s="0" t="inlineStr">
        <is>
          <t>DRK JACQUEL W WE:130685D-XL</t>
        </is>
      </c>
      <c r="F4213" s="0" t="inlineStr">
        <is>
          <t>'817130685072</t>
        </is>
      </c>
      <c r="G4213" s="0" t="inlineStr">
        <is>
          <t>WOMENS</t>
        </is>
      </c>
      <c r="H4213" s="0" t="inlineStr">
        <is>
          <t>XL</t>
        </is>
      </c>
      <c r="I4213" s="0">
        <v>139.99</v>
      </c>
      <c r="J4213" s="0">
        <v>6</v>
      </c>
    </row>
    <row r="4214" spans="1:10" customHeight="0">
      <c r="A4214" s="0">
        <f>HYPERLINK("https://dl.dropboxusercontent.com/scl/fi/ambhvn8innzhex5ha6nan/jacqueline-108952.jpg?rlkey=u3zqyc39me9k5p0x99osxms4x&amp;dl=0","Click to download Image")</f>
      </c>
      <c r="C4214" s="0" t="inlineStr">
        <is>
          <t>Jacqueline Puffer Coat</t>
        </is>
      </c>
      <c r="D4214" s="0" t="inlineStr">
        <is>
          <t>'130685</t>
        </is>
      </c>
      <c r="E4214" s="0" t="inlineStr">
        <is>
          <t>DRK JACQUEL W WE:130685E-2XL</t>
        </is>
      </c>
      <c r="F4214" s="0" t="inlineStr">
        <is>
          <t>'817130685089</t>
        </is>
      </c>
      <c r="G4214" s="0" t="inlineStr">
        <is>
          <t>WOMENS</t>
        </is>
      </c>
      <c r="H4214" s="0" t="inlineStr">
        <is>
          <t>2XL</t>
        </is>
      </c>
      <c r="I4214" s="0">
        <v>141.99</v>
      </c>
      <c r="J4214" s="0">
        <v>2</v>
      </c>
    </row>
    <row r="4215" spans="1:10" customHeight="0">
      <c r="A4215" s="0">
        <f>HYPERLINK("https://dl.dropboxusercontent.com/scl/fi/ambhvn8innzhex5ha6nan/jacqueline-108952.jpg?rlkey=u3zqyc39me9k5p0x99osxms4x&amp;dl=0","Click to download Image")</f>
      </c>
      <c r="C4215" s="0" t="inlineStr">
        <is>
          <t>Jacqueline Puffer Coat</t>
        </is>
      </c>
      <c r="D4215" s="0" t="inlineStr">
        <is>
          <t>'130685</t>
        </is>
      </c>
      <c r="E4215" s="0" t="inlineStr">
        <is>
          <t>DRK JACQUEL W WE:130685F-3XL</t>
        </is>
      </c>
      <c r="F4215" s="0" t="inlineStr">
        <is>
          <t>'817130685096</t>
        </is>
      </c>
      <c r="G4215" s="0" t="inlineStr">
        <is>
          <t>WOMENS</t>
        </is>
      </c>
      <c r="H4215" s="0" t="inlineStr">
        <is>
          <t>3XL</t>
        </is>
      </c>
      <c r="I4215" s="0">
        <v>141.99</v>
      </c>
      <c r="J4215" s="0">
        <v>1</v>
      </c>
    </row>
    <row r="4216" spans="1:10" customHeight="0">
      <c r="A4216" s="0">
        <f>HYPERLINK("https://dl.dropboxusercontent.com/scl/fi/9565nrrrkjacxs6w94sif/113321-af.jpg?rlkey=h32ylmga7gh50lwrgttxwu261&amp;dl=0","Click to download Image")</f>
      </c>
      <c r="C4216" s="0" t="inlineStr">
        <is>
          <t>Autumn Youth Cap</t>
        </is>
      </c>
      <c r="D4216" s="0" t="inlineStr">
        <is>
          <t>'113321</t>
        </is>
      </c>
      <c r="E4216" s="0" t="inlineStr">
        <is>
          <t>ISU AUTUMN YOUTH:113321</t>
        </is>
      </c>
      <c r="F4216" s="0" t="inlineStr">
        <is>
          <t>'701113321036</t>
        </is>
      </c>
      <c r="G4216" s="0" t="inlineStr">
        <is>
          <t>YOUTH</t>
        </is>
      </c>
      <c r="H4216" s="0" t="inlineStr">
        <is>
          <t>YOUTH</t>
        </is>
      </c>
      <c r="I4216" s="0">
        <v>20.99</v>
      </c>
      <c r="J4216" s="0">
        <v>24</v>
      </c>
    </row>
    <row r="4217" spans="1:10" customHeight="0">
      <c r="A4217" s="0">
        <f>HYPERLINK("https://dl.dropboxusercontent.com/scl/fi/o54xek2eyululizvnc2f8/113320-af.jpg?rlkey=isayaczwf8m19nr0y511paarc&amp;dl=0","Click to download Image")</f>
      </c>
      <c r="C4217" s="0" t="inlineStr">
        <is>
          <t>Autumn Youth Cap</t>
        </is>
      </c>
      <c r="D4217" s="0" t="inlineStr">
        <is>
          <t>'113320</t>
        </is>
      </c>
      <c r="E4217" s="0" t="inlineStr">
        <is>
          <t>IOWA AUTUMN YOUTH:113320</t>
        </is>
      </c>
      <c r="F4217" s="0" t="inlineStr">
        <is>
          <t>'700113320032</t>
        </is>
      </c>
      <c r="G4217" s="0" t="inlineStr">
        <is>
          <t>YOUTH</t>
        </is>
      </c>
      <c r="H4217" s="0" t="inlineStr">
        <is>
          <t>YOUTH</t>
        </is>
      </c>
      <c r="I4217" s="0">
        <v>20.99</v>
      </c>
      <c r="J4217" s="0">
        <v>42</v>
      </c>
    </row>
    <row r="4218" spans="1:10" customHeight="0">
      <c r="A4218" s="0">
        <f>HYPERLINK("https://dl.dropboxusercontent.com/scl/fi/bagsh9a5e1f9ohp8zkhqu/ia-af.jpg?rlkey=1w37m7h5oqmpfpalggv16qua8&amp;dl=0","Click to download Image")</f>
      </c>
      <c r="C4218" s="0" t="inlineStr">
        <is>
          <t>Laurel Womens Cap</t>
        </is>
      </c>
      <c r="D4218" s="0" t="inlineStr">
        <is>
          <t>'109815</t>
        </is>
      </c>
      <c r="E4218" s="0" t="inlineStr">
        <is>
          <t>IOWA LAUREL:109815</t>
        </is>
      </c>
      <c r="F4218" s="0" t="inlineStr">
        <is>
          <t>'700109815016</t>
        </is>
      </c>
      <c r="G4218" s="0" t="inlineStr">
        <is>
          <t>WOMENS</t>
        </is>
      </c>
      <c r="H4218" s="0" t="inlineStr">
        <is>
          <t>WOMENS</t>
        </is>
      </c>
      <c r="I4218" s="0">
        <v>19</v>
      </c>
      <c r="J4218" s="0">
        <v>68</v>
      </c>
    </row>
    <row r="4219" spans="1:10" customHeight="0">
      <c r="A4219" s="0">
        <f>HYPERLINK("https://dl.dropboxusercontent.com/scl/fi/9zehippaquyt48dvpmdaz/isu-af.jpg?rlkey=xhrtp1neiom4rp23u7rjodl61&amp;dl=0","Click to download Image")</f>
      </c>
      <c r="C4219" s="0" t="inlineStr">
        <is>
          <t>Laurel Womens Cap</t>
        </is>
      </c>
      <c r="D4219" s="0" t="inlineStr">
        <is>
          <t>'109813</t>
        </is>
      </c>
      <c r="E4219" s="0" t="inlineStr">
        <is>
          <t>ISU LAUREL:109813</t>
        </is>
      </c>
      <c r="F4219" s="0" t="inlineStr">
        <is>
          <t>'700109813012</t>
        </is>
      </c>
      <c r="G4219" s="0" t="inlineStr">
        <is>
          <t>WOMENS</t>
        </is>
      </c>
      <c r="H4219" s="0" t="inlineStr">
        <is>
          <t>WOMENS</t>
        </is>
      </c>
      <c r="I4219" s="0">
        <v>19</v>
      </c>
      <c r="J4219" s="0">
        <v>6</v>
      </c>
    </row>
    <row r="4220" spans="1:10" customHeight="0">
      <c r="A4220" s="0">
        <f>HYPERLINK("https://dl.dropboxusercontent.com/scl/fi/qsql38siu19chxzgzp1sf/uni-af.jpg?rlkey=hn9d1qs3w2atc8bop71a7xnnt&amp;dl=0","Click to download Image")</f>
      </c>
      <c r="C4220" s="0" t="inlineStr">
        <is>
          <t>Laurel Womens Cap</t>
        </is>
      </c>
      <c r="D4220" s="0" t="inlineStr">
        <is>
          <t>'109816</t>
        </is>
      </c>
      <c r="E4220" s="0" t="inlineStr">
        <is>
          <t>UNI LAUREL:109816</t>
        </is>
      </c>
      <c r="F4220" s="0" t="inlineStr">
        <is>
          <t>'700109816013</t>
        </is>
      </c>
      <c r="G4220" s="0" t="inlineStr">
        <is>
          <t>WOMENS</t>
        </is>
      </c>
      <c r="H4220" s="0" t="inlineStr">
        <is>
          <t>WOMENS</t>
        </is>
      </c>
      <c r="I4220" s="0">
        <v>19</v>
      </c>
      <c r="J4220" s="0">
        <v>37</v>
      </c>
    </row>
    <row r="4221" spans="1:10" customHeight="0">
      <c r="A4221" s="0">
        <f>HYPERLINK("https://dl.dropboxusercontent.com/scl/fi/cj0vfw608foj79ld1oxni/109780af75676.jpg?rlkey=93wcdmuiaeqqocqjkob7dl0hh&amp;dl=0","Click to download Image")</f>
      </c>
      <c r="C4221" s="0" t="inlineStr">
        <is>
          <t>Devin Womens Cap</t>
        </is>
      </c>
      <c r="D4221" s="0" t="inlineStr">
        <is>
          <t>'109780</t>
        </is>
      </c>
      <c r="E4221" s="0" t="inlineStr">
        <is>
          <t>IOWA DEVIN:109780</t>
        </is>
      </c>
      <c r="F4221" s="0" t="inlineStr">
        <is>
          <t>'700109780017</t>
        </is>
      </c>
      <c r="G4221" s="0" t="inlineStr">
        <is>
          <t>WOMENS</t>
        </is>
      </c>
      <c r="H4221" s="0" t="inlineStr">
        <is>
          <t>WOMENS</t>
        </is>
      </c>
      <c r="I4221" s="0">
        <v>22</v>
      </c>
      <c r="J4221" s="0">
        <v>37</v>
      </c>
    </row>
    <row r="4222" spans="1:10" customHeight="0">
      <c r="A4222" s="0">
        <f>HYPERLINK("https://dl.dropboxusercontent.com/scl/fi/pufz735wyn37os4gkl7m2/128410-f.jpg?rlkey=mmfbxovuit5x5obcuig5z3kc5&amp;dl=0","Click to download Image")</f>
      </c>
      <c r="C4222" s="0" t="inlineStr">
        <is>
          <t>Washable Cotton Face Masks</t>
        </is>
      </c>
      <c r="D4222" s="0" t="inlineStr">
        <is>
          <t>'128410</t>
        </is>
      </c>
      <c r="E4222" s="0" t="inlineStr">
        <is>
          <t>DRK MASK BK:128410</t>
        </is>
      </c>
      <c r="F4222" s="0" t="inlineStr">
        <is>
          <t>'717128410016</t>
        </is>
      </c>
      <c r="I4222" s="0">
        <v>14.99</v>
      </c>
      <c r="J4222" s="0">
        <v>30</v>
      </c>
    </row>
    <row r="4223" spans="1:10" customHeight="0">
      <c r="A4223" s="0">
        <f>HYPERLINK("https://dl.dropboxusercontent.com/scl/fi/sowl12mq6legeq351zc2h/128411-f.jpg?rlkey=0pg2s5ivt75mbg1fsy5lfvv3b&amp;dl=0","Click to download Image")</f>
      </c>
      <c r="C4223" s="0" t="inlineStr">
        <is>
          <t>Washable Cotton Face Masks</t>
        </is>
      </c>
      <c r="D4223" s="0" t="inlineStr">
        <is>
          <t>'128411</t>
        </is>
      </c>
      <c r="E4223" s="0" t="inlineStr">
        <is>
          <t>DRK MASK GY:128411</t>
        </is>
      </c>
      <c r="F4223" s="0" t="inlineStr">
        <is>
          <t>'717128411013</t>
        </is>
      </c>
      <c r="I4223" s="0">
        <v>14.99</v>
      </c>
      <c r="J4223" s="0">
        <v>67</v>
      </c>
    </row>
    <row r="4224" spans="1:10" customHeight="0">
      <c r="A4224" s="0">
        <f>HYPERLINK("https://dl.dropboxusercontent.com/scl/fi/l9xoe53ugnzbu2rx63ybt/128408-f.jpg?rlkey=tvufum2hgkeykblhcamnu606p&amp;dl=0","Click to download Image")</f>
      </c>
      <c r="C4224" s="0" t="inlineStr">
        <is>
          <t>Washable Cotton Face Masks</t>
        </is>
      </c>
      <c r="D4224" s="0" t="inlineStr">
        <is>
          <t>'128408</t>
        </is>
      </c>
      <c r="E4224" s="0" t="inlineStr">
        <is>
          <t>DRK MASK NY:128408</t>
        </is>
      </c>
      <c r="F4224" s="0" t="inlineStr">
        <is>
          <t>'717128408013</t>
        </is>
      </c>
      <c r="I4224" s="0">
        <v>14.99</v>
      </c>
      <c r="J4224" s="0">
        <v>73</v>
      </c>
    </row>
    <row r="4225" spans="1:10" customHeight="0">
      <c r="A4225" s="0">
        <f>HYPERLINK("https://dl.dropboxusercontent.com/scl/fi/5kux5z63ic9e0i0hgzwzh/128239-f.jpg?rlkey=thx3y9vuxf0udtcuqhlvcowpu&amp;dl=0","Click to download Image")</f>
      </c>
      <c r="C4225" s="0" t="inlineStr">
        <is>
          <t>Washable Cotton Face Masks</t>
        </is>
      </c>
      <c r="D4225" s="0" t="inlineStr">
        <is>
          <t>'128239</t>
        </is>
      </c>
      <c r="E4225" s="0" t="inlineStr">
        <is>
          <t>DRK PRINTED RL:128239</t>
        </is>
      </c>
      <c r="F4225" s="0" t="inlineStr">
        <is>
          <t>'717128239013</t>
        </is>
      </c>
      <c r="I4225" s="0">
        <v>14.99</v>
      </c>
      <c r="J4225" s="0">
        <v>494</v>
      </c>
    </row>
    <row r="4226" spans="1:10" customHeight="0">
      <c r="A4226" s="0">
        <f>HYPERLINK("https://dl.dropboxusercontent.com/scl/fi/jbx6tljw0h766yvcfi1y4/120541-af.jpg?rlkey=xmks5c2eayr2cjy923mqmh6i3&amp;dl=0","Click to download Image")</f>
      </c>
      <c r="C4226" s="0" t="inlineStr">
        <is>
          <t>Damon ANF Realtree Men's Cap</t>
        </is>
      </c>
      <c r="D4226" s="0" t="inlineStr">
        <is>
          <t>'120541</t>
        </is>
      </c>
      <c r="E4226" s="0" t="inlineStr">
        <is>
          <t>IOWA  A DAMON ANF:120541</t>
        </is>
      </c>
      <c r="F4226" s="0" t="inlineStr">
        <is>
          <t>'700120541000</t>
        </is>
      </c>
      <c r="G4226" s="0" t="inlineStr">
        <is>
          <t>MENS</t>
        </is>
      </c>
      <c r="I4226" s="0">
        <v>21.99</v>
      </c>
      <c r="J4226" s="0">
        <v>2</v>
      </c>
    </row>
    <row r="4227" spans="1:10" customHeight="0">
      <c r="A4227" s="0">
        <f>HYPERLINK("https://dl.dropboxusercontent.com/scl/fi/6kyvkew3sdw7iu0cu6lra/114877-af.jpg?rlkey=rlmns0xx0mvo6ovxrmqnmt988&amp;dl=0","Click to download Image")</f>
      </c>
      <c r="B4227" s="0">
        <f>HYPERLINK("https://dl.dropboxusercontent.com/scl/fi/lun4t2j3is3zey2glwq3d/graphic-update22022-youth.jpg?rlkey=19ivbvvl4k7lltp0w0suna36r&amp;dl=0","Click to download SizeChart")</f>
      </c>
      <c r="C4227" s="0" t="inlineStr">
        <is>
          <t>Birdie Youth Tri-Blend Button Up</t>
        </is>
      </c>
      <c r="D4227" s="0" t="inlineStr">
        <is>
          <t>'113067</t>
        </is>
      </c>
      <c r="E4227" s="0" t="inlineStr">
        <is>
          <t>ISU BIRDIE Y GOLD:113067B-YS</t>
        </is>
      </c>
      <c r="F4227" s="0" t="inlineStr">
        <is>
          <t>'801113067016</t>
        </is>
      </c>
      <c r="G4227" s="0" t="inlineStr">
        <is>
          <t>YOUTH</t>
        </is>
      </c>
      <c r="H4227" s="0" t="inlineStr">
        <is>
          <t>YS</t>
        </is>
      </c>
      <c r="I4227" s="0">
        <v>34.99</v>
      </c>
      <c r="J4227" s="0">
        <v>6</v>
      </c>
    </row>
    <row r="4228" spans="1:10" customHeight="0">
      <c r="A4228" s="0">
        <f>HYPERLINK("https://dl.dropboxusercontent.com/scl/fi/6kyvkew3sdw7iu0cu6lra/114877-af.jpg?rlkey=rlmns0xx0mvo6ovxrmqnmt988&amp;dl=0","Click to download Image")</f>
      </c>
      <c r="B4228" s="0">
        <f>HYPERLINK("https://dl.dropboxusercontent.com/scl/fi/lun4t2j3is3zey2glwq3d/graphic-update22022-youth.jpg?rlkey=19ivbvvl4k7lltp0w0suna36r&amp;dl=0","Click to download SizeChart")</f>
      </c>
      <c r="C4228" s="0" t="inlineStr">
        <is>
          <t>Birdie Youth Tri-Blend Button Up</t>
        </is>
      </c>
      <c r="D4228" s="0" t="inlineStr">
        <is>
          <t>'113067</t>
        </is>
      </c>
      <c r="E4228" s="0" t="inlineStr">
        <is>
          <t>ISU BIRDIE Y GOLD:113067C-YM</t>
        </is>
      </c>
      <c r="F4228" s="0" t="inlineStr">
        <is>
          <t>'801113067023</t>
        </is>
      </c>
      <c r="G4228" s="0" t="inlineStr">
        <is>
          <t>YOUTH</t>
        </is>
      </c>
      <c r="H4228" s="0" t="inlineStr">
        <is>
          <t>YM</t>
        </is>
      </c>
      <c r="I4228" s="0">
        <v>34.99</v>
      </c>
      <c r="J4228" s="0">
        <v>7</v>
      </c>
    </row>
    <row r="4229" spans="1:10" customHeight="0">
      <c r="A4229" s="0">
        <f>HYPERLINK("https://dl.dropboxusercontent.com/scl/fi/6kyvkew3sdw7iu0cu6lra/114877-af.jpg?rlkey=rlmns0xx0mvo6ovxrmqnmt988&amp;dl=0","Click to download Image")</f>
      </c>
      <c r="B4229" s="0">
        <f>HYPERLINK("https://dl.dropboxusercontent.com/scl/fi/lun4t2j3is3zey2glwq3d/graphic-update22022-youth.jpg?rlkey=19ivbvvl4k7lltp0w0suna36r&amp;dl=0","Click to download SizeChart")</f>
      </c>
      <c r="C4229" s="0" t="inlineStr">
        <is>
          <t>Birdie Youth Tri-Blend Button Up</t>
        </is>
      </c>
      <c r="D4229" s="0" t="inlineStr">
        <is>
          <t>'113067</t>
        </is>
      </c>
      <c r="E4229" s="0" t="inlineStr">
        <is>
          <t>ISU BIRDIE Y GOLD:113067D-YL</t>
        </is>
      </c>
      <c r="F4229" s="0" t="inlineStr">
        <is>
          <t>'801113067030</t>
        </is>
      </c>
      <c r="G4229" s="0" t="inlineStr">
        <is>
          <t>YOUTH</t>
        </is>
      </c>
      <c r="H4229" s="0" t="inlineStr">
        <is>
          <t>YL</t>
        </is>
      </c>
      <c r="I4229" s="0">
        <v>34.99</v>
      </c>
      <c r="J4229" s="0">
        <v>7</v>
      </c>
    </row>
    <row r="4230" spans="1:10" customHeight="0">
      <c r="A4230" s="0">
        <f>HYPERLINK("https://dl.dropboxusercontent.com/scl/fi/6kyvkew3sdw7iu0cu6lra/114877-af.jpg?rlkey=rlmns0xx0mvo6ovxrmqnmt988&amp;dl=0","Click to download Image")</f>
      </c>
      <c r="B4230" s="0">
        <f>HYPERLINK("https://dl.dropboxusercontent.com/scl/fi/lun4t2j3is3zey2glwq3d/graphic-update22022-youth.jpg?rlkey=19ivbvvl4k7lltp0w0suna36r&amp;dl=0","Click to download SizeChart")</f>
      </c>
      <c r="C4230" s="0" t="inlineStr">
        <is>
          <t>Birdie Youth Tri-Blend Button Up</t>
        </is>
      </c>
      <c r="D4230" s="0" t="inlineStr">
        <is>
          <t>'113067</t>
        </is>
      </c>
      <c r="E4230" s="0" t="inlineStr">
        <is>
          <t>ISU BIRDIE Y GOLD:113067E-YXL</t>
        </is>
      </c>
      <c r="F4230" s="0" t="inlineStr">
        <is>
          <t>'801113067047</t>
        </is>
      </c>
      <c r="G4230" s="0" t="inlineStr">
        <is>
          <t>YOUTH</t>
        </is>
      </c>
      <c r="H4230" s="0" t="inlineStr">
        <is>
          <t>YXL</t>
        </is>
      </c>
      <c r="I4230" s="0">
        <v>34.99</v>
      </c>
      <c r="J4230" s="0">
        <v>9</v>
      </c>
    </row>
    <row r="4231" spans="1:10" customHeight="0">
      <c r="A4231" s="0">
        <f>HYPERLINK("https://dl.dropboxusercontent.com/scl/fi/6kyvkew3sdw7iu0cu6lra/114877-af.jpg?rlkey=rlmns0xx0mvo6ovxrmqnmt988&amp;dl=0","Click to download Image")</f>
      </c>
      <c r="B4231" s="0">
        <f>HYPERLINK("https://dl.dropboxusercontent.com/scl/fi/lun4t2j3is3zey2glwq3d/graphic-update22022-youth.jpg?rlkey=19ivbvvl4k7lltp0w0suna36r&amp;dl=0","Click to download SizeChart")</f>
      </c>
      <c r="C4231" s="0" t="inlineStr">
        <is>
          <t>Birdie Youth Tri-Blend Button Up</t>
        </is>
      </c>
      <c r="D4231" s="0" t="inlineStr">
        <is>
          <t>'113067</t>
        </is>
      </c>
      <c r="E4231" s="0" t="inlineStr">
        <is>
          <t>ISU BIRDIE Y GOLD 12 PACK:113067Z-12PK</t>
        </is>
      </c>
      <c r="F4231" s="0" t="inlineStr">
        <is>
          <t>'801113067993</t>
        </is>
      </c>
      <c r="G4231" s="0" t="inlineStr">
        <is>
          <t>YOUTH</t>
        </is>
      </c>
      <c r="H4231" s="0" t="inlineStr">
        <is>
          <t>12 PACK</t>
        </is>
      </c>
      <c r="I4231" s="0">
        <v>395.88</v>
      </c>
      <c r="J4231" s="0">
        <v>0</v>
      </c>
    </row>
    <row r="4232" spans="1:10" customHeight="0">
      <c r="A4232" s="0">
        <f>HYPERLINK("https://dl.dropboxusercontent.com/scl/fi/wvw204ck5wsyez2ykova5/114876-af.jpg?rlkey=q9x3ynneic9ht84r8rzu2hokg&amp;dl=0","Click to download Image")</f>
      </c>
      <c r="B4232" s="0">
        <f>HYPERLINK("https://dl.dropboxusercontent.com/scl/fi/lun4t2j3is3zey2glwq3d/graphic-update22022-youth.jpg?rlkey=19ivbvvl4k7lltp0w0suna36r&amp;dl=0","Click to download SizeChart")</f>
      </c>
      <c r="C4232" s="0" t="inlineStr">
        <is>
          <t>Birdie Youth Tri-Blend Button Up</t>
        </is>
      </c>
      <c r="D4232" s="0" t="inlineStr">
        <is>
          <t>'113066</t>
        </is>
      </c>
      <c r="E4232" s="0" t="inlineStr">
        <is>
          <t>IOWA BIRDIE Y GOLD:113066B-YS</t>
        </is>
      </c>
      <c r="F4232" s="0" t="inlineStr">
        <is>
          <t>'800113066012</t>
        </is>
      </c>
      <c r="G4232" s="0" t="inlineStr">
        <is>
          <t>YOUTH</t>
        </is>
      </c>
      <c r="H4232" s="0" t="inlineStr">
        <is>
          <t>YS</t>
        </is>
      </c>
      <c r="I4232" s="0">
        <v>34.99</v>
      </c>
      <c r="J4232" s="0">
        <v>11</v>
      </c>
    </row>
    <row r="4233" spans="1:10" customHeight="0">
      <c r="A4233" s="0">
        <f>HYPERLINK("https://dl.dropboxusercontent.com/scl/fi/wvw204ck5wsyez2ykova5/114876-af.jpg?rlkey=q9x3ynneic9ht84r8rzu2hokg&amp;dl=0","Click to download Image")</f>
      </c>
      <c r="B4233" s="0">
        <f>HYPERLINK("https://dl.dropboxusercontent.com/scl/fi/lun4t2j3is3zey2glwq3d/graphic-update22022-youth.jpg?rlkey=19ivbvvl4k7lltp0w0suna36r&amp;dl=0","Click to download SizeChart")</f>
      </c>
      <c r="C4233" s="0" t="inlineStr">
        <is>
          <t>Birdie Youth Tri-Blend Button Up</t>
        </is>
      </c>
      <c r="D4233" s="0" t="inlineStr">
        <is>
          <t>'113066</t>
        </is>
      </c>
      <c r="E4233" s="0" t="inlineStr">
        <is>
          <t>IOWA BIRDIE Y GOLD:113066C-YM</t>
        </is>
      </c>
      <c r="F4233" s="0" t="inlineStr">
        <is>
          <t>'800113066029</t>
        </is>
      </c>
      <c r="G4233" s="0" t="inlineStr">
        <is>
          <t>YOUTH</t>
        </is>
      </c>
      <c r="H4233" s="0" t="inlineStr">
        <is>
          <t>YM</t>
        </is>
      </c>
      <c r="I4233" s="0">
        <v>34.99</v>
      </c>
      <c r="J4233" s="0">
        <v>11</v>
      </c>
    </row>
    <row r="4234" spans="1:10" customHeight="0">
      <c r="A4234" s="0">
        <f>HYPERLINK("https://dl.dropboxusercontent.com/scl/fi/wvw204ck5wsyez2ykova5/114876-af.jpg?rlkey=q9x3ynneic9ht84r8rzu2hokg&amp;dl=0","Click to download Image")</f>
      </c>
      <c r="B4234" s="0">
        <f>HYPERLINK("https://dl.dropboxusercontent.com/scl/fi/lun4t2j3is3zey2glwq3d/graphic-update22022-youth.jpg?rlkey=19ivbvvl4k7lltp0w0suna36r&amp;dl=0","Click to download SizeChart")</f>
      </c>
      <c r="C4234" s="0" t="inlineStr">
        <is>
          <t>Birdie Youth Tri-Blend Button Up</t>
        </is>
      </c>
      <c r="D4234" s="0" t="inlineStr">
        <is>
          <t>'113066</t>
        </is>
      </c>
      <c r="E4234" s="0" t="inlineStr">
        <is>
          <t>IOWA BIRDIE Y GOLD:113066D-YL</t>
        </is>
      </c>
      <c r="F4234" s="0" t="inlineStr">
        <is>
          <t>'800113066036</t>
        </is>
      </c>
      <c r="G4234" s="0" t="inlineStr">
        <is>
          <t>YOUTH</t>
        </is>
      </c>
      <c r="H4234" s="0" t="inlineStr">
        <is>
          <t>YL</t>
        </is>
      </c>
      <c r="I4234" s="0">
        <v>34.99</v>
      </c>
      <c r="J4234" s="0">
        <v>11</v>
      </c>
    </row>
    <row r="4235" spans="1:10" customHeight="0">
      <c r="A4235" s="0">
        <f>HYPERLINK("https://dl.dropboxusercontent.com/scl/fi/wvw204ck5wsyez2ykova5/114876-af.jpg?rlkey=q9x3ynneic9ht84r8rzu2hokg&amp;dl=0","Click to download Image")</f>
      </c>
      <c r="B4235" s="0">
        <f>HYPERLINK("https://dl.dropboxusercontent.com/scl/fi/lun4t2j3is3zey2glwq3d/graphic-update22022-youth.jpg?rlkey=19ivbvvl4k7lltp0w0suna36r&amp;dl=0","Click to download SizeChart")</f>
      </c>
      <c r="C4235" s="0" t="inlineStr">
        <is>
          <t>Birdie Youth Tri-Blend Button Up</t>
        </is>
      </c>
      <c r="D4235" s="0" t="inlineStr">
        <is>
          <t>'113066</t>
        </is>
      </c>
      <c r="E4235" s="0" t="inlineStr">
        <is>
          <t>IOWA BIRDIE Y GOLD:113066E-YXL</t>
        </is>
      </c>
      <c r="F4235" s="0" t="inlineStr">
        <is>
          <t>'800113066043</t>
        </is>
      </c>
      <c r="G4235" s="0" t="inlineStr">
        <is>
          <t>YOUTH</t>
        </is>
      </c>
      <c r="H4235" s="0" t="inlineStr">
        <is>
          <t>YXL</t>
        </is>
      </c>
      <c r="I4235" s="0">
        <v>34.99</v>
      </c>
      <c r="J4235" s="0">
        <v>14</v>
      </c>
    </row>
    <row r="4236" spans="1:10" customHeight="0">
      <c r="A4236" s="0">
        <f>HYPERLINK("https://dl.dropboxusercontent.com/scl/fi/wvw204ck5wsyez2ykova5/114876-af.jpg?rlkey=q9x3ynneic9ht84r8rzu2hokg&amp;dl=0","Click to download Image")</f>
      </c>
      <c r="B4236" s="0">
        <f>HYPERLINK("https://dl.dropboxusercontent.com/scl/fi/lun4t2j3is3zey2glwq3d/graphic-update22022-youth.jpg?rlkey=19ivbvvl4k7lltp0w0suna36r&amp;dl=0","Click to download SizeChart")</f>
      </c>
      <c r="C4236" s="0" t="inlineStr">
        <is>
          <t>Birdie Youth Tri-Blend Button Up</t>
        </is>
      </c>
      <c r="D4236" s="0" t="inlineStr">
        <is>
          <t>'113066</t>
        </is>
      </c>
      <c r="E4236" s="0" t="inlineStr">
        <is>
          <t>IOWA BIRDIE Y GOLD 12 PACK:113066Z-12PK</t>
        </is>
      </c>
      <c r="F4236" s="0" t="inlineStr">
        <is>
          <t>'800113066999</t>
        </is>
      </c>
      <c r="G4236" s="0" t="inlineStr">
        <is>
          <t>YOUTH</t>
        </is>
      </c>
      <c r="H4236" s="0" t="inlineStr">
        <is>
          <t>12 PACK</t>
        </is>
      </c>
      <c r="I4236" s="0">
        <v>395.88</v>
      </c>
      <c r="J4236" s="0">
        <v>0</v>
      </c>
    </row>
    <row r="4237" spans="1:10" customHeight="0">
      <c r="A4237" s="0">
        <f>HYPERLINK("https://dl.dropboxusercontent.com/scl/fi/j0ffv17k832zde4emm0d9/114656-af.jpg?rlkey=2rcxykdj02c8mtm4oixw14f0n&amp;dl=0","Click to download Image")</f>
      </c>
      <c r="B4237" s="0">
        <f>HYPERLINK("https://dl.dropboxusercontent.com/scl/fi/lun4t2j3is3zey2glwq3d/graphic-update22022-youth.jpg?rlkey=19ivbvvl4k7lltp0w0suna36r&amp;dl=0","Click to download SizeChart")</f>
      </c>
      <c r="C4237" s="0" t="inlineStr">
        <is>
          <t>Birdie Youth Tri-Blend Button Up</t>
        </is>
      </c>
      <c r="D4237" s="0" t="inlineStr">
        <is>
          <t>'114656</t>
        </is>
      </c>
      <c r="E4237" s="0" t="inlineStr">
        <is>
          <t>INDIANA BIRDIE Y CARDINAL:114656B-YS</t>
        </is>
      </c>
      <c r="F4237" s="0" t="inlineStr">
        <is>
          <t>'806114656016</t>
        </is>
      </c>
      <c r="G4237" s="0" t="inlineStr">
        <is>
          <t>YOUTH</t>
        </is>
      </c>
      <c r="H4237" s="0" t="inlineStr">
        <is>
          <t>YS</t>
        </is>
      </c>
      <c r="I4237" s="0">
        <v>34.99</v>
      </c>
      <c r="J4237" s="0">
        <v>9</v>
      </c>
    </row>
    <row r="4238" spans="1:10" customHeight="0">
      <c r="A4238" s="0">
        <f>HYPERLINK("https://dl.dropboxusercontent.com/scl/fi/j0ffv17k832zde4emm0d9/114656-af.jpg?rlkey=2rcxykdj02c8mtm4oixw14f0n&amp;dl=0","Click to download Image")</f>
      </c>
      <c r="B4238" s="0">
        <f>HYPERLINK("https://dl.dropboxusercontent.com/scl/fi/lun4t2j3is3zey2glwq3d/graphic-update22022-youth.jpg?rlkey=19ivbvvl4k7lltp0w0suna36r&amp;dl=0","Click to download SizeChart")</f>
      </c>
      <c r="C4238" s="0" t="inlineStr">
        <is>
          <t>Birdie Youth Tri-Blend Button Up</t>
        </is>
      </c>
      <c r="D4238" s="0" t="inlineStr">
        <is>
          <t>'114656</t>
        </is>
      </c>
      <c r="E4238" s="0" t="inlineStr">
        <is>
          <t>INDIANA BIRDIE Y CARDINAL:114656C-YM</t>
        </is>
      </c>
      <c r="F4238" s="0" t="inlineStr">
        <is>
          <t>'806114656023</t>
        </is>
      </c>
      <c r="G4238" s="0" t="inlineStr">
        <is>
          <t>YOUTH</t>
        </is>
      </c>
      <c r="H4238" s="0" t="inlineStr">
        <is>
          <t>YM</t>
        </is>
      </c>
      <c r="I4238" s="0">
        <v>34.99</v>
      </c>
      <c r="J4238" s="0">
        <v>9</v>
      </c>
    </row>
    <row r="4239" spans="1:10" customHeight="0">
      <c r="A4239" s="0">
        <f>HYPERLINK("https://dl.dropboxusercontent.com/scl/fi/j0ffv17k832zde4emm0d9/114656-af.jpg?rlkey=2rcxykdj02c8mtm4oixw14f0n&amp;dl=0","Click to download Image")</f>
      </c>
      <c r="B4239" s="0">
        <f>HYPERLINK("https://dl.dropboxusercontent.com/scl/fi/lun4t2j3is3zey2glwq3d/graphic-update22022-youth.jpg?rlkey=19ivbvvl4k7lltp0w0suna36r&amp;dl=0","Click to download SizeChart")</f>
      </c>
      <c r="C4239" s="0" t="inlineStr">
        <is>
          <t>Birdie Youth Tri-Blend Button Up</t>
        </is>
      </c>
      <c r="D4239" s="0" t="inlineStr">
        <is>
          <t>'114656</t>
        </is>
      </c>
      <c r="E4239" s="0" t="inlineStr">
        <is>
          <t>INDIANA BIRDIE Y CARDINAL:114656D-YL</t>
        </is>
      </c>
      <c r="F4239" s="0" t="inlineStr">
        <is>
          <t>'806114656030</t>
        </is>
      </c>
      <c r="G4239" s="0" t="inlineStr">
        <is>
          <t>YOUTH</t>
        </is>
      </c>
      <c r="H4239" s="0" t="inlineStr">
        <is>
          <t>YL</t>
        </is>
      </c>
      <c r="I4239" s="0">
        <v>34.99</v>
      </c>
      <c r="J4239" s="0">
        <v>9</v>
      </c>
    </row>
    <row r="4240" spans="1:10" customHeight="0">
      <c r="A4240" s="0">
        <f>HYPERLINK("https://dl.dropboxusercontent.com/scl/fi/j0ffv17k832zde4emm0d9/114656-af.jpg?rlkey=2rcxykdj02c8mtm4oixw14f0n&amp;dl=0","Click to download Image")</f>
      </c>
      <c r="B4240" s="0">
        <f>HYPERLINK("https://dl.dropboxusercontent.com/scl/fi/lun4t2j3is3zey2glwq3d/graphic-update22022-youth.jpg?rlkey=19ivbvvl4k7lltp0w0suna36r&amp;dl=0","Click to download SizeChart")</f>
      </c>
      <c r="C4240" s="0" t="inlineStr">
        <is>
          <t>Birdie Youth Tri-Blend Button Up</t>
        </is>
      </c>
      <c r="D4240" s="0" t="inlineStr">
        <is>
          <t>'114656</t>
        </is>
      </c>
      <c r="E4240" s="0" t="inlineStr">
        <is>
          <t>INDIANA BIRDIE Y CARDINAL:114656E-YXL</t>
        </is>
      </c>
      <c r="F4240" s="0" t="inlineStr">
        <is>
          <t>'806114656047</t>
        </is>
      </c>
      <c r="G4240" s="0" t="inlineStr">
        <is>
          <t>YOUTH</t>
        </is>
      </c>
      <c r="H4240" s="0" t="inlineStr">
        <is>
          <t>YXL</t>
        </is>
      </c>
      <c r="I4240" s="0">
        <v>34.99</v>
      </c>
      <c r="J4240" s="0">
        <v>9</v>
      </c>
    </row>
    <row r="4241" spans="1:10" customHeight="0">
      <c r="A4241" s="0">
        <f>HYPERLINK("https://dl.dropboxusercontent.com/scl/fi/j0ffv17k832zde4emm0d9/114656-af.jpg?rlkey=2rcxykdj02c8mtm4oixw14f0n&amp;dl=0","Click to download Image")</f>
      </c>
      <c r="B4241" s="0">
        <f>HYPERLINK("https://dl.dropboxusercontent.com/scl/fi/lun4t2j3is3zey2glwq3d/graphic-update22022-youth.jpg?rlkey=19ivbvvl4k7lltp0w0suna36r&amp;dl=0","Click to download SizeChart")</f>
      </c>
      <c r="C4241" s="0" t="inlineStr">
        <is>
          <t>Birdie Youth Tri-Blend Button Up</t>
        </is>
      </c>
      <c r="D4241" s="0" t="inlineStr">
        <is>
          <t>'114656</t>
        </is>
      </c>
      <c r="E4241" s="0" t="inlineStr">
        <is>
          <t>INDIANA BIRDIE Y CARDINAL 12 PACK:114656Z-12PK</t>
        </is>
      </c>
      <c r="F4241" s="0" t="inlineStr">
        <is>
          <t>'806114656993</t>
        </is>
      </c>
      <c r="G4241" s="0" t="inlineStr">
        <is>
          <t>YOUTH</t>
        </is>
      </c>
      <c r="H4241" s="0" t="inlineStr">
        <is>
          <t>12 PACK</t>
        </is>
      </c>
      <c r="I4241" s="0">
        <v>395.88</v>
      </c>
      <c r="J4241" s="0">
        <v>0</v>
      </c>
    </row>
    <row r="4242" spans="1:10" customHeight="0">
      <c r="A4242" s="0">
        <f>HYPERLINK("https://dl.dropboxusercontent.com/scl/fi/shxnucvfgcapyx6kkevwe/114655-af.jpg?rlkey=q4kpevouhdcjjzlsvvzksp2np&amp;dl=0","Click to download Image")</f>
      </c>
      <c r="B4242" s="0">
        <f>HYPERLINK("https://dl.dropboxusercontent.com/scl/fi/lun4t2j3is3zey2glwq3d/graphic-update22022-youth.jpg?rlkey=19ivbvvl4k7lltp0w0suna36r&amp;dl=0","Click to download SizeChart")</f>
      </c>
      <c r="C4242" s="0" t="inlineStr">
        <is>
          <t>Birdie Youth Tri-Blend Button Up</t>
        </is>
      </c>
      <c r="D4242" s="0" t="inlineStr">
        <is>
          <t>'114655</t>
        </is>
      </c>
      <c r="E4242" s="0" t="inlineStr">
        <is>
          <t>UNI BIRDIE Y PURPLE:114655B-YS</t>
        </is>
      </c>
      <c r="F4242" s="0" t="inlineStr">
        <is>
          <t>'802114655011</t>
        </is>
      </c>
      <c r="G4242" s="0" t="inlineStr">
        <is>
          <t>YOUTH</t>
        </is>
      </c>
      <c r="H4242" s="0" t="inlineStr">
        <is>
          <t>YS</t>
        </is>
      </c>
      <c r="I4242" s="0">
        <v>34.99</v>
      </c>
      <c r="J4242" s="0">
        <v>9</v>
      </c>
    </row>
    <row r="4243" spans="1:10" customHeight="0">
      <c r="A4243" s="0">
        <f>HYPERLINK("https://dl.dropboxusercontent.com/scl/fi/shxnucvfgcapyx6kkevwe/114655-af.jpg?rlkey=q4kpevouhdcjjzlsvvzksp2np&amp;dl=0","Click to download Image")</f>
      </c>
      <c r="B4243" s="0">
        <f>HYPERLINK("https://dl.dropboxusercontent.com/scl/fi/lun4t2j3is3zey2glwq3d/graphic-update22022-youth.jpg?rlkey=19ivbvvl4k7lltp0w0suna36r&amp;dl=0","Click to download SizeChart")</f>
      </c>
      <c r="C4243" s="0" t="inlineStr">
        <is>
          <t>Birdie Youth Tri-Blend Button Up</t>
        </is>
      </c>
      <c r="D4243" s="0" t="inlineStr">
        <is>
          <t>'114655</t>
        </is>
      </c>
      <c r="E4243" s="0" t="inlineStr">
        <is>
          <t>UNI BIRDIE Y PURPLE:114655C-YM</t>
        </is>
      </c>
      <c r="F4243" s="0" t="inlineStr">
        <is>
          <t>'802114655028</t>
        </is>
      </c>
      <c r="G4243" s="0" t="inlineStr">
        <is>
          <t>YOUTH</t>
        </is>
      </c>
      <c r="H4243" s="0" t="inlineStr">
        <is>
          <t>YM</t>
        </is>
      </c>
      <c r="I4243" s="0">
        <v>34.99</v>
      </c>
      <c r="J4243" s="0">
        <v>9</v>
      </c>
    </row>
    <row r="4244" spans="1:10" customHeight="0">
      <c r="A4244" s="0">
        <f>HYPERLINK("https://dl.dropboxusercontent.com/scl/fi/shxnucvfgcapyx6kkevwe/114655-af.jpg?rlkey=q4kpevouhdcjjzlsvvzksp2np&amp;dl=0","Click to download Image")</f>
      </c>
      <c r="B4244" s="0">
        <f>HYPERLINK("https://dl.dropboxusercontent.com/scl/fi/lun4t2j3is3zey2glwq3d/graphic-update22022-youth.jpg?rlkey=19ivbvvl4k7lltp0w0suna36r&amp;dl=0","Click to download SizeChart")</f>
      </c>
      <c r="C4244" s="0" t="inlineStr">
        <is>
          <t>Birdie Youth Tri-Blend Button Up</t>
        </is>
      </c>
      <c r="D4244" s="0" t="inlineStr">
        <is>
          <t>'114655</t>
        </is>
      </c>
      <c r="E4244" s="0" t="inlineStr">
        <is>
          <t>UNI BIRDIE Y PURPLE:114655D-YL</t>
        </is>
      </c>
      <c r="F4244" s="0" t="inlineStr">
        <is>
          <t>'802114655035</t>
        </is>
      </c>
      <c r="G4244" s="0" t="inlineStr">
        <is>
          <t>YOUTH</t>
        </is>
      </c>
      <c r="H4244" s="0" t="inlineStr">
        <is>
          <t>YL</t>
        </is>
      </c>
      <c r="I4244" s="0">
        <v>34.99</v>
      </c>
      <c r="J4244" s="0">
        <v>9</v>
      </c>
    </row>
    <row r="4245" spans="1:10" customHeight="0">
      <c r="A4245" s="0">
        <f>HYPERLINK("https://dl.dropboxusercontent.com/scl/fi/shxnucvfgcapyx6kkevwe/114655-af.jpg?rlkey=q4kpevouhdcjjzlsvvzksp2np&amp;dl=0","Click to download Image")</f>
      </c>
      <c r="B4245" s="0">
        <f>HYPERLINK("https://dl.dropboxusercontent.com/scl/fi/lun4t2j3is3zey2glwq3d/graphic-update22022-youth.jpg?rlkey=19ivbvvl4k7lltp0w0suna36r&amp;dl=0","Click to download SizeChart")</f>
      </c>
      <c r="C4245" s="0" t="inlineStr">
        <is>
          <t>Birdie Youth Tri-Blend Button Up</t>
        </is>
      </c>
      <c r="D4245" s="0" t="inlineStr">
        <is>
          <t>'114655</t>
        </is>
      </c>
      <c r="E4245" s="0" t="inlineStr">
        <is>
          <t>UNI BIRDIE Y PURPLE:114655E-YXL</t>
        </is>
      </c>
      <c r="F4245" s="0" t="inlineStr">
        <is>
          <t>'802114655042</t>
        </is>
      </c>
      <c r="G4245" s="0" t="inlineStr">
        <is>
          <t>YOUTH</t>
        </is>
      </c>
      <c r="H4245" s="0" t="inlineStr">
        <is>
          <t>YXL</t>
        </is>
      </c>
      <c r="I4245" s="0">
        <v>34.99</v>
      </c>
      <c r="J4245" s="0">
        <v>9</v>
      </c>
    </row>
    <row r="4246" spans="1:10" customHeight="0">
      <c r="A4246" s="0">
        <f>HYPERLINK("https://dl.dropboxusercontent.com/scl/fi/shxnucvfgcapyx6kkevwe/114655-af.jpg?rlkey=q4kpevouhdcjjzlsvvzksp2np&amp;dl=0","Click to download Image")</f>
      </c>
      <c r="B4246" s="0">
        <f>HYPERLINK("https://dl.dropboxusercontent.com/scl/fi/lun4t2j3is3zey2glwq3d/graphic-update22022-youth.jpg?rlkey=19ivbvvl4k7lltp0w0suna36r&amp;dl=0","Click to download SizeChart")</f>
      </c>
      <c r="C4246" s="0" t="inlineStr">
        <is>
          <t>Birdie Youth Tri-Blend Button Up</t>
        </is>
      </c>
      <c r="D4246" s="0" t="inlineStr">
        <is>
          <t>'114655</t>
        </is>
      </c>
      <c r="E4246" s="0" t="inlineStr">
        <is>
          <t>UNI BIRDIE Y PURPLE 12 PACK:114655Z-12PK</t>
        </is>
      </c>
      <c r="F4246" s="0" t="inlineStr">
        <is>
          <t>'802114655998</t>
        </is>
      </c>
      <c r="G4246" s="0" t="inlineStr">
        <is>
          <t>YOUTH</t>
        </is>
      </c>
      <c r="H4246" s="0" t="inlineStr">
        <is>
          <t>12 PACK</t>
        </is>
      </c>
      <c r="I4246" s="0">
        <v>395.88</v>
      </c>
      <c r="J4246" s="0">
        <v>0</v>
      </c>
    </row>
    <row r="4247" spans="1:10" customHeight="0">
      <c r="A4247" s="0">
        <f>HYPERLINK("https://dl.dropboxusercontent.com/scl/fi/et7e6b69a6d6ckeby9q3f/116196-af.jpg?rlkey=k2v06453qa3v29gcqlk355cik&amp;dl=0","Click to download Image")</f>
      </c>
      <c r="B4247" s="0">
        <f>HYPERLINK("https://dl.dropboxusercontent.com/scl/fi/lun4t2j3is3zey2glwq3d/graphic-update22022-youth.jpg?rlkey=19ivbvvl4k7lltp0w0suna36r&amp;dl=0","Click to download SizeChart")</f>
      </c>
      <c r="C4247" s="0" t="inlineStr">
        <is>
          <t>Birdie Youth Tri-Blend Button Up</t>
        </is>
      </c>
      <c r="D4247" s="0" t="inlineStr">
        <is>
          <t>'116196</t>
        </is>
      </c>
      <c r="E4247" s="0" t="inlineStr">
        <is>
          <t>KSU BIRDIE Y PURPLE:116196B-YS</t>
        </is>
      </c>
      <c r="F4247" s="0" t="inlineStr">
        <is>
          <t>'805116196018</t>
        </is>
      </c>
      <c r="G4247" s="0" t="inlineStr">
        <is>
          <t>YOUTH</t>
        </is>
      </c>
      <c r="H4247" s="0" t="inlineStr">
        <is>
          <t>YS</t>
        </is>
      </c>
      <c r="I4247" s="0">
        <v>34.99</v>
      </c>
      <c r="J4247" s="0">
        <v>9</v>
      </c>
    </row>
    <row r="4248" spans="1:10" customHeight="0">
      <c r="A4248" s="0">
        <f>HYPERLINK("https://dl.dropboxusercontent.com/scl/fi/et7e6b69a6d6ckeby9q3f/116196-af.jpg?rlkey=k2v06453qa3v29gcqlk355cik&amp;dl=0","Click to download Image")</f>
      </c>
      <c r="B4248" s="0">
        <f>HYPERLINK("https://dl.dropboxusercontent.com/scl/fi/lun4t2j3is3zey2glwq3d/graphic-update22022-youth.jpg?rlkey=19ivbvvl4k7lltp0w0suna36r&amp;dl=0","Click to download SizeChart")</f>
      </c>
      <c r="C4248" s="0" t="inlineStr">
        <is>
          <t>Birdie Youth Tri-Blend Button Up</t>
        </is>
      </c>
      <c r="D4248" s="0" t="inlineStr">
        <is>
          <t>'116196</t>
        </is>
      </c>
      <c r="E4248" s="0" t="inlineStr">
        <is>
          <t>KSU BIRDIE Y PURPLE:116196C-YM</t>
        </is>
      </c>
      <c r="F4248" s="0" t="inlineStr">
        <is>
          <t>'805116196025</t>
        </is>
      </c>
      <c r="G4248" s="0" t="inlineStr">
        <is>
          <t>YOUTH</t>
        </is>
      </c>
      <c r="H4248" s="0" t="inlineStr">
        <is>
          <t>YM</t>
        </is>
      </c>
      <c r="I4248" s="0">
        <v>34.99</v>
      </c>
      <c r="J4248" s="0">
        <v>9</v>
      </c>
    </row>
    <row r="4249" spans="1:10" customHeight="0">
      <c r="A4249" s="0">
        <f>HYPERLINK("https://dl.dropboxusercontent.com/scl/fi/et7e6b69a6d6ckeby9q3f/116196-af.jpg?rlkey=k2v06453qa3v29gcqlk355cik&amp;dl=0","Click to download Image")</f>
      </c>
      <c r="B4249" s="0">
        <f>HYPERLINK("https://dl.dropboxusercontent.com/scl/fi/lun4t2j3is3zey2glwq3d/graphic-update22022-youth.jpg?rlkey=19ivbvvl4k7lltp0w0suna36r&amp;dl=0","Click to download SizeChart")</f>
      </c>
      <c r="C4249" s="0" t="inlineStr">
        <is>
          <t>Birdie Youth Tri-Blend Button Up</t>
        </is>
      </c>
      <c r="D4249" s="0" t="inlineStr">
        <is>
          <t>'116196</t>
        </is>
      </c>
      <c r="E4249" s="0" t="inlineStr">
        <is>
          <t>KSU BIRDIE Y PURPLE:116196D-YL</t>
        </is>
      </c>
      <c r="F4249" s="0" t="inlineStr">
        <is>
          <t>'805116196032</t>
        </is>
      </c>
      <c r="G4249" s="0" t="inlineStr">
        <is>
          <t>YOUTH</t>
        </is>
      </c>
      <c r="H4249" s="0" t="inlineStr">
        <is>
          <t>YL</t>
        </is>
      </c>
      <c r="I4249" s="0">
        <v>34.99</v>
      </c>
      <c r="J4249" s="0">
        <v>9</v>
      </c>
    </row>
    <row r="4250" spans="1:10" customHeight="0">
      <c r="A4250" s="0">
        <f>HYPERLINK("https://dl.dropboxusercontent.com/scl/fi/et7e6b69a6d6ckeby9q3f/116196-af.jpg?rlkey=k2v06453qa3v29gcqlk355cik&amp;dl=0","Click to download Image")</f>
      </c>
      <c r="B4250" s="0">
        <f>HYPERLINK("https://dl.dropboxusercontent.com/scl/fi/lun4t2j3is3zey2glwq3d/graphic-update22022-youth.jpg?rlkey=19ivbvvl4k7lltp0w0suna36r&amp;dl=0","Click to download SizeChart")</f>
      </c>
      <c r="C4250" s="0" t="inlineStr">
        <is>
          <t>Birdie Youth Tri-Blend Button Up</t>
        </is>
      </c>
      <c r="D4250" s="0" t="inlineStr">
        <is>
          <t>'116196</t>
        </is>
      </c>
      <c r="E4250" s="0" t="inlineStr">
        <is>
          <t>KSU BIRDIE Y PURPLE:116196E-YXL</t>
        </is>
      </c>
      <c r="F4250" s="0" t="inlineStr">
        <is>
          <t>'805116196049</t>
        </is>
      </c>
      <c r="G4250" s="0" t="inlineStr">
        <is>
          <t>YOUTH</t>
        </is>
      </c>
      <c r="H4250" s="0" t="inlineStr">
        <is>
          <t>YXL</t>
        </is>
      </c>
      <c r="I4250" s="0">
        <v>34.99</v>
      </c>
      <c r="J4250" s="0">
        <v>9</v>
      </c>
    </row>
    <row r="4251" spans="1:10" customHeight="0">
      <c r="A4251" s="0">
        <f>HYPERLINK("https://dl.dropboxusercontent.com/scl/fi/et7e6b69a6d6ckeby9q3f/116196-af.jpg?rlkey=k2v06453qa3v29gcqlk355cik&amp;dl=0","Click to download Image")</f>
      </c>
      <c r="B4251" s="0">
        <f>HYPERLINK("https://dl.dropboxusercontent.com/scl/fi/lun4t2j3is3zey2glwq3d/graphic-update22022-youth.jpg?rlkey=19ivbvvl4k7lltp0w0suna36r&amp;dl=0","Click to download SizeChart")</f>
      </c>
      <c r="C4251" s="0" t="inlineStr">
        <is>
          <t>Birdie Youth Tri-Blend Button Up</t>
        </is>
      </c>
      <c r="D4251" s="0" t="inlineStr">
        <is>
          <t>'116196</t>
        </is>
      </c>
      <c r="E4251" s="0" t="inlineStr">
        <is>
          <t>KSU BIRDIE Y PURPLE 12 PACK:116196Z-12PK</t>
        </is>
      </c>
      <c r="F4251" s="0" t="inlineStr">
        <is>
          <t>'805116196995</t>
        </is>
      </c>
      <c r="G4251" s="0" t="inlineStr">
        <is>
          <t>YOUTH</t>
        </is>
      </c>
      <c r="H4251" s="0" t="inlineStr">
        <is>
          <t>12 PACK</t>
        </is>
      </c>
      <c r="I4251" s="0">
        <v>395.88</v>
      </c>
      <c r="J4251" s="0">
        <v>0</v>
      </c>
    </row>
    <row r="4252" spans="1:10" customHeight="0">
      <c r="A4252" s="0">
        <f>HYPERLINK("https://dl.dropboxusercontent.com/scl/fi/8dxwixnf4k9zbwz0eva7y/isu-af.jpg?rlkey=i5435emv3t1is47ofw5qi5z5l&amp;dl=0","Click to download Image")</f>
      </c>
      <c r="C4252" s="0" t="inlineStr">
        <is>
          <t>Napa Youth Cap</t>
        </is>
      </c>
      <c r="D4252" s="0" t="inlineStr">
        <is>
          <t>'109664</t>
        </is>
      </c>
      <c r="E4252" s="0" t="inlineStr">
        <is>
          <t>ISU NAPA:109664</t>
        </is>
      </c>
      <c r="F4252" s="0" t="inlineStr">
        <is>
          <t>'700109664010</t>
        </is>
      </c>
      <c r="G4252" s="0" t="inlineStr">
        <is>
          <t>YOUTH</t>
        </is>
      </c>
      <c r="H4252" s="0" t="inlineStr">
        <is>
          <t>YOUTH</t>
        </is>
      </c>
      <c r="I4252" s="0">
        <v>16</v>
      </c>
      <c r="J4252" s="0">
        <v>51</v>
      </c>
    </row>
    <row r="4253" spans="1:10" customHeight="0">
      <c r="A4253" s="0">
        <f>HYPERLINK("https://dl.dropboxusercontent.com/scl/fi/vrfv063cgzvixp8bm7c4f/uni-af.jpg?rlkey=wt5gydgmhcg9gm3kydmbmtw3k&amp;dl=0","Click to download Image")</f>
      </c>
      <c r="C4253" s="0" t="inlineStr">
        <is>
          <t>Napa Youth Cap</t>
        </is>
      </c>
      <c r="D4253" s="0" t="inlineStr">
        <is>
          <t>'113041</t>
        </is>
      </c>
      <c r="E4253" s="0" t="inlineStr">
        <is>
          <t>UNI NAPA:113041</t>
        </is>
      </c>
      <c r="F4253" s="0" t="inlineStr">
        <is>
          <t>'702113041030</t>
        </is>
      </c>
      <c r="G4253" s="0" t="inlineStr">
        <is>
          <t>YOUTH</t>
        </is>
      </c>
      <c r="H4253" s="0" t="inlineStr">
        <is>
          <t>YOUTH</t>
        </is>
      </c>
      <c r="I4253" s="0">
        <v>16</v>
      </c>
      <c r="J4253" s="0">
        <v>69</v>
      </c>
    </row>
    <row r="4254" spans="1:10" customHeight="0">
      <c r="A4254" s="0">
        <f>HYPERLINK("https://dl.dropboxusercontent.com/scl/fi/xc8rk11zzwaaq7lnuzf75/114655-af.jpg?rlkey=qpljfm0kfq317og2fvorrbcfl&amp;dl=0","Click to download Image")</f>
      </c>
      <c r="B4254" s="0">
        <f>HYPERLINK("https://dl.dropboxusercontent.com/scl/fi/m67acfzbzqr316pxxubz3/graphic-update22022-toddler.jpg?rlkey=j8j3gdzi8bmqti1l32pqvfpbn&amp;dl=0","Click to download SizeChart")</f>
      </c>
      <c r="C4254" s="0" t="inlineStr">
        <is>
          <t>Birdie Toddler Tri-Blend Button Up</t>
        </is>
      </c>
      <c r="D4254" s="0" t="inlineStr">
        <is>
          <t>'114866</t>
        </is>
      </c>
      <c r="E4254" s="0" t="inlineStr">
        <is>
          <t>UNI BIRDIE T PURPLE:114866A-2T</t>
        </is>
      </c>
      <c r="F4254" s="0" t="inlineStr">
        <is>
          <t>'802114866080</t>
        </is>
      </c>
      <c r="G4254" s="0" t="inlineStr">
        <is>
          <t>TODDLER</t>
        </is>
      </c>
      <c r="H4254" s="0" t="inlineStr">
        <is>
          <t>2T</t>
        </is>
      </c>
      <c r="I4254" s="0">
        <v>34.99</v>
      </c>
      <c r="J4254" s="0">
        <v>9</v>
      </c>
    </row>
    <row r="4255" spans="1:10" customHeight="0">
      <c r="A4255" s="0">
        <f>HYPERLINK("https://dl.dropboxusercontent.com/scl/fi/xc8rk11zzwaaq7lnuzf75/114655-af.jpg?rlkey=qpljfm0kfq317og2fvorrbcfl&amp;dl=0","Click to download Image")</f>
      </c>
      <c r="B4255" s="0">
        <f>HYPERLINK("https://dl.dropboxusercontent.com/scl/fi/m67acfzbzqr316pxxubz3/graphic-update22022-toddler.jpg?rlkey=j8j3gdzi8bmqti1l32pqvfpbn&amp;dl=0","Click to download SizeChart")</f>
      </c>
      <c r="C4255" s="0" t="inlineStr">
        <is>
          <t>Birdie Toddler Tri-Blend Button Up</t>
        </is>
      </c>
      <c r="D4255" s="0" t="inlineStr">
        <is>
          <t>'114866</t>
        </is>
      </c>
      <c r="E4255" s="0" t="inlineStr">
        <is>
          <t>UNI BIRDIE T PURPLE:114866B-3T</t>
        </is>
      </c>
      <c r="F4255" s="0" t="inlineStr">
        <is>
          <t>'802114866097</t>
        </is>
      </c>
      <c r="G4255" s="0" t="inlineStr">
        <is>
          <t>TODDLER</t>
        </is>
      </c>
      <c r="H4255" s="0" t="inlineStr">
        <is>
          <t>3T</t>
        </is>
      </c>
      <c r="I4255" s="0">
        <v>34.99</v>
      </c>
      <c r="J4255" s="0">
        <v>9</v>
      </c>
    </row>
    <row r="4256" spans="1:10" customHeight="0">
      <c r="A4256" s="0">
        <f>HYPERLINK("https://dl.dropboxusercontent.com/scl/fi/xc8rk11zzwaaq7lnuzf75/114655-af.jpg?rlkey=qpljfm0kfq317og2fvorrbcfl&amp;dl=0","Click to download Image")</f>
      </c>
      <c r="B4256" s="0">
        <f>HYPERLINK("https://dl.dropboxusercontent.com/scl/fi/m67acfzbzqr316pxxubz3/graphic-update22022-toddler.jpg?rlkey=j8j3gdzi8bmqti1l32pqvfpbn&amp;dl=0","Click to download SizeChart")</f>
      </c>
      <c r="C4256" s="0" t="inlineStr">
        <is>
          <t>Birdie Toddler Tri-Blend Button Up</t>
        </is>
      </c>
      <c r="D4256" s="0" t="inlineStr">
        <is>
          <t>'114866</t>
        </is>
      </c>
      <c r="E4256" s="0" t="inlineStr">
        <is>
          <t>UNI BIRDIE T PURPLE:114866C-4T</t>
        </is>
      </c>
      <c r="F4256" s="0" t="inlineStr">
        <is>
          <t>'802114866103</t>
        </is>
      </c>
      <c r="G4256" s="0" t="inlineStr">
        <is>
          <t>TODDLER</t>
        </is>
      </c>
      <c r="H4256" s="0" t="inlineStr">
        <is>
          <t>4T</t>
        </is>
      </c>
      <c r="I4256" s="0">
        <v>34.99</v>
      </c>
      <c r="J4256" s="0">
        <v>9</v>
      </c>
    </row>
    <row r="4257" spans="1:10" customHeight="0">
      <c r="A4257" s="0">
        <f>HYPERLINK("https://dl.dropboxusercontent.com/scl/fi/xc8rk11zzwaaq7lnuzf75/114655-af.jpg?rlkey=qpljfm0kfq317og2fvorrbcfl&amp;dl=0","Click to download Image")</f>
      </c>
      <c r="B4257" s="0">
        <f>HYPERLINK("https://dl.dropboxusercontent.com/scl/fi/m67acfzbzqr316pxxubz3/graphic-update22022-toddler.jpg?rlkey=j8j3gdzi8bmqti1l32pqvfpbn&amp;dl=0","Click to download SizeChart")</f>
      </c>
      <c r="C4257" s="0" t="inlineStr">
        <is>
          <t>Birdie Toddler Tri-Blend Button Up</t>
        </is>
      </c>
      <c r="D4257" s="0" t="inlineStr">
        <is>
          <t>'114866</t>
        </is>
      </c>
      <c r="E4257" s="0" t="inlineStr">
        <is>
          <t>UNI BIRDIE T PURPLE:114866D-5T</t>
        </is>
      </c>
      <c r="F4257" s="0" t="inlineStr">
        <is>
          <t>'802114866110</t>
        </is>
      </c>
      <c r="G4257" s="0" t="inlineStr">
        <is>
          <t>TODDLER</t>
        </is>
      </c>
      <c r="H4257" s="0" t="inlineStr">
        <is>
          <t>5T</t>
        </is>
      </c>
      <c r="I4257" s="0">
        <v>34.99</v>
      </c>
      <c r="J4257" s="0">
        <v>8</v>
      </c>
    </row>
    <row r="4258" spans="1:10" customHeight="0">
      <c r="A4258" s="0">
        <f>HYPERLINK("https://dl.dropboxusercontent.com/scl/fi/xc8rk11zzwaaq7lnuzf75/114655-af.jpg?rlkey=qpljfm0kfq317og2fvorrbcfl&amp;dl=0","Click to download Image")</f>
      </c>
      <c r="B4258" s="0">
        <f>HYPERLINK("https://dl.dropboxusercontent.com/scl/fi/m67acfzbzqr316pxxubz3/graphic-update22022-toddler.jpg?rlkey=j8j3gdzi8bmqti1l32pqvfpbn&amp;dl=0","Click to download SizeChart")</f>
      </c>
      <c r="C4258" s="0" t="inlineStr">
        <is>
          <t>Birdie Toddler Tri-Blend Button Up</t>
        </is>
      </c>
      <c r="D4258" s="0" t="inlineStr">
        <is>
          <t>'114866</t>
        </is>
      </c>
      <c r="E4258" s="0" t="inlineStr">
        <is>
          <t>UNI BIRDIE T PURPLE 12 PACK:114866Z-12PK</t>
        </is>
      </c>
      <c r="F4258" s="0" t="inlineStr">
        <is>
          <t>'802114866998</t>
        </is>
      </c>
      <c r="G4258" s="0" t="inlineStr">
        <is>
          <t>TODDLER</t>
        </is>
      </c>
      <c r="H4258" s="0" t="inlineStr">
        <is>
          <t>12 PACK</t>
        </is>
      </c>
      <c r="I4258" s="0">
        <v>395.88</v>
      </c>
      <c r="J4258" s="0">
        <v>0</v>
      </c>
    </row>
    <row r="4259" spans="1:10" customHeight="0">
      <c r="A4259" s="0">
        <f>HYPERLINK("https://dl.dropboxusercontent.com/scl/fi/4zb22c3gkf01hbtic13fi/114656-af.jpg?rlkey=72nsfjt2dhk5i13m7co2utr2i&amp;dl=0","Click to download Image")</f>
      </c>
      <c r="B4259" s="0">
        <f>HYPERLINK("https://dl.dropboxusercontent.com/scl/fi/m67acfzbzqr316pxxubz3/graphic-update22022-toddler.jpg?rlkey=j8j3gdzi8bmqti1l32pqvfpbn&amp;dl=0","Click to download SizeChart")</f>
      </c>
      <c r="C4259" s="0" t="inlineStr">
        <is>
          <t>Birdie Toddler Tri-Blend Button Up</t>
        </is>
      </c>
      <c r="D4259" s="0" t="inlineStr">
        <is>
          <t>'114867</t>
        </is>
      </c>
      <c r="E4259" s="0" t="inlineStr">
        <is>
          <t>INDIANA BIRDIE T CARDINAL:114867A-2T</t>
        </is>
      </c>
      <c r="F4259" s="0" t="inlineStr">
        <is>
          <t>'806114867085</t>
        </is>
      </c>
      <c r="G4259" s="0" t="inlineStr">
        <is>
          <t>TODDLER</t>
        </is>
      </c>
      <c r="H4259" s="0" t="inlineStr">
        <is>
          <t>2T</t>
        </is>
      </c>
      <c r="I4259" s="0">
        <v>34.99</v>
      </c>
      <c r="J4259" s="0">
        <v>9</v>
      </c>
    </row>
    <row r="4260" spans="1:10" customHeight="0">
      <c r="A4260" s="0">
        <f>HYPERLINK("https://dl.dropboxusercontent.com/scl/fi/4zb22c3gkf01hbtic13fi/114656-af.jpg?rlkey=72nsfjt2dhk5i13m7co2utr2i&amp;dl=0","Click to download Image")</f>
      </c>
      <c r="B4260" s="0">
        <f>HYPERLINK("https://dl.dropboxusercontent.com/scl/fi/m67acfzbzqr316pxxubz3/graphic-update22022-toddler.jpg?rlkey=j8j3gdzi8bmqti1l32pqvfpbn&amp;dl=0","Click to download SizeChart")</f>
      </c>
      <c r="C4260" s="0" t="inlineStr">
        <is>
          <t>Birdie Toddler Tri-Blend Button Up</t>
        </is>
      </c>
      <c r="D4260" s="0" t="inlineStr">
        <is>
          <t>'114867</t>
        </is>
      </c>
      <c r="E4260" s="0" t="inlineStr">
        <is>
          <t>INDIANA BIRDIE T CARDINAL:114867B-3T</t>
        </is>
      </c>
      <c r="F4260" s="0" t="inlineStr">
        <is>
          <t>'806114867092</t>
        </is>
      </c>
      <c r="G4260" s="0" t="inlineStr">
        <is>
          <t>TODDLER</t>
        </is>
      </c>
      <c r="H4260" s="0" t="inlineStr">
        <is>
          <t>3T</t>
        </is>
      </c>
      <c r="I4260" s="0">
        <v>34.99</v>
      </c>
      <c r="J4260" s="0">
        <v>9</v>
      </c>
    </row>
    <row r="4261" spans="1:10" customHeight="0">
      <c r="A4261" s="0">
        <f>HYPERLINK("https://dl.dropboxusercontent.com/scl/fi/4zb22c3gkf01hbtic13fi/114656-af.jpg?rlkey=72nsfjt2dhk5i13m7co2utr2i&amp;dl=0","Click to download Image")</f>
      </c>
      <c r="B4261" s="0">
        <f>HYPERLINK("https://dl.dropboxusercontent.com/scl/fi/m67acfzbzqr316pxxubz3/graphic-update22022-toddler.jpg?rlkey=j8j3gdzi8bmqti1l32pqvfpbn&amp;dl=0","Click to download SizeChart")</f>
      </c>
      <c r="C4261" s="0" t="inlineStr">
        <is>
          <t>Birdie Toddler Tri-Blend Button Up</t>
        </is>
      </c>
      <c r="D4261" s="0" t="inlineStr">
        <is>
          <t>'114867</t>
        </is>
      </c>
      <c r="E4261" s="0" t="inlineStr">
        <is>
          <t>INDIANA BIRDIE T CARDINAL:114867C-4T</t>
        </is>
      </c>
      <c r="F4261" s="0" t="inlineStr">
        <is>
          <t>'806114867108</t>
        </is>
      </c>
      <c r="G4261" s="0" t="inlineStr">
        <is>
          <t>TODDLER</t>
        </is>
      </c>
      <c r="H4261" s="0" t="inlineStr">
        <is>
          <t>4T</t>
        </is>
      </c>
      <c r="I4261" s="0">
        <v>34.99</v>
      </c>
      <c r="J4261" s="0">
        <v>9</v>
      </c>
    </row>
    <row r="4262" spans="1:10" customHeight="0">
      <c r="A4262" s="0">
        <f>HYPERLINK("https://dl.dropboxusercontent.com/scl/fi/4zb22c3gkf01hbtic13fi/114656-af.jpg?rlkey=72nsfjt2dhk5i13m7co2utr2i&amp;dl=0","Click to download Image")</f>
      </c>
      <c r="B4262" s="0">
        <f>HYPERLINK("https://dl.dropboxusercontent.com/scl/fi/m67acfzbzqr316pxxubz3/graphic-update22022-toddler.jpg?rlkey=j8j3gdzi8bmqti1l32pqvfpbn&amp;dl=0","Click to download SizeChart")</f>
      </c>
      <c r="C4262" s="0" t="inlineStr">
        <is>
          <t>Birdie Toddler Tri-Blend Button Up</t>
        </is>
      </c>
      <c r="D4262" s="0" t="inlineStr">
        <is>
          <t>'114867</t>
        </is>
      </c>
      <c r="E4262" s="0" t="inlineStr">
        <is>
          <t>INDIANA BIRDIE T CARDINAL:114867D-5T</t>
        </is>
      </c>
      <c r="F4262" s="0" t="inlineStr">
        <is>
          <t>'806114867115</t>
        </is>
      </c>
      <c r="G4262" s="0" t="inlineStr">
        <is>
          <t>TODDLER</t>
        </is>
      </c>
      <c r="H4262" s="0" t="inlineStr">
        <is>
          <t>5T</t>
        </is>
      </c>
      <c r="I4262" s="0">
        <v>34.99</v>
      </c>
      <c r="J4262" s="0">
        <v>9</v>
      </c>
    </row>
    <row r="4263" spans="1:10" customHeight="0">
      <c r="A4263" s="0">
        <f>HYPERLINK("https://dl.dropboxusercontent.com/scl/fi/4zb22c3gkf01hbtic13fi/114656-af.jpg?rlkey=72nsfjt2dhk5i13m7co2utr2i&amp;dl=0","Click to download Image")</f>
      </c>
      <c r="B4263" s="0">
        <f>HYPERLINK("https://dl.dropboxusercontent.com/scl/fi/m67acfzbzqr316pxxubz3/graphic-update22022-toddler.jpg?rlkey=j8j3gdzi8bmqti1l32pqvfpbn&amp;dl=0","Click to download SizeChart")</f>
      </c>
      <c r="C4263" s="0" t="inlineStr">
        <is>
          <t>Birdie Toddler Tri-Blend Button Up</t>
        </is>
      </c>
      <c r="D4263" s="0" t="inlineStr">
        <is>
          <t>'114867</t>
        </is>
      </c>
      <c r="E4263" s="0" t="inlineStr">
        <is>
          <t>INDIANA BIRDIE T CARDINAL 12 PACK:114867Z-12PK</t>
        </is>
      </c>
      <c r="F4263" s="0" t="inlineStr">
        <is>
          <t>'806114867993</t>
        </is>
      </c>
      <c r="G4263" s="0" t="inlineStr">
        <is>
          <t>TODDLER</t>
        </is>
      </c>
      <c r="H4263" s="0" t="inlineStr">
        <is>
          <t>12 PACK</t>
        </is>
      </c>
      <c r="I4263" s="0">
        <v>395.88</v>
      </c>
      <c r="J4263" s="0">
        <v>0</v>
      </c>
    </row>
    <row r="4264" spans="1:10" customHeight="0">
      <c r="A4264" s="0">
        <f>HYPERLINK("https://dl.dropboxusercontent.com/scl/fi/nyycutwheqig8hl046fja/114876-af.jpg?rlkey=i8jils568onlb0zt64u3hmap2&amp;dl=0","Click to download Image")</f>
      </c>
      <c r="B4264" s="0">
        <f>HYPERLINK("https://dl.dropboxusercontent.com/scl/fi/m67acfzbzqr316pxxubz3/graphic-update22022-toddler.jpg?rlkey=j8j3gdzi8bmqti1l32pqvfpbn&amp;dl=0","Click to download SizeChart")</f>
      </c>
      <c r="C4264" s="0" t="inlineStr">
        <is>
          <t>Birdie Toddler Tri-Blend Button Up</t>
        </is>
      </c>
      <c r="D4264" s="0" t="inlineStr">
        <is>
          <t>'114876</t>
        </is>
      </c>
      <c r="E4264" s="0" t="inlineStr">
        <is>
          <t>IOWA BIRDIE T GOLD:114876A-2T</t>
        </is>
      </c>
      <c r="F4264" s="0" t="inlineStr">
        <is>
          <t>'800114876085</t>
        </is>
      </c>
      <c r="G4264" s="0" t="inlineStr">
        <is>
          <t>TODDLER</t>
        </is>
      </c>
      <c r="H4264" s="0" t="inlineStr">
        <is>
          <t>2T</t>
        </is>
      </c>
      <c r="I4264" s="0">
        <v>34.99</v>
      </c>
      <c r="J4264" s="0">
        <v>11</v>
      </c>
    </row>
    <row r="4265" spans="1:10" customHeight="0">
      <c r="A4265" s="0">
        <f>HYPERLINK("https://dl.dropboxusercontent.com/scl/fi/nyycutwheqig8hl046fja/114876-af.jpg?rlkey=i8jils568onlb0zt64u3hmap2&amp;dl=0","Click to download Image")</f>
      </c>
      <c r="B4265" s="0">
        <f>HYPERLINK("https://dl.dropboxusercontent.com/scl/fi/m67acfzbzqr316pxxubz3/graphic-update22022-toddler.jpg?rlkey=j8j3gdzi8bmqti1l32pqvfpbn&amp;dl=0","Click to download SizeChart")</f>
      </c>
      <c r="C4265" s="0" t="inlineStr">
        <is>
          <t>Birdie Toddler Tri-Blend Button Up</t>
        </is>
      </c>
      <c r="D4265" s="0" t="inlineStr">
        <is>
          <t>'114876</t>
        </is>
      </c>
      <c r="E4265" s="0" t="inlineStr">
        <is>
          <t>IOWA BIRDIE T GOLD:114876B-3T</t>
        </is>
      </c>
      <c r="F4265" s="0" t="inlineStr">
        <is>
          <t>'800114876092</t>
        </is>
      </c>
      <c r="G4265" s="0" t="inlineStr">
        <is>
          <t>TODDLER</t>
        </is>
      </c>
      <c r="H4265" s="0" t="inlineStr">
        <is>
          <t>3T</t>
        </is>
      </c>
      <c r="I4265" s="0">
        <v>34.99</v>
      </c>
      <c r="J4265" s="0">
        <v>10</v>
      </c>
    </row>
    <row r="4266" spans="1:10" customHeight="0">
      <c r="A4266" s="0">
        <f>HYPERLINK("https://dl.dropboxusercontent.com/scl/fi/nyycutwheqig8hl046fja/114876-af.jpg?rlkey=i8jils568onlb0zt64u3hmap2&amp;dl=0","Click to download Image")</f>
      </c>
      <c r="B4266" s="0">
        <f>HYPERLINK("https://dl.dropboxusercontent.com/scl/fi/m67acfzbzqr316pxxubz3/graphic-update22022-toddler.jpg?rlkey=j8j3gdzi8bmqti1l32pqvfpbn&amp;dl=0","Click to download SizeChart")</f>
      </c>
      <c r="C4266" s="0" t="inlineStr">
        <is>
          <t>Birdie Toddler Tri-Blend Button Up</t>
        </is>
      </c>
      <c r="D4266" s="0" t="inlineStr">
        <is>
          <t>'114876</t>
        </is>
      </c>
      <c r="E4266" s="0" t="inlineStr">
        <is>
          <t>IOWA BIRDIE T GOLD:114876C-4T</t>
        </is>
      </c>
      <c r="F4266" s="0" t="inlineStr">
        <is>
          <t>'800114876108</t>
        </is>
      </c>
      <c r="G4266" s="0" t="inlineStr">
        <is>
          <t>TODDLER</t>
        </is>
      </c>
      <c r="H4266" s="0" t="inlineStr">
        <is>
          <t>4T</t>
        </is>
      </c>
      <c r="I4266" s="0">
        <v>34.99</v>
      </c>
      <c r="J4266" s="0">
        <v>11</v>
      </c>
    </row>
    <row r="4267" spans="1:10" customHeight="0">
      <c r="A4267" s="0">
        <f>HYPERLINK("https://dl.dropboxusercontent.com/scl/fi/nyycutwheqig8hl046fja/114876-af.jpg?rlkey=i8jils568onlb0zt64u3hmap2&amp;dl=0","Click to download Image")</f>
      </c>
      <c r="B4267" s="0">
        <f>HYPERLINK("https://dl.dropboxusercontent.com/scl/fi/m67acfzbzqr316pxxubz3/graphic-update22022-toddler.jpg?rlkey=j8j3gdzi8bmqti1l32pqvfpbn&amp;dl=0","Click to download SizeChart")</f>
      </c>
      <c r="C4267" s="0" t="inlineStr">
        <is>
          <t>Birdie Toddler Tri-Blend Button Up</t>
        </is>
      </c>
      <c r="D4267" s="0" t="inlineStr">
        <is>
          <t>'114876</t>
        </is>
      </c>
      <c r="E4267" s="0" t="inlineStr">
        <is>
          <t>IOWA BIRDIE T GOLD:114876D-5T</t>
        </is>
      </c>
      <c r="F4267" s="0" t="inlineStr">
        <is>
          <t>'800114876115</t>
        </is>
      </c>
      <c r="G4267" s="0" t="inlineStr">
        <is>
          <t>TODDLER</t>
        </is>
      </c>
      <c r="H4267" s="0" t="inlineStr">
        <is>
          <t>5T</t>
        </is>
      </c>
      <c r="I4267" s="0">
        <v>34.99</v>
      </c>
      <c r="J4267" s="0">
        <v>11</v>
      </c>
    </row>
    <row r="4268" spans="1:10" customHeight="0">
      <c r="A4268" s="0">
        <f>HYPERLINK("https://dl.dropboxusercontent.com/scl/fi/nyycutwheqig8hl046fja/114876-af.jpg?rlkey=i8jils568onlb0zt64u3hmap2&amp;dl=0","Click to download Image")</f>
      </c>
      <c r="B4268" s="0">
        <f>HYPERLINK("https://dl.dropboxusercontent.com/scl/fi/m67acfzbzqr316pxxubz3/graphic-update22022-toddler.jpg?rlkey=j8j3gdzi8bmqti1l32pqvfpbn&amp;dl=0","Click to download SizeChart")</f>
      </c>
      <c r="C4268" s="0" t="inlineStr">
        <is>
          <t>Birdie Toddler Tri-Blend Button Up</t>
        </is>
      </c>
      <c r="D4268" s="0" t="inlineStr">
        <is>
          <t>'114876</t>
        </is>
      </c>
      <c r="E4268" s="0" t="inlineStr">
        <is>
          <t>IOWA BIRDIE T GOLD 12 PACK:114876Z-12PK</t>
        </is>
      </c>
      <c r="F4268" s="0" t="inlineStr">
        <is>
          <t>'800114876993</t>
        </is>
      </c>
      <c r="G4268" s="0" t="inlineStr">
        <is>
          <t>TODDLER</t>
        </is>
      </c>
      <c r="H4268" s="0" t="inlineStr">
        <is>
          <t>12 PACK</t>
        </is>
      </c>
      <c r="I4268" s="0">
        <v>395.88</v>
      </c>
      <c r="J4268" s="0">
        <v>0</v>
      </c>
    </row>
    <row r="4269" spans="1:10" customHeight="0">
      <c r="A4269" s="0">
        <f>HYPERLINK("https://dl.dropboxusercontent.com/scl/fi/4u3o1okj005jgkbxtf31r/114877-af.jpg?rlkey=jli8xxjdqub85q19yc10sjxi8&amp;dl=0","Click to download Image")</f>
      </c>
      <c r="B4269" s="0">
        <f>HYPERLINK("https://dl.dropboxusercontent.com/scl/fi/m67acfzbzqr316pxxubz3/graphic-update22022-toddler.jpg?rlkey=j8j3gdzi8bmqti1l32pqvfpbn&amp;dl=0","Click to download SizeChart")</f>
      </c>
      <c r="C4269" s="0" t="inlineStr">
        <is>
          <t>Birdie Toddler Tri-Blend Button Up</t>
        </is>
      </c>
      <c r="D4269" s="0" t="inlineStr">
        <is>
          <t>'114877</t>
        </is>
      </c>
      <c r="E4269" s="0" t="inlineStr">
        <is>
          <t>ISU BIRDIE T GOLD:114877A-2T</t>
        </is>
      </c>
      <c r="F4269" s="0" t="inlineStr">
        <is>
          <t>'801114877089</t>
        </is>
      </c>
      <c r="G4269" s="0" t="inlineStr">
        <is>
          <t>TODDLER</t>
        </is>
      </c>
      <c r="H4269" s="0" t="inlineStr">
        <is>
          <t>2T</t>
        </is>
      </c>
      <c r="I4269" s="0">
        <v>34.99</v>
      </c>
      <c r="J4269" s="0">
        <v>3</v>
      </c>
    </row>
    <row r="4270" spans="1:10" customHeight="0">
      <c r="A4270" s="0">
        <f>HYPERLINK("https://dl.dropboxusercontent.com/scl/fi/4u3o1okj005jgkbxtf31r/114877-af.jpg?rlkey=jli8xxjdqub85q19yc10sjxi8&amp;dl=0","Click to download Image")</f>
      </c>
      <c r="B4270" s="0">
        <f>HYPERLINK("https://dl.dropboxusercontent.com/scl/fi/m67acfzbzqr316pxxubz3/graphic-update22022-toddler.jpg?rlkey=j8j3gdzi8bmqti1l32pqvfpbn&amp;dl=0","Click to download SizeChart")</f>
      </c>
      <c r="C4270" s="0" t="inlineStr">
        <is>
          <t>Birdie Toddler Tri-Blend Button Up</t>
        </is>
      </c>
      <c r="D4270" s="0" t="inlineStr">
        <is>
          <t>'114877</t>
        </is>
      </c>
      <c r="E4270" s="0" t="inlineStr">
        <is>
          <t>ISU BIRDIE T GOLD:114877B-3T</t>
        </is>
      </c>
      <c r="F4270" s="0" t="inlineStr">
        <is>
          <t>'801114877096</t>
        </is>
      </c>
      <c r="G4270" s="0" t="inlineStr">
        <is>
          <t>TODDLER</t>
        </is>
      </c>
      <c r="H4270" s="0" t="inlineStr">
        <is>
          <t>3T</t>
        </is>
      </c>
      <c r="I4270" s="0">
        <v>34.99</v>
      </c>
      <c r="J4270" s="0">
        <v>3</v>
      </c>
    </row>
    <row r="4271" spans="1:10" customHeight="0">
      <c r="A4271" s="0">
        <f>HYPERLINK("https://dl.dropboxusercontent.com/scl/fi/4u3o1okj005jgkbxtf31r/114877-af.jpg?rlkey=jli8xxjdqub85q19yc10sjxi8&amp;dl=0","Click to download Image")</f>
      </c>
      <c r="B4271" s="0">
        <f>HYPERLINK("https://dl.dropboxusercontent.com/scl/fi/m67acfzbzqr316pxxubz3/graphic-update22022-toddler.jpg?rlkey=j8j3gdzi8bmqti1l32pqvfpbn&amp;dl=0","Click to download SizeChart")</f>
      </c>
      <c r="C4271" s="0" t="inlineStr">
        <is>
          <t>Birdie Toddler Tri-Blend Button Up</t>
        </is>
      </c>
      <c r="D4271" s="0" t="inlineStr">
        <is>
          <t>'114877</t>
        </is>
      </c>
      <c r="E4271" s="0" t="inlineStr">
        <is>
          <t>ISU BIRDIE T GOLD:114877C-4T</t>
        </is>
      </c>
      <c r="F4271" s="0" t="inlineStr">
        <is>
          <t>'801114877102</t>
        </is>
      </c>
      <c r="G4271" s="0" t="inlineStr">
        <is>
          <t>TODDLER</t>
        </is>
      </c>
      <c r="H4271" s="0" t="inlineStr">
        <is>
          <t>4T</t>
        </is>
      </c>
      <c r="I4271" s="0">
        <v>34.99</v>
      </c>
      <c r="J4271" s="0">
        <v>3</v>
      </c>
    </row>
    <row r="4272" spans="1:10" customHeight="0">
      <c r="A4272" s="0">
        <f>HYPERLINK("https://dl.dropboxusercontent.com/scl/fi/4u3o1okj005jgkbxtf31r/114877-af.jpg?rlkey=jli8xxjdqub85q19yc10sjxi8&amp;dl=0","Click to download Image")</f>
      </c>
      <c r="B4272" s="0">
        <f>HYPERLINK("https://dl.dropboxusercontent.com/scl/fi/m67acfzbzqr316pxxubz3/graphic-update22022-toddler.jpg?rlkey=j8j3gdzi8bmqti1l32pqvfpbn&amp;dl=0","Click to download SizeChart")</f>
      </c>
      <c r="C4272" s="0" t="inlineStr">
        <is>
          <t>Birdie Toddler Tri-Blend Button Up</t>
        </is>
      </c>
      <c r="D4272" s="0" t="inlineStr">
        <is>
          <t>'114877</t>
        </is>
      </c>
      <c r="E4272" s="0" t="inlineStr">
        <is>
          <t>ISU BIRDIE T GOLD:114877D-5T</t>
        </is>
      </c>
      <c r="F4272" s="0" t="inlineStr">
        <is>
          <t>'801114877119</t>
        </is>
      </c>
      <c r="G4272" s="0" t="inlineStr">
        <is>
          <t>TODDLER</t>
        </is>
      </c>
      <c r="H4272" s="0" t="inlineStr">
        <is>
          <t>5T</t>
        </is>
      </c>
      <c r="I4272" s="0">
        <v>34.99</v>
      </c>
      <c r="J4272" s="0">
        <v>4</v>
      </c>
    </row>
    <row r="4273" spans="1:10" customHeight="0">
      <c r="A4273" s="0">
        <f>HYPERLINK("https://dl.dropboxusercontent.com/scl/fi/4u3o1okj005jgkbxtf31r/114877-af.jpg?rlkey=jli8xxjdqub85q19yc10sjxi8&amp;dl=0","Click to download Image")</f>
      </c>
      <c r="B4273" s="0">
        <f>HYPERLINK("https://dl.dropboxusercontent.com/scl/fi/m67acfzbzqr316pxxubz3/graphic-update22022-toddler.jpg?rlkey=j8j3gdzi8bmqti1l32pqvfpbn&amp;dl=0","Click to download SizeChart")</f>
      </c>
      <c r="C4273" s="0" t="inlineStr">
        <is>
          <t>Birdie Toddler Tri-Blend Button Up</t>
        </is>
      </c>
      <c r="D4273" s="0" t="inlineStr">
        <is>
          <t>'114877</t>
        </is>
      </c>
      <c r="E4273" s="0" t="inlineStr">
        <is>
          <t>ISU BIRDIE T GOLD 12 PACK:114877Z-12PK</t>
        </is>
      </c>
      <c r="F4273" s="0" t="inlineStr">
        <is>
          <t>'801114877997</t>
        </is>
      </c>
      <c r="G4273" s="0" t="inlineStr">
        <is>
          <t>TODDLER</t>
        </is>
      </c>
      <c r="H4273" s="0" t="inlineStr">
        <is>
          <t>12 PACK</t>
        </is>
      </c>
      <c r="I4273" s="0">
        <v>395.88</v>
      </c>
      <c r="J4273" s="0">
        <v>0</v>
      </c>
    </row>
    <row r="4274" spans="1:10" customHeight="0">
      <c r="A4274" s="0">
        <f>HYPERLINK("https://dl.dropboxusercontent.com/scl/fi/axy81he6vi31f6jpslboh/116196-af.jpg?rlkey=n3q32cr75v6arf0p5sr07149g&amp;dl=0","Click to download Image")</f>
      </c>
      <c r="B4274" s="0">
        <f>HYPERLINK("https://dl.dropboxusercontent.com/scl/fi/m67acfzbzqr316pxxubz3/graphic-update22022-toddler.jpg?rlkey=j8j3gdzi8bmqti1l32pqvfpbn&amp;dl=0","Click to download SizeChart")</f>
      </c>
      <c r="C4274" s="0" t="inlineStr">
        <is>
          <t>Birdie Toddler Tri-Blend Button Up</t>
        </is>
      </c>
      <c r="D4274" s="0" t="inlineStr">
        <is>
          <t>'116197</t>
        </is>
      </c>
      <c r="E4274" s="0" t="inlineStr">
        <is>
          <t>KSU BIRDIE T PURPLE:116197A-2T</t>
        </is>
      </c>
      <c r="F4274" s="0" t="inlineStr">
        <is>
          <t>'805116197084</t>
        </is>
      </c>
      <c r="G4274" s="0" t="inlineStr">
        <is>
          <t>TODDLER</t>
        </is>
      </c>
      <c r="H4274" s="0" t="inlineStr">
        <is>
          <t>2T</t>
        </is>
      </c>
      <c r="I4274" s="0">
        <v>34.99</v>
      </c>
      <c r="J4274" s="0">
        <v>9</v>
      </c>
    </row>
    <row r="4275" spans="1:10" customHeight="0">
      <c r="A4275" s="0">
        <f>HYPERLINK("https://dl.dropboxusercontent.com/scl/fi/axy81he6vi31f6jpslboh/116196-af.jpg?rlkey=n3q32cr75v6arf0p5sr07149g&amp;dl=0","Click to download Image")</f>
      </c>
      <c r="B4275" s="0">
        <f>HYPERLINK("https://dl.dropboxusercontent.com/scl/fi/m67acfzbzqr316pxxubz3/graphic-update22022-toddler.jpg?rlkey=j8j3gdzi8bmqti1l32pqvfpbn&amp;dl=0","Click to download SizeChart")</f>
      </c>
      <c r="C4275" s="0" t="inlineStr">
        <is>
          <t>Birdie Toddler Tri-Blend Button Up</t>
        </is>
      </c>
      <c r="D4275" s="0" t="inlineStr">
        <is>
          <t>'116197</t>
        </is>
      </c>
      <c r="E4275" s="0" t="inlineStr">
        <is>
          <t>KSU BIRDIE T PURPLE:116197B-3T</t>
        </is>
      </c>
      <c r="F4275" s="0" t="inlineStr">
        <is>
          <t>'805116197091</t>
        </is>
      </c>
      <c r="G4275" s="0" t="inlineStr">
        <is>
          <t>TODDLER</t>
        </is>
      </c>
      <c r="H4275" s="0" t="inlineStr">
        <is>
          <t>3T</t>
        </is>
      </c>
      <c r="I4275" s="0">
        <v>34.99</v>
      </c>
      <c r="J4275" s="0">
        <v>9</v>
      </c>
    </row>
    <row r="4276" spans="1:10" customHeight="0">
      <c r="A4276" s="0">
        <f>HYPERLINK("https://dl.dropboxusercontent.com/scl/fi/axy81he6vi31f6jpslboh/116196-af.jpg?rlkey=n3q32cr75v6arf0p5sr07149g&amp;dl=0","Click to download Image")</f>
      </c>
      <c r="B4276" s="0">
        <f>HYPERLINK("https://dl.dropboxusercontent.com/scl/fi/m67acfzbzqr316pxxubz3/graphic-update22022-toddler.jpg?rlkey=j8j3gdzi8bmqti1l32pqvfpbn&amp;dl=0","Click to download SizeChart")</f>
      </c>
      <c r="C4276" s="0" t="inlineStr">
        <is>
          <t>Birdie Toddler Tri-Blend Button Up</t>
        </is>
      </c>
      <c r="D4276" s="0" t="inlineStr">
        <is>
          <t>'116197</t>
        </is>
      </c>
      <c r="E4276" s="0" t="inlineStr">
        <is>
          <t>KSU BIRDIE T PURPLE:116197C-4T</t>
        </is>
      </c>
      <c r="F4276" s="0" t="inlineStr">
        <is>
          <t>'805116197107</t>
        </is>
      </c>
      <c r="G4276" s="0" t="inlineStr">
        <is>
          <t>TODDLER</t>
        </is>
      </c>
      <c r="H4276" s="0" t="inlineStr">
        <is>
          <t>4T</t>
        </is>
      </c>
      <c r="I4276" s="0">
        <v>34.99</v>
      </c>
      <c r="J4276" s="0">
        <v>9</v>
      </c>
    </row>
    <row r="4277" spans="1:10" customHeight="0">
      <c r="A4277" s="0">
        <f>HYPERLINK("https://dl.dropboxusercontent.com/scl/fi/axy81he6vi31f6jpslboh/116196-af.jpg?rlkey=n3q32cr75v6arf0p5sr07149g&amp;dl=0","Click to download Image")</f>
      </c>
      <c r="B4277" s="0">
        <f>HYPERLINK("https://dl.dropboxusercontent.com/scl/fi/m67acfzbzqr316pxxubz3/graphic-update22022-toddler.jpg?rlkey=j8j3gdzi8bmqti1l32pqvfpbn&amp;dl=0","Click to download SizeChart")</f>
      </c>
      <c r="C4277" s="0" t="inlineStr">
        <is>
          <t>Birdie Toddler Tri-Blend Button Up</t>
        </is>
      </c>
      <c r="D4277" s="0" t="inlineStr">
        <is>
          <t>'116197</t>
        </is>
      </c>
      <c r="E4277" s="0" t="inlineStr">
        <is>
          <t>KSU BIRDIE T PURPLE:116197D-5T</t>
        </is>
      </c>
      <c r="F4277" s="0" t="inlineStr">
        <is>
          <t>'805116197114</t>
        </is>
      </c>
      <c r="G4277" s="0" t="inlineStr">
        <is>
          <t>TODDLER</t>
        </is>
      </c>
      <c r="H4277" s="0" t="inlineStr">
        <is>
          <t>5T</t>
        </is>
      </c>
      <c r="I4277" s="0">
        <v>34.99</v>
      </c>
      <c r="J4277" s="0">
        <v>9</v>
      </c>
    </row>
    <row r="4278" spans="1:10" customHeight="0">
      <c r="A4278" s="0">
        <f>HYPERLINK("https://dl.dropboxusercontent.com/scl/fi/axy81he6vi31f6jpslboh/116196-af.jpg?rlkey=n3q32cr75v6arf0p5sr07149g&amp;dl=0","Click to download Image")</f>
      </c>
      <c r="B4278" s="0">
        <f>HYPERLINK("https://dl.dropboxusercontent.com/scl/fi/m67acfzbzqr316pxxubz3/graphic-update22022-toddler.jpg?rlkey=j8j3gdzi8bmqti1l32pqvfpbn&amp;dl=0","Click to download SizeChart")</f>
      </c>
      <c r="C4278" s="0" t="inlineStr">
        <is>
          <t>Birdie Toddler Tri-Blend Button Up</t>
        </is>
      </c>
      <c r="D4278" s="0" t="inlineStr">
        <is>
          <t>'116197</t>
        </is>
      </c>
      <c r="E4278" s="0" t="inlineStr">
        <is>
          <t>KSU BIRDIE T PURPLE 12 PACK:116197Z-12PK</t>
        </is>
      </c>
      <c r="F4278" s="0" t="inlineStr">
        <is>
          <t>'805116197992</t>
        </is>
      </c>
      <c r="G4278" s="0" t="inlineStr">
        <is>
          <t>TODDLER</t>
        </is>
      </c>
      <c r="H4278" s="0" t="inlineStr">
        <is>
          <t>12 PACK</t>
        </is>
      </c>
      <c r="I4278" s="0">
        <v>395.88</v>
      </c>
      <c r="J4278" s="0">
        <v>0</v>
      </c>
    </row>
    <row r="4279" spans="1:10" customHeight="0">
      <c r="A4279" s="0">
        <f>HYPERLINK("https://dl.dropboxusercontent.com/scl/fi/nvdnr64k6dte50ff412a6/isu-af.jpg?rlkey=hora3a3p39zs5gvamhe6at4nk&amp;dl=0","Click to download Image")</f>
      </c>
      <c r="C4279" s="0" t="inlineStr">
        <is>
          <t>West Youth Cap</t>
        </is>
      </c>
      <c r="D4279" s="0" t="inlineStr">
        <is>
          <t>'109819</t>
        </is>
      </c>
      <c r="E4279" s="0" t="inlineStr">
        <is>
          <t>ISU WEST:109819</t>
        </is>
      </c>
      <c r="F4279" s="0" t="inlineStr">
        <is>
          <t>'700109819014</t>
        </is>
      </c>
      <c r="G4279" s="0" t="inlineStr">
        <is>
          <t>YOUTH</t>
        </is>
      </c>
      <c r="H4279" s="0" t="inlineStr">
        <is>
          <t>YOUTH</t>
        </is>
      </c>
      <c r="I4279" s="0">
        <v>21.99</v>
      </c>
      <c r="J4279" s="0">
        <v>51</v>
      </c>
    </row>
    <row r="4280" spans="1:10" customHeight="0">
      <c r="A4280" s="0">
        <f>HYPERLINK("https://dl.dropboxusercontent.com/scl/fi/su0ka7fn90xzex2ki0ykk/uni-af.jpg?rlkey=wvgfy8b1mn3isprd0rmw0ykb4&amp;dl=0","Click to download Image")</f>
      </c>
      <c r="C4280" s="0" t="inlineStr">
        <is>
          <t>West Youth Cap</t>
        </is>
      </c>
      <c r="D4280" s="0" t="inlineStr">
        <is>
          <t>'109820</t>
        </is>
      </c>
      <c r="E4280" s="0" t="inlineStr">
        <is>
          <t>UNI WEST:109820</t>
        </is>
      </c>
      <c r="F4280" s="0" t="inlineStr">
        <is>
          <t>'700109820010</t>
        </is>
      </c>
      <c r="G4280" s="0" t="inlineStr">
        <is>
          <t>YOUTH</t>
        </is>
      </c>
      <c r="H4280" s="0" t="inlineStr">
        <is>
          <t>YOUTH</t>
        </is>
      </c>
      <c r="I4280" s="0">
        <v>21.99</v>
      </c>
      <c r="J4280" s="0">
        <v>46</v>
      </c>
    </row>
    <row r="4281" spans="1:10" customHeight="0">
      <c r="A4281" s="0">
        <f>HYPERLINK("https://dl.dropboxusercontent.com/scl/fi/orwmemyf0uz2xdkp3inwn/109714af75881.jpg?rlkey=kfo7whjub6nqo8jf3lzqjnvje&amp;dl=0","Click to download Image")</f>
      </c>
      <c r="C4281" s="0" t="inlineStr">
        <is>
          <t>Juliet Infant Cap</t>
        </is>
      </c>
      <c r="D4281" s="0" t="inlineStr">
        <is>
          <t>'109714</t>
        </is>
      </c>
      <c r="E4281" s="0" t="inlineStr">
        <is>
          <t>IOWA JULIET:109714</t>
        </is>
      </c>
      <c r="F4281" s="0" t="inlineStr">
        <is>
          <t>'700109714012</t>
        </is>
      </c>
      <c r="G4281" s="0" t="inlineStr">
        <is>
          <t>INFANT</t>
        </is>
      </c>
      <c r="H4281" s="0" t="inlineStr">
        <is>
          <t>INFANT</t>
        </is>
      </c>
      <c r="I4281" s="0">
        <v>20</v>
      </c>
      <c r="J4281" s="0">
        <v>31</v>
      </c>
    </row>
    <row r="4282" spans="1:10" customHeight="0">
      <c r="A4282" s="0">
        <f>HYPERLINK("https://dl.dropboxusercontent.com/scl/fi/9q4x5j64dvveha03mx6bh/delphi-f.jpg?rlkey=66f5qne05b6cvi4qaqdhazt5p&amp;dl=0","Click to download Image")</f>
      </c>
      <c r="C4282" s="0" t="inlineStr">
        <is>
          <t>Delphi Infant Romper</t>
        </is>
      </c>
      <c r="D4282" s="0" t="inlineStr">
        <is>
          <t>'114690</t>
        </is>
      </c>
      <c r="E4282" s="0" t="inlineStr">
        <is>
          <t>PURDUE DELPHI I WHITE:114690A-0-3M</t>
        </is>
      </c>
      <c r="F4282" s="0" t="inlineStr">
        <is>
          <t>'804114690009</t>
        </is>
      </c>
      <c r="G4282" s="0" t="inlineStr">
        <is>
          <t>INFANT</t>
        </is>
      </c>
      <c r="H4282" s="0" t="inlineStr">
        <is>
          <t>0-3M</t>
        </is>
      </c>
      <c r="I4282" s="0">
        <v>29.99</v>
      </c>
      <c r="J4282" s="0">
        <v>1</v>
      </c>
    </row>
    <row r="4283" spans="1:10" customHeight="0">
      <c r="A4283" s="0">
        <f>HYPERLINK("https://dl.dropboxusercontent.com/scl/fi/9q4x5j64dvveha03mx6bh/delphi-f.jpg?rlkey=66f5qne05b6cvi4qaqdhazt5p&amp;dl=0","Click to download Image")</f>
      </c>
      <c r="C4283" s="0" t="inlineStr">
        <is>
          <t>Delphi Infant Romper</t>
        </is>
      </c>
      <c r="D4283" s="0" t="inlineStr">
        <is>
          <t>'114690</t>
        </is>
      </c>
      <c r="E4283" s="0" t="inlineStr">
        <is>
          <t>PURDUE DELPHI I WHITE:114690B-3-6M</t>
        </is>
      </c>
      <c r="F4283" s="0" t="inlineStr">
        <is>
          <t>'804114690016</t>
        </is>
      </c>
      <c r="G4283" s="0" t="inlineStr">
        <is>
          <t>INFANT</t>
        </is>
      </c>
      <c r="H4283" s="0" t="inlineStr">
        <is>
          <t>3-6M</t>
        </is>
      </c>
      <c r="I4283" s="0">
        <v>29.99</v>
      </c>
      <c r="J4283" s="0">
        <v>2</v>
      </c>
    </row>
    <row r="4284" spans="1:10" customHeight="0">
      <c r="A4284" s="0">
        <f>HYPERLINK("https://dl.dropboxusercontent.com/scl/fi/9q4x5j64dvveha03mx6bh/delphi-f.jpg?rlkey=66f5qne05b6cvi4qaqdhazt5p&amp;dl=0","Click to download Image")</f>
      </c>
      <c r="C4284" s="0" t="inlineStr">
        <is>
          <t>Delphi Infant Romper</t>
        </is>
      </c>
      <c r="D4284" s="0" t="inlineStr">
        <is>
          <t>'114690</t>
        </is>
      </c>
      <c r="E4284" s="0" t="inlineStr">
        <is>
          <t>PURDUE DELPHI I WHITE:114690C-6-9M</t>
        </is>
      </c>
      <c r="F4284" s="0" t="inlineStr">
        <is>
          <t>'804114690023</t>
        </is>
      </c>
      <c r="G4284" s="0" t="inlineStr">
        <is>
          <t>INFANT</t>
        </is>
      </c>
      <c r="H4284" s="0" t="inlineStr">
        <is>
          <t>6-9M</t>
        </is>
      </c>
      <c r="I4284" s="0">
        <v>29.99</v>
      </c>
      <c r="J4284" s="0">
        <v>1</v>
      </c>
    </row>
    <row r="4285" spans="1:10" customHeight="0">
      <c r="A4285" s="0">
        <f>HYPERLINK("https://dl.dropboxusercontent.com/scl/fi/9q4x5j64dvveha03mx6bh/delphi-f.jpg?rlkey=66f5qne05b6cvi4qaqdhazt5p&amp;dl=0","Click to download Image")</f>
      </c>
      <c r="C4285" s="0" t="inlineStr">
        <is>
          <t>Delphi Infant Romper</t>
        </is>
      </c>
      <c r="D4285" s="0" t="inlineStr">
        <is>
          <t>'114690</t>
        </is>
      </c>
      <c r="E4285" s="0" t="inlineStr">
        <is>
          <t>PURDUE DELPHI I WHITE:114690F-12M</t>
        </is>
      </c>
      <c r="F4285" s="0" t="inlineStr">
        <is>
          <t>'804114690030</t>
        </is>
      </c>
      <c r="G4285" s="0" t="inlineStr">
        <is>
          <t>INFANT</t>
        </is>
      </c>
      <c r="H4285" s="0" t="inlineStr">
        <is>
          <t>12M</t>
        </is>
      </c>
      <c r="I4285" s="0">
        <v>29.99</v>
      </c>
      <c r="J4285" s="0">
        <v>2</v>
      </c>
    </row>
    <row r="4286" spans="1:10" customHeight="0">
      <c r="A4286" s="0">
        <f>HYPERLINK("https://dl.dropboxusercontent.com/scl/fi/9q4x5j64dvveha03mx6bh/delphi-f.jpg?rlkey=66f5qne05b6cvi4qaqdhazt5p&amp;dl=0","Click to download Image")</f>
      </c>
      <c r="C4286" s="0" t="inlineStr">
        <is>
          <t>Delphi Infant Romper</t>
        </is>
      </c>
      <c r="D4286" s="0" t="inlineStr">
        <is>
          <t>'114690</t>
        </is>
      </c>
      <c r="E4286" s="0" t="inlineStr">
        <is>
          <t>PURDUE DELPHI I WHITE 12 PACK:114690Z-12PK</t>
        </is>
      </c>
      <c r="F4286" s="0" t="inlineStr">
        <is>
          <t>'804114690993</t>
        </is>
      </c>
      <c r="G4286" s="0" t="inlineStr">
        <is>
          <t>INFANT</t>
        </is>
      </c>
      <c r="H4286" s="0" t="inlineStr">
        <is>
          <t>12 PACK</t>
        </is>
      </c>
      <c r="I4286" s="0">
        <v>335.88</v>
      </c>
      <c r="J4286" s="0">
        <v>0</v>
      </c>
    </row>
    <row r="4287" spans="1:10" customHeight="0">
      <c r="A4287" s="0">
        <f>HYPERLINK("https://dl.dropboxusercontent.com/scl/fi/z48intp413i0gy6u745kb/114689-f.jpg?rlkey=olihzbjlxz8ty2ddrlo3a23oj&amp;dl=0","Click to download Image")</f>
      </c>
      <c r="C4287" s="0" t="inlineStr">
        <is>
          <t>Delphi Infant Romper</t>
        </is>
      </c>
      <c r="D4287" s="0" t="inlineStr">
        <is>
          <t>'114689</t>
        </is>
      </c>
      <c r="E4287" s="0" t="inlineStr">
        <is>
          <t>UNI DELPHI I WHITE:114689A-0-3M</t>
        </is>
      </c>
      <c r="F4287" s="0" t="inlineStr">
        <is>
          <t>'802114689009</t>
        </is>
      </c>
      <c r="G4287" s="0" t="inlineStr">
        <is>
          <t>INFANT</t>
        </is>
      </c>
      <c r="H4287" s="0" t="inlineStr">
        <is>
          <t>0-3M</t>
        </is>
      </c>
      <c r="I4287" s="0">
        <v>29.99</v>
      </c>
      <c r="J4287" s="0">
        <v>9</v>
      </c>
    </row>
    <row r="4288" spans="1:10" customHeight="0">
      <c r="A4288" s="0">
        <f>HYPERLINK("https://dl.dropboxusercontent.com/scl/fi/z48intp413i0gy6u745kb/114689-f.jpg?rlkey=olihzbjlxz8ty2ddrlo3a23oj&amp;dl=0","Click to download Image")</f>
      </c>
      <c r="C4288" s="0" t="inlineStr">
        <is>
          <t>Delphi Infant Romper</t>
        </is>
      </c>
      <c r="D4288" s="0" t="inlineStr">
        <is>
          <t>'114689</t>
        </is>
      </c>
      <c r="E4288" s="0" t="inlineStr">
        <is>
          <t>UNI DELPHI I WHITE:114689B-3-6M</t>
        </is>
      </c>
      <c r="F4288" s="0" t="inlineStr">
        <is>
          <t>'802114689016</t>
        </is>
      </c>
      <c r="G4288" s="0" t="inlineStr">
        <is>
          <t>INFANT</t>
        </is>
      </c>
      <c r="H4288" s="0" t="inlineStr">
        <is>
          <t>3-6M</t>
        </is>
      </c>
      <c r="I4288" s="0">
        <v>29.99</v>
      </c>
      <c r="J4288" s="0">
        <v>9</v>
      </c>
    </row>
    <row r="4289" spans="1:10" customHeight="0">
      <c r="A4289" s="0">
        <f>HYPERLINK("https://dl.dropboxusercontent.com/scl/fi/z48intp413i0gy6u745kb/114689-f.jpg?rlkey=olihzbjlxz8ty2ddrlo3a23oj&amp;dl=0","Click to download Image")</f>
      </c>
      <c r="C4289" s="0" t="inlineStr">
        <is>
          <t>Delphi Infant Romper</t>
        </is>
      </c>
      <c r="D4289" s="0" t="inlineStr">
        <is>
          <t>'114689</t>
        </is>
      </c>
      <c r="E4289" s="0" t="inlineStr">
        <is>
          <t>UNI DELPHI I WHITE:114689C-6-9M</t>
        </is>
      </c>
      <c r="F4289" s="0" t="inlineStr">
        <is>
          <t>'802114689023</t>
        </is>
      </c>
      <c r="G4289" s="0" t="inlineStr">
        <is>
          <t>INFANT</t>
        </is>
      </c>
      <c r="H4289" s="0" t="inlineStr">
        <is>
          <t>6-9M</t>
        </is>
      </c>
      <c r="I4289" s="0">
        <v>29.99</v>
      </c>
      <c r="J4289" s="0">
        <v>9</v>
      </c>
    </row>
    <row r="4290" spans="1:10" customHeight="0">
      <c r="A4290" s="0">
        <f>HYPERLINK("https://dl.dropboxusercontent.com/scl/fi/z48intp413i0gy6u745kb/114689-f.jpg?rlkey=olihzbjlxz8ty2ddrlo3a23oj&amp;dl=0","Click to download Image")</f>
      </c>
      <c r="C4290" s="0" t="inlineStr">
        <is>
          <t>Delphi Infant Romper</t>
        </is>
      </c>
      <c r="D4290" s="0" t="inlineStr">
        <is>
          <t>'114689</t>
        </is>
      </c>
      <c r="E4290" s="0" t="inlineStr">
        <is>
          <t>UNI DELPHI I WHITE:114689F-12M</t>
        </is>
      </c>
      <c r="F4290" s="0" t="inlineStr">
        <is>
          <t>'802114689030</t>
        </is>
      </c>
      <c r="G4290" s="0" t="inlineStr">
        <is>
          <t>INFANT</t>
        </is>
      </c>
      <c r="H4290" s="0" t="inlineStr">
        <is>
          <t>12M</t>
        </is>
      </c>
      <c r="I4290" s="0">
        <v>29.99</v>
      </c>
      <c r="J4290" s="0">
        <v>7</v>
      </c>
    </row>
    <row r="4291" spans="1:10" customHeight="0">
      <c r="A4291" s="0">
        <f>HYPERLINK("https://dl.dropboxusercontent.com/scl/fi/z48intp413i0gy6u745kb/114689-f.jpg?rlkey=olihzbjlxz8ty2ddrlo3a23oj&amp;dl=0","Click to download Image")</f>
      </c>
      <c r="C4291" s="0" t="inlineStr">
        <is>
          <t>Delphi Infant Romper</t>
        </is>
      </c>
      <c r="D4291" s="0" t="inlineStr">
        <is>
          <t>'114689</t>
        </is>
      </c>
      <c r="E4291" s="0" t="inlineStr">
        <is>
          <t>UNI DELPHI I WHITE 12 PACK:114689Z-12PK</t>
        </is>
      </c>
      <c r="F4291" s="0" t="inlineStr">
        <is>
          <t>'802114689993</t>
        </is>
      </c>
      <c r="G4291" s="0" t="inlineStr">
        <is>
          <t>INFANT</t>
        </is>
      </c>
      <c r="H4291" s="0" t="inlineStr">
        <is>
          <t>12 PACK</t>
        </is>
      </c>
      <c r="I4291" s="0">
        <v>335.88</v>
      </c>
      <c r="J4291" s="0">
        <v>0</v>
      </c>
    </row>
    <row r="4292" spans="1:10" customHeight="0">
      <c r="A4292" s="0">
        <f>HYPERLINK("https://dl.dropboxusercontent.com/scl/fi/envzr3sfmeclb4elmcfoq/deliahiowadetail81728.jpg?rlkey=usokpq3hp3sogmkj7rrz9s0tk&amp;dl=0","Click to download Image")</f>
      </c>
      <c r="C4292" s="0" t="inlineStr">
        <is>
          <t>Delilah Mini Backpack</t>
        </is>
      </c>
      <c r="D4292" s="0" t="inlineStr">
        <is>
          <t>'110081</t>
        </is>
      </c>
      <c r="E4292" s="0" t="inlineStr">
        <is>
          <t>IOWA DELIAH:110081</t>
        </is>
      </c>
      <c r="F4292" s="0" t="inlineStr">
        <is>
          <t>'900110081015</t>
        </is>
      </c>
      <c r="I4292" s="0">
        <v>32</v>
      </c>
      <c r="J4292" s="0">
        <v>116</v>
      </c>
    </row>
    <row r="4293" spans="1:10" customHeight="0">
      <c r="A4293" s="0">
        <f>HYPERLINK("https://dl.dropboxusercontent.com/scl/fi/m4wi6tva2xo912bgpttec/114434-af.jpg?rlkey=yztob3boxixmg2odil9l7mxet&amp;dl=0","Click to download Image")</f>
      </c>
      <c r="B4293" s="0">
        <f>HYPERLINK("https://dl.dropboxusercontent.com/scl/fi/j5o1339v2p1tvks6wym3f/mens-pullover-size-chartsblaise.jpg?rlkey=g50eqp45rhx2qr84y2gu5wk81&amp;dl=0","Click to download SizeChart")</f>
      </c>
      <c r="C4293" s="0" t="inlineStr">
        <is>
          <t>Blaise Men's 1/4 Zip Fleece</t>
        </is>
      </c>
      <c r="D4293" s="0" t="inlineStr">
        <is>
          <t>'114434</t>
        </is>
      </c>
      <c r="E4293" s="0" t="inlineStr">
        <is>
          <t>UNI BLAISE M PURPLE:114434A-S</t>
        </is>
      </c>
      <c r="F4293" s="0" t="inlineStr">
        <is>
          <t>'802114434043</t>
        </is>
      </c>
      <c r="G4293" s="0" t="inlineStr">
        <is>
          <t>MENS</t>
        </is>
      </c>
      <c r="H4293" s="0" t="inlineStr">
        <is>
          <t>S</t>
        </is>
      </c>
      <c r="I4293" s="0">
        <v>59.99</v>
      </c>
      <c r="J4293" s="0">
        <v>1</v>
      </c>
    </row>
    <row r="4294" spans="1:10" customHeight="0">
      <c r="A4294" s="0">
        <f>HYPERLINK("https://dl.dropboxusercontent.com/scl/fi/m4wi6tva2xo912bgpttec/114434-af.jpg?rlkey=yztob3boxixmg2odil9l7mxet&amp;dl=0","Click to download Image")</f>
      </c>
      <c r="B4294" s="0">
        <f>HYPERLINK("https://dl.dropboxusercontent.com/scl/fi/j5o1339v2p1tvks6wym3f/mens-pullover-size-chartsblaise.jpg?rlkey=g50eqp45rhx2qr84y2gu5wk81&amp;dl=0","Click to download SizeChart")</f>
      </c>
      <c r="C4294" s="0" t="inlineStr">
        <is>
          <t>Blaise Men's 1/4 Zip Fleece</t>
        </is>
      </c>
      <c r="D4294" s="0" t="inlineStr">
        <is>
          <t>'114434</t>
        </is>
      </c>
      <c r="E4294" s="0" t="inlineStr">
        <is>
          <t>UNI BLAISE M PURPLE:114434B-M</t>
        </is>
      </c>
      <c r="F4294" s="0" t="inlineStr">
        <is>
          <t>'802114434050</t>
        </is>
      </c>
      <c r="G4294" s="0" t="inlineStr">
        <is>
          <t>MENS</t>
        </is>
      </c>
      <c r="H4294" s="0" t="inlineStr">
        <is>
          <t>M</t>
        </is>
      </c>
      <c r="I4294" s="0">
        <v>59.99</v>
      </c>
      <c r="J4294" s="0">
        <v>8</v>
      </c>
    </row>
    <row r="4295" spans="1:10" customHeight="0">
      <c r="A4295" s="0">
        <f>HYPERLINK("https://dl.dropboxusercontent.com/scl/fi/m4wi6tva2xo912bgpttec/114434-af.jpg?rlkey=yztob3boxixmg2odil9l7mxet&amp;dl=0","Click to download Image")</f>
      </c>
      <c r="B4295" s="0">
        <f>HYPERLINK("https://dl.dropboxusercontent.com/scl/fi/j5o1339v2p1tvks6wym3f/mens-pullover-size-chartsblaise.jpg?rlkey=g50eqp45rhx2qr84y2gu5wk81&amp;dl=0","Click to download SizeChart")</f>
      </c>
      <c r="C4295" s="0" t="inlineStr">
        <is>
          <t>Blaise Men's 1/4 Zip Fleece</t>
        </is>
      </c>
      <c r="D4295" s="0" t="inlineStr">
        <is>
          <t>'114434</t>
        </is>
      </c>
      <c r="E4295" s="0" t="inlineStr">
        <is>
          <t>UNI BLAISE M PURPLE:114434C-L</t>
        </is>
      </c>
      <c r="F4295" s="0" t="inlineStr">
        <is>
          <t>'802114434067</t>
        </is>
      </c>
      <c r="G4295" s="0" t="inlineStr">
        <is>
          <t>MENS</t>
        </is>
      </c>
      <c r="H4295" s="0" t="inlineStr">
        <is>
          <t>L</t>
        </is>
      </c>
      <c r="I4295" s="0">
        <v>59.99</v>
      </c>
      <c r="J4295" s="0">
        <v>12</v>
      </c>
    </row>
    <row r="4296" spans="1:10" customHeight="0">
      <c r="A4296" s="0">
        <f>HYPERLINK("https://dl.dropboxusercontent.com/scl/fi/m4wi6tva2xo912bgpttec/114434-af.jpg?rlkey=yztob3boxixmg2odil9l7mxet&amp;dl=0","Click to download Image")</f>
      </c>
      <c r="B4296" s="0">
        <f>HYPERLINK("https://dl.dropboxusercontent.com/scl/fi/j5o1339v2p1tvks6wym3f/mens-pullover-size-chartsblaise.jpg?rlkey=g50eqp45rhx2qr84y2gu5wk81&amp;dl=0","Click to download SizeChart")</f>
      </c>
      <c r="C4296" s="0" t="inlineStr">
        <is>
          <t>Blaise Men's 1/4 Zip Fleece</t>
        </is>
      </c>
      <c r="D4296" s="0" t="inlineStr">
        <is>
          <t>'114434</t>
        </is>
      </c>
      <c r="E4296" s="0" t="inlineStr">
        <is>
          <t>UNI BLAISE M PURPLE:114434D-XL</t>
        </is>
      </c>
      <c r="F4296" s="0" t="inlineStr">
        <is>
          <t>'802114434074</t>
        </is>
      </c>
      <c r="G4296" s="0" t="inlineStr">
        <is>
          <t>MENS</t>
        </is>
      </c>
      <c r="H4296" s="0" t="inlineStr">
        <is>
          <t>XL</t>
        </is>
      </c>
      <c r="I4296" s="0">
        <v>59.99</v>
      </c>
      <c r="J4296" s="0">
        <v>12</v>
      </c>
    </row>
    <row r="4297" spans="1:10" customHeight="0">
      <c r="A4297" s="0">
        <f>HYPERLINK("https://dl.dropboxusercontent.com/scl/fi/m4wi6tva2xo912bgpttec/114434-af.jpg?rlkey=yztob3boxixmg2odil9l7mxet&amp;dl=0","Click to download Image")</f>
      </c>
      <c r="B4297" s="0">
        <f>HYPERLINK("https://dl.dropboxusercontent.com/scl/fi/j5o1339v2p1tvks6wym3f/mens-pullover-size-chartsblaise.jpg?rlkey=g50eqp45rhx2qr84y2gu5wk81&amp;dl=0","Click to download SizeChart")</f>
      </c>
      <c r="C4297" s="0" t="inlineStr">
        <is>
          <t>Blaise Men's 1/4 Zip Fleece</t>
        </is>
      </c>
      <c r="D4297" s="0" t="inlineStr">
        <is>
          <t>'114434</t>
        </is>
      </c>
      <c r="E4297" s="0" t="inlineStr">
        <is>
          <t>UNI BLAISE M PURPLE:114434E-2XL</t>
        </is>
      </c>
      <c r="F4297" s="0" t="inlineStr">
        <is>
          <t>'802114434081</t>
        </is>
      </c>
      <c r="G4297" s="0" t="inlineStr">
        <is>
          <t>MENS</t>
        </is>
      </c>
      <c r="H4297" s="0" t="inlineStr">
        <is>
          <t>2XL</t>
        </is>
      </c>
      <c r="I4297" s="0">
        <v>61.99</v>
      </c>
      <c r="J4297" s="0">
        <v>7</v>
      </c>
    </row>
    <row r="4298" spans="1:10" customHeight="0">
      <c r="A4298" s="0">
        <f>HYPERLINK("https://dl.dropboxusercontent.com/scl/fi/m4wi6tva2xo912bgpttec/114434-af.jpg?rlkey=yztob3boxixmg2odil9l7mxet&amp;dl=0","Click to download Image")</f>
      </c>
      <c r="B4298" s="0">
        <f>HYPERLINK("https://dl.dropboxusercontent.com/scl/fi/j5o1339v2p1tvks6wym3f/mens-pullover-size-chartsblaise.jpg?rlkey=g50eqp45rhx2qr84y2gu5wk81&amp;dl=0","Click to download SizeChart")</f>
      </c>
      <c r="C4298" s="0" t="inlineStr">
        <is>
          <t>Blaise Men's 1/4 Zip Fleece</t>
        </is>
      </c>
      <c r="D4298" s="0" t="inlineStr">
        <is>
          <t>'114434</t>
        </is>
      </c>
      <c r="E4298" s="0" t="inlineStr">
        <is>
          <t>UNI BLAISE M PURPLE:114434F-3XL</t>
        </is>
      </c>
      <c r="F4298" s="0" t="inlineStr">
        <is>
          <t>'802114434098</t>
        </is>
      </c>
      <c r="G4298" s="0" t="inlineStr">
        <is>
          <t>MENS</t>
        </is>
      </c>
      <c r="H4298" s="0" t="inlineStr">
        <is>
          <t>3XL</t>
        </is>
      </c>
      <c r="I4298" s="0">
        <v>61.99</v>
      </c>
      <c r="J4298" s="0">
        <v>2</v>
      </c>
    </row>
    <row r="4299" spans="1:10" customHeight="0">
      <c r="A4299" s="0">
        <f>HYPERLINK("https://dl.dropboxusercontent.com/scl/fi/m4wi6tva2xo912bgpttec/114434-af.jpg?rlkey=yztob3boxixmg2odil9l7mxet&amp;dl=0","Click to download Image")</f>
      </c>
      <c r="B4299" s="0">
        <f>HYPERLINK("https://dl.dropboxusercontent.com/scl/fi/j5o1339v2p1tvks6wym3f/mens-pullover-size-chartsblaise.jpg?rlkey=g50eqp45rhx2qr84y2gu5wk81&amp;dl=0","Click to download SizeChart")</f>
      </c>
      <c r="C4299" s="0" t="inlineStr">
        <is>
          <t>Blaise Men's 1/4 Zip Fleece</t>
        </is>
      </c>
      <c r="D4299" s="0" t="inlineStr">
        <is>
          <t>'114434</t>
        </is>
      </c>
      <c r="E4299" s="0" t="inlineStr">
        <is>
          <t>UNI BLAISE M PURPLE 12 PACK:114434Z-12PK</t>
        </is>
      </c>
      <c r="F4299" s="0" t="inlineStr">
        <is>
          <t>'802114434999</t>
        </is>
      </c>
      <c r="G4299" s="0" t="inlineStr">
        <is>
          <t>MENS</t>
        </is>
      </c>
      <c r="H4299" s="0" t="inlineStr">
        <is>
          <t>12 PACK</t>
        </is>
      </c>
      <c r="I4299" s="0">
        <v>701.88</v>
      </c>
      <c r="J4299" s="0">
        <v>0</v>
      </c>
    </row>
    <row r="4300" spans="1:10" customHeight="0">
      <c r="A4300" s="0">
        <f>HYPERLINK("https://dl.dropboxusercontent.com/scl/fi/1slrlybpv313ihaay0ysl/116107-af.jpg?rlkey=iqhw6mdm5rf3bwjjda0jhzlj0&amp;dl=0","Click to download Image")</f>
      </c>
      <c r="B4300" s="0">
        <f>HYPERLINK("https://dl.dropboxusercontent.com/scl/fi/j5o1339v2p1tvks6wym3f/mens-pullover-size-chartsblaise.jpg?rlkey=g50eqp45rhx2qr84y2gu5wk81&amp;dl=0","Click to download SizeChart")</f>
      </c>
      <c r="C4300" s="0" t="inlineStr">
        <is>
          <t>Blaise Men's 1/4 Zip Fleece</t>
        </is>
      </c>
      <c r="D4300" s="0" t="inlineStr">
        <is>
          <t>'116107</t>
        </is>
      </c>
      <c r="E4300" s="0" t="inlineStr">
        <is>
          <t>KSU BLAISE M PURPLE:116107A-S</t>
        </is>
      </c>
      <c r="F4300" s="0" t="inlineStr">
        <is>
          <t>'805116107045</t>
        </is>
      </c>
      <c r="G4300" s="0" t="inlineStr">
        <is>
          <t>MENS</t>
        </is>
      </c>
      <c r="H4300" s="0" t="inlineStr">
        <is>
          <t>S</t>
        </is>
      </c>
      <c r="I4300" s="0">
        <v>59.99</v>
      </c>
      <c r="J4300" s="0">
        <v>4</v>
      </c>
    </row>
    <row r="4301" spans="1:10" customHeight="0">
      <c r="A4301" s="0">
        <f>HYPERLINK("https://dl.dropboxusercontent.com/scl/fi/1slrlybpv313ihaay0ysl/116107-af.jpg?rlkey=iqhw6mdm5rf3bwjjda0jhzlj0&amp;dl=0","Click to download Image")</f>
      </c>
      <c r="B4301" s="0">
        <f>HYPERLINK("https://dl.dropboxusercontent.com/scl/fi/j5o1339v2p1tvks6wym3f/mens-pullover-size-chartsblaise.jpg?rlkey=g50eqp45rhx2qr84y2gu5wk81&amp;dl=0","Click to download SizeChart")</f>
      </c>
      <c r="C4301" s="0" t="inlineStr">
        <is>
          <t>Blaise Men's 1/4 Zip Fleece</t>
        </is>
      </c>
      <c r="D4301" s="0" t="inlineStr">
        <is>
          <t>'116107</t>
        </is>
      </c>
      <c r="E4301" s="0" t="inlineStr">
        <is>
          <t>KSU BLAISE M PURPLE:116107B-M</t>
        </is>
      </c>
      <c r="F4301" s="0" t="inlineStr">
        <is>
          <t>'805116107052</t>
        </is>
      </c>
      <c r="G4301" s="0" t="inlineStr">
        <is>
          <t>MENS</t>
        </is>
      </c>
      <c r="H4301" s="0" t="inlineStr">
        <is>
          <t>M</t>
        </is>
      </c>
      <c r="I4301" s="0">
        <v>59.99</v>
      </c>
      <c r="J4301" s="0">
        <v>8</v>
      </c>
    </row>
    <row r="4302" spans="1:10" customHeight="0">
      <c r="A4302" s="0">
        <f>HYPERLINK("https://dl.dropboxusercontent.com/scl/fi/1slrlybpv313ihaay0ysl/116107-af.jpg?rlkey=iqhw6mdm5rf3bwjjda0jhzlj0&amp;dl=0","Click to download Image")</f>
      </c>
      <c r="B4302" s="0">
        <f>HYPERLINK("https://dl.dropboxusercontent.com/scl/fi/j5o1339v2p1tvks6wym3f/mens-pullover-size-chartsblaise.jpg?rlkey=g50eqp45rhx2qr84y2gu5wk81&amp;dl=0","Click to download SizeChart")</f>
      </c>
      <c r="C4302" s="0" t="inlineStr">
        <is>
          <t>Blaise Men's 1/4 Zip Fleece</t>
        </is>
      </c>
      <c r="D4302" s="0" t="inlineStr">
        <is>
          <t>'116107</t>
        </is>
      </c>
      <c r="E4302" s="0" t="inlineStr">
        <is>
          <t>KSU BLAISE M PURPLE:116107C-L</t>
        </is>
      </c>
      <c r="F4302" s="0" t="inlineStr">
        <is>
          <t>'805116107069</t>
        </is>
      </c>
      <c r="G4302" s="0" t="inlineStr">
        <is>
          <t>MENS</t>
        </is>
      </c>
      <c r="H4302" s="0" t="inlineStr">
        <is>
          <t>L</t>
        </is>
      </c>
      <c r="I4302" s="0">
        <v>59.99</v>
      </c>
      <c r="J4302" s="0">
        <v>4</v>
      </c>
    </row>
    <row r="4303" spans="1:10" customHeight="0">
      <c r="A4303" s="0">
        <f>HYPERLINK("https://dl.dropboxusercontent.com/scl/fi/1slrlybpv313ihaay0ysl/116107-af.jpg?rlkey=iqhw6mdm5rf3bwjjda0jhzlj0&amp;dl=0","Click to download Image")</f>
      </c>
      <c r="B4303" s="0">
        <f>HYPERLINK("https://dl.dropboxusercontent.com/scl/fi/j5o1339v2p1tvks6wym3f/mens-pullover-size-chartsblaise.jpg?rlkey=g50eqp45rhx2qr84y2gu5wk81&amp;dl=0","Click to download SizeChart")</f>
      </c>
      <c r="C4303" s="0" t="inlineStr">
        <is>
          <t>Blaise Men's 1/4 Zip Fleece</t>
        </is>
      </c>
      <c r="D4303" s="0" t="inlineStr">
        <is>
          <t>'116107</t>
        </is>
      </c>
      <c r="E4303" s="0" t="inlineStr">
        <is>
          <t>KSU BLAISE M PURPLE:116107D-XL</t>
        </is>
      </c>
      <c r="F4303" s="0" t="inlineStr">
        <is>
          <t>'805116107076</t>
        </is>
      </c>
      <c r="G4303" s="0" t="inlineStr">
        <is>
          <t>MENS</t>
        </is>
      </c>
      <c r="H4303" s="0" t="inlineStr">
        <is>
          <t>XL</t>
        </is>
      </c>
      <c r="I4303" s="0">
        <v>59.99</v>
      </c>
      <c r="J4303" s="0">
        <v>5</v>
      </c>
    </row>
    <row r="4304" spans="1:10" customHeight="0">
      <c r="A4304" s="0">
        <f>HYPERLINK("https://dl.dropboxusercontent.com/scl/fi/1slrlybpv313ihaay0ysl/116107-af.jpg?rlkey=iqhw6mdm5rf3bwjjda0jhzlj0&amp;dl=0","Click to download Image")</f>
      </c>
      <c r="B4304" s="0">
        <f>HYPERLINK("https://dl.dropboxusercontent.com/scl/fi/j5o1339v2p1tvks6wym3f/mens-pullover-size-chartsblaise.jpg?rlkey=g50eqp45rhx2qr84y2gu5wk81&amp;dl=0","Click to download SizeChart")</f>
      </c>
      <c r="C4304" s="0" t="inlineStr">
        <is>
          <t>Blaise Men's 1/4 Zip Fleece</t>
        </is>
      </c>
      <c r="D4304" s="0" t="inlineStr">
        <is>
          <t>'116107</t>
        </is>
      </c>
      <c r="E4304" s="0" t="inlineStr">
        <is>
          <t>KSU BLAISE M PURPLE:116107E-2XL</t>
        </is>
      </c>
      <c r="F4304" s="0" t="inlineStr">
        <is>
          <t>'805116107083</t>
        </is>
      </c>
      <c r="G4304" s="0" t="inlineStr">
        <is>
          <t>MENS</t>
        </is>
      </c>
      <c r="H4304" s="0" t="inlineStr">
        <is>
          <t>2XL</t>
        </is>
      </c>
      <c r="I4304" s="0">
        <v>61.99</v>
      </c>
      <c r="J4304" s="0">
        <v>5</v>
      </c>
    </row>
    <row r="4305" spans="1:10" customHeight="0">
      <c r="A4305" s="0">
        <f>HYPERLINK("https://dl.dropboxusercontent.com/scl/fi/1slrlybpv313ihaay0ysl/116107-af.jpg?rlkey=iqhw6mdm5rf3bwjjda0jhzlj0&amp;dl=0","Click to download Image")</f>
      </c>
      <c r="B4305" s="0">
        <f>HYPERLINK("https://dl.dropboxusercontent.com/scl/fi/j5o1339v2p1tvks6wym3f/mens-pullover-size-chartsblaise.jpg?rlkey=g50eqp45rhx2qr84y2gu5wk81&amp;dl=0","Click to download SizeChart")</f>
      </c>
      <c r="C4305" s="0" t="inlineStr">
        <is>
          <t>Blaise Men's 1/4 Zip Fleece</t>
        </is>
      </c>
      <c r="D4305" s="0" t="inlineStr">
        <is>
          <t>'116107</t>
        </is>
      </c>
      <c r="E4305" s="0" t="inlineStr">
        <is>
          <t>KSU BLAISE M PURPLE:116107F-3XL</t>
        </is>
      </c>
      <c r="F4305" s="0" t="inlineStr">
        <is>
          <t>'805116107090</t>
        </is>
      </c>
      <c r="G4305" s="0" t="inlineStr">
        <is>
          <t>MENS</t>
        </is>
      </c>
      <c r="H4305" s="0" t="inlineStr">
        <is>
          <t>3XL</t>
        </is>
      </c>
      <c r="I4305" s="0">
        <v>61.99</v>
      </c>
      <c r="J4305" s="0">
        <v>4</v>
      </c>
    </row>
    <row r="4306" spans="1:10" customHeight="0">
      <c r="A4306" s="0">
        <f>HYPERLINK("https://dl.dropboxusercontent.com/scl/fi/1slrlybpv313ihaay0ysl/116107-af.jpg?rlkey=iqhw6mdm5rf3bwjjda0jhzlj0&amp;dl=0","Click to download Image")</f>
      </c>
      <c r="B4306" s="0">
        <f>HYPERLINK("https://dl.dropboxusercontent.com/scl/fi/j5o1339v2p1tvks6wym3f/mens-pullover-size-chartsblaise.jpg?rlkey=g50eqp45rhx2qr84y2gu5wk81&amp;dl=0","Click to download SizeChart")</f>
      </c>
      <c r="C4306" s="0" t="inlineStr">
        <is>
          <t>Blaise Men's 1/4 Zip Fleece</t>
        </is>
      </c>
      <c r="D4306" s="0" t="inlineStr">
        <is>
          <t>'116107</t>
        </is>
      </c>
      <c r="E4306" s="0" t="inlineStr">
        <is>
          <t>KSU BLAISE M PURPLE 12 PACK:116107Z-12PK</t>
        </is>
      </c>
      <c r="F4306" s="0" t="inlineStr">
        <is>
          <t>'805116107991</t>
        </is>
      </c>
      <c r="G4306" s="0" t="inlineStr">
        <is>
          <t>MENS</t>
        </is>
      </c>
      <c r="H4306" s="0" t="inlineStr">
        <is>
          <t>12 PACK</t>
        </is>
      </c>
      <c r="I4306" s="0">
        <v>701.88</v>
      </c>
      <c r="J4306" s="0">
        <v>0</v>
      </c>
    </row>
    <row r="4307" spans="1:10" customHeight="0">
      <c r="A4307" s="0">
        <f>HYPERLINK("https://dl.dropboxusercontent.com/scl/fi/youp4ri27c29cixgwgjko/113475af.jpg?rlkey=kzp6mmbtjupsdmdahc83bubqv&amp;dl=0","Click to download Image")</f>
      </c>
      <c r="C4307" s="0" t="inlineStr">
        <is>
          <t>Sabra Women's Cap</t>
        </is>
      </c>
      <c r="D4307" s="0" t="inlineStr">
        <is>
          <t>'113475</t>
        </is>
      </c>
      <c r="E4307" s="0" t="inlineStr">
        <is>
          <t>ISU SABRA A CARDINAL:</t>
        </is>
      </c>
      <c r="F4307" s="0" t="inlineStr">
        <is>
          <t>'701113475012</t>
        </is>
      </c>
      <c r="G4307" s="0" t="inlineStr">
        <is>
          <t>WOMENS</t>
        </is>
      </c>
      <c r="H4307" s="0" t="inlineStr">
        <is>
          <t>WOMENS</t>
        </is>
      </c>
      <c r="I4307" s="0">
        <v>19.99</v>
      </c>
      <c r="J4307" s="0">
        <v>31</v>
      </c>
    </row>
    <row r="4308" spans="1:10" customHeight="0">
      <c r="A4308" s="0">
        <f>HYPERLINK("https://dl.dropboxusercontent.com/scl/fi/4udhp9cwc7z3tp91wn1lk/113517-af.jpg?rlkey=xsxakfq59ixmssn05ji2dkmt6&amp;dl=0","Click to download Image")</f>
      </c>
      <c r="C4308" s="0" t="inlineStr">
        <is>
          <t>Gareth Youth Cap</t>
        </is>
      </c>
      <c r="D4308" s="0" t="inlineStr">
        <is>
          <t>'113517</t>
        </is>
      </c>
      <c r="E4308" s="0" t="inlineStr">
        <is>
          <t>IOWA GARETH:113517</t>
        </is>
      </c>
      <c r="F4308" s="0" t="inlineStr">
        <is>
          <t>'700113517036</t>
        </is>
      </c>
      <c r="G4308" s="0" t="inlineStr">
        <is>
          <t>YOUTH</t>
        </is>
      </c>
      <c r="H4308" s="0" t="inlineStr">
        <is>
          <t>YOUTH</t>
        </is>
      </c>
      <c r="I4308" s="0">
        <v>19.99</v>
      </c>
      <c r="J4308" s="0">
        <v>21</v>
      </c>
    </row>
    <row r="4309" spans="1:10" customHeight="0">
      <c r="A4309" s="0">
        <f>HYPERLINK("https://dl.dropboxusercontent.com/scl/fi/bk45kb79dch5s5h6p6u00/118662-af.jpg?rlkey=ahrckx12iww1wjb8s0yhfpiyj&amp;dl=0","Click to download Image")</f>
      </c>
      <c r="C4309" s="0" t="inlineStr">
        <is>
          <t>Gareth Youth Cap</t>
        </is>
      </c>
      <c r="D4309" s="0" t="inlineStr">
        <is>
          <t>'118662</t>
        </is>
      </c>
      <c r="E4309" s="0" t="inlineStr">
        <is>
          <t>UNI GARETH Y CAMO:118662</t>
        </is>
      </c>
      <c r="F4309" s="0" t="inlineStr">
        <is>
          <t>'702118662032</t>
        </is>
      </c>
      <c r="G4309" s="0" t="inlineStr">
        <is>
          <t>YOUTH</t>
        </is>
      </c>
      <c r="H4309" s="0" t="inlineStr">
        <is>
          <t>YOUTH</t>
        </is>
      </c>
      <c r="I4309" s="0">
        <v>19.99</v>
      </c>
      <c r="J4309" s="0">
        <v>36</v>
      </c>
    </row>
    <row r="4310" spans="1:10" customHeight="0">
      <c r="A4310" s="0">
        <f>HYPERLINK("https://dl.dropboxusercontent.com/scl/fi/4y72csf011xr4rf37xm2z/ndsu-af.png?rlkey=k1w3zoql2ouokiv8y4k9qvp3m&amp;dl=0","Click to download Image")</f>
      </c>
      <c r="B4310" s="0">
        <f>HYPERLINK("https://dl.dropboxusercontent.com/scl/fi/mlxc46x07zibszagzuo1k/mens-pullover-size-chartsashland.jpg?rlkey=0pubyejiv810ru7tkhjfudb0w&amp;dl=0","Click to download SizeChart")</f>
      </c>
      <c r="C4310" s="0" t="inlineStr">
        <is>
          <t>Ashland Mens Semi-Fitted 1/4 Zip Pullover</t>
        </is>
      </c>
      <c r="D4310" s="0" t="inlineStr">
        <is>
          <t>'121388</t>
        </is>
      </c>
      <c r="E4310" s="0" t="inlineStr">
        <is>
          <t>NDSU ASHLAND:121388A-S</t>
        </is>
      </c>
      <c r="F4310" s="0" t="inlineStr">
        <is>
          <t>'899121388049</t>
        </is>
      </c>
      <c r="G4310" s="0" t="inlineStr">
        <is>
          <t>MENS</t>
        </is>
      </c>
      <c r="H4310" s="0" t="inlineStr">
        <is>
          <t>S</t>
        </is>
      </c>
      <c r="I4310" s="0">
        <v>48.99</v>
      </c>
      <c r="J4310" s="0">
        <v>1</v>
      </c>
    </row>
    <row r="4311" spans="1:10" customHeight="0">
      <c r="A4311" s="0">
        <f>HYPERLINK("https://dl.dropboxusercontent.com/scl/fi/4y72csf011xr4rf37xm2z/ndsu-af.png?rlkey=k1w3zoql2ouokiv8y4k9qvp3m&amp;dl=0","Click to download Image")</f>
      </c>
      <c r="B4311" s="0">
        <f>HYPERLINK("https://dl.dropboxusercontent.com/scl/fi/mlxc46x07zibszagzuo1k/mens-pullover-size-chartsashland.jpg?rlkey=0pubyejiv810ru7tkhjfudb0w&amp;dl=0","Click to download SizeChart")</f>
      </c>
      <c r="C4311" s="0" t="inlineStr">
        <is>
          <t>Ashland Mens Semi-Fitted 1/4 Zip Pullover</t>
        </is>
      </c>
      <c r="D4311" s="0" t="inlineStr">
        <is>
          <t>'121388</t>
        </is>
      </c>
      <c r="E4311" s="0" t="inlineStr">
        <is>
          <t>NDSU ASHLAND:121388B-M</t>
        </is>
      </c>
      <c r="F4311" s="0" t="inlineStr">
        <is>
          <t>'899121388056</t>
        </is>
      </c>
      <c r="G4311" s="0" t="inlineStr">
        <is>
          <t>MENS</t>
        </is>
      </c>
      <c r="H4311" s="0" t="inlineStr">
        <is>
          <t>M</t>
        </is>
      </c>
      <c r="I4311" s="0">
        <v>48.99</v>
      </c>
      <c r="J4311" s="0">
        <v>0</v>
      </c>
    </row>
    <row r="4312" spans="1:10" customHeight="0">
      <c r="A4312" s="0">
        <f>HYPERLINK("https://dl.dropboxusercontent.com/scl/fi/4y72csf011xr4rf37xm2z/ndsu-af.png?rlkey=k1w3zoql2ouokiv8y4k9qvp3m&amp;dl=0","Click to download Image")</f>
      </c>
      <c r="B4312" s="0">
        <f>HYPERLINK("https://dl.dropboxusercontent.com/scl/fi/mlxc46x07zibszagzuo1k/mens-pullover-size-chartsashland.jpg?rlkey=0pubyejiv810ru7tkhjfudb0w&amp;dl=0","Click to download SizeChart")</f>
      </c>
      <c r="C4312" s="0" t="inlineStr">
        <is>
          <t>Ashland Mens Semi-Fitted 1/4 Zip Pullover</t>
        </is>
      </c>
      <c r="D4312" s="0" t="inlineStr">
        <is>
          <t>'121388</t>
        </is>
      </c>
      <c r="E4312" s="0" t="inlineStr">
        <is>
          <t>NDSU ASHLAND:121388C-L</t>
        </is>
      </c>
      <c r="F4312" s="0" t="inlineStr">
        <is>
          <t>'899121388063</t>
        </is>
      </c>
      <c r="G4312" s="0" t="inlineStr">
        <is>
          <t>MENS</t>
        </is>
      </c>
      <c r="H4312" s="0" t="inlineStr">
        <is>
          <t>L</t>
        </is>
      </c>
      <c r="I4312" s="0">
        <v>48.99</v>
      </c>
      <c r="J4312" s="0">
        <v>0</v>
      </c>
    </row>
    <row r="4313" spans="1:10" customHeight="0">
      <c r="A4313" s="0">
        <f>HYPERLINK("https://dl.dropboxusercontent.com/scl/fi/4y72csf011xr4rf37xm2z/ndsu-af.png?rlkey=k1w3zoql2ouokiv8y4k9qvp3m&amp;dl=0","Click to download Image")</f>
      </c>
      <c r="B4313" s="0">
        <f>HYPERLINK("https://dl.dropboxusercontent.com/scl/fi/mlxc46x07zibszagzuo1k/mens-pullover-size-chartsashland.jpg?rlkey=0pubyejiv810ru7tkhjfudb0w&amp;dl=0","Click to download SizeChart")</f>
      </c>
      <c r="C4313" s="0" t="inlineStr">
        <is>
          <t>Ashland Mens Semi-Fitted 1/4 Zip Pullover</t>
        </is>
      </c>
      <c r="D4313" s="0" t="inlineStr">
        <is>
          <t>'121388</t>
        </is>
      </c>
      <c r="E4313" s="0" t="inlineStr">
        <is>
          <t>NDSU ASHLAND:121388D-XL</t>
        </is>
      </c>
      <c r="F4313" s="0" t="inlineStr">
        <is>
          <t>'899121388070</t>
        </is>
      </c>
      <c r="G4313" s="0" t="inlineStr">
        <is>
          <t>MENS</t>
        </is>
      </c>
      <c r="H4313" s="0" t="inlineStr">
        <is>
          <t>XL</t>
        </is>
      </c>
      <c r="I4313" s="0">
        <v>48.99</v>
      </c>
      <c r="J4313" s="0">
        <v>2</v>
      </c>
    </row>
    <row r="4314" spans="1:10" customHeight="0">
      <c r="A4314" s="0">
        <f>HYPERLINK("https://dl.dropboxusercontent.com/scl/fi/4y72csf011xr4rf37xm2z/ndsu-af.png?rlkey=k1w3zoql2ouokiv8y4k9qvp3m&amp;dl=0","Click to download Image")</f>
      </c>
      <c r="B4314" s="0">
        <f>HYPERLINK("https://dl.dropboxusercontent.com/scl/fi/mlxc46x07zibszagzuo1k/mens-pullover-size-chartsashland.jpg?rlkey=0pubyejiv810ru7tkhjfudb0w&amp;dl=0","Click to download SizeChart")</f>
      </c>
      <c r="C4314" s="0" t="inlineStr">
        <is>
          <t>Ashland Mens Semi-Fitted 1/4 Zip Pullover</t>
        </is>
      </c>
      <c r="D4314" s="0" t="inlineStr">
        <is>
          <t>'121388</t>
        </is>
      </c>
      <c r="E4314" s="0" t="inlineStr">
        <is>
          <t>NDSU ASHLAND:121388E-2XL</t>
        </is>
      </c>
      <c r="F4314" s="0" t="inlineStr">
        <is>
          <t>'899121388087</t>
        </is>
      </c>
      <c r="G4314" s="0" t="inlineStr">
        <is>
          <t>MENS</t>
        </is>
      </c>
      <c r="H4314" s="0" t="inlineStr">
        <is>
          <t>2XL</t>
        </is>
      </c>
      <c r="I4314" s="0">
        <v>50.99</v>
      </c>
      <c r="J4314" s="0">
        <v>3</v>
      </c>
    </row>
    <row r="4315" spans="1:10" customHeight="0">
      <c r="A4315" s="0">
        <f>HYPERLINK("https://dl.dropboxusercontent.com/scl/fi/4y72csf011xr4rf37xm2z/ndsu-af.png?rlkey=k1w3zoql2ouokiv8y4k9qvp3m&amp;dl=0","Click to download Image")</f>
      </c>
      <c r="B4315" s="0">
        <f>HYPERLINK("https://dl.dropboxusercontent.com/scl/fi/mlxc46x07zibszagzuo1k/mens-pullover-size-chartsashland.jpg?rlkey=0pubyejiv810ru7tkhjfudb0w&amp;dl=0","Click to download SizeChart")</f>
      </c>
      <c r="C4315" s="0" t="inlineStr">
        <is>
          <t>Ashland Mens Semi-Fitted 1/4 Zip Pullover</t>
        </is>
      </c>
      <c r="D4315" s="0" t="inlineStr">
        <is>
          <t>'121388</t>
        </is>
      </c>
      <c r="E4315" s="0" t="inlineStr">
        <is>
          <t>NDSU ASHLAND:121388F-3XL</t>
        </is>
      </c>
      <c r="F4315" s="0" t="inlineStr">
        <is>
          <t>'899121388094</t>
        </is>
      </c>
      <c r="G4315" s="0" t="inlineStr">
        <is>
          <t>MENS</t>
        </is>
      </c>
      <c r="H4315" s="0" t="inlineStr">
        <is>
          <t>3XL</t>
        </is>
      </c>
      <c r="I4315" s="0">
        <v>50.99</v>
      </c>
      <c r="J4315" s="0">
        <v>2</v>
      </c>
    </row>
    <row r="4316" spans="1:10" customHeight="0">
      <c r="A4316" s="0">
        <f>HYPERLINK("https://dl.dropboxusercontent.com/scl/fi/4y72csf011xr4rf37xm2z/ndsu-af.png?rlkey=k1w3zoql2ouokiv8y4k9qvp3m&amp;dl=0","Click to download Image")</f>
      </c>
      <c r="B4316" s="0">
        <f>HYPERLINK("https://dl.dropboxusercontent.com/scl/fi/mlxc46x07zibszagzuo1k/mens-pullover-size-chartsashland.jpg?rlkey=0pubyejiv810ru7tkhjfudb0w&amp;dl=0","Click to download SizeChart")</f>
      </c>
      <c r="C4316" s="0" t="inlineStr">
        <is>
          <t>Ashland Mens Semi-Fitted 1/4 Zip Pullover</t>
        </is>
      </c>
      <c r="D4316" s="0" t="inlineStr">
        <is>
          <t>'121388</t>
        </is>
      </c>
      <c r="E4316" s="0" t="inlineStr">
        <is>
          <t>NDSU ASHLAND 12 PK (121388)</t>
        </is>
      </c>
      <c r="F4316" s="0" t="inlineStr">
        <is>
          <t>'813121388991</t>
        </is>
      </c>
      <c r="G4316" s="0" t="inlineStr">
        <is>
          <t>MENS</t>
        </is>
      </c>
      <c r="H4316" s="0" t="inlineStr">
        <is>
          <t>12 PACK</t>
        </is>
      </c>
      <c r="I4316" s="0">
        <v>569.88</v>
      </c>
      <c r="J4316" s="0">
        <v>0</v>
      </c>
    </row>
    <row r="4317" spans="1:10" customHeight="0">
      <c r="A4317" s="0">
        <f>HYPERLINK("https://dl.dropboxusercontent.com/scl/fi/nzot0r4tcwa85mkdb9ies/113601-af.jpg?rlkey=vp0wvykgd56pnpaaiaprxhubd&amp;dl=0","Click to download Image")</f>
      </c>
      <c r="C4317" s="0" t="inlineStr">
        <is>
          <t>Georgia Women's Cap</t>
        </is>
      </c>
      <c r="D4317" s="0" t="inlineStr">
        <is>
          <t>'113601</t>
        </is>
      </c>
      <c r="E4317" s="0" t="inlineStr">
        <is>
          <t>UNI GEORGIA:113601</t>
        </is>
      </c>
      <c r="F4317" s="0" t="inlineStr">
        <is>
          <t>'702113601012</t>
        </is>
      </c>
      <c r="G4317" s="0" t="inlineStr">
        <is>
          <t>WOMENS</t>
        </is>
      </c>
      <c r="H4317" s="0" t="inlineStr">
        <is>
          <t>WOMENS</t>
        </is>
      </c>
      <c r="I4317" s="0">
        <v>21.99</v>
      </c>
      <c r="J4317" s="0">
        <v>67</v>
      </c>
    </row>
    <row r="4318" spans="1:10" customHeight="0">
      <c r="A4318" s="0">
        <f>HYPERLINK("https://dl.dropboxusercontent.com/scl/fi/sd7tai9z48v0hb5yv91wu/113510af.jpg?rlkey=a4uqpgt12a0tgrlr7yql02m74&amp;dl=0","Click to download Image")</f>
      </c>
      <c r="B4318" s="0">
        <f>HYPERLINK("https://dl.dropboxusercontent.com/scl/fi/jsoownbwhox9chp7rsma1/mens-pullover-size-chartshamilton.jpg?rlkey=olani2ixouyy7qrghtox9aclv&amp;dl=0","Click to download SizeChart")</f>
      </c>
      <c r="C4318" s="0" t="inlineStr">
        <is>
          <t>Hamilton Men's Pullover</t>
        </is>
      </c>
      <c r="D4318" s="0" t="inlineStr">
        <is>
          <t>'113510</t>
        </is>
      </c>
      <c r="E4318" s="0" t="inlineStr">
        <is>
          <t>ISU HAMILTON M BLACK:113510A-S</t>
        </is>
      </c>
      <c r="F4318" s="0" t="inlineStr">
        <is>
          <t>'801113510048</t>
        </is>
      </c>
      <c r="G4318" s="0" t="inlineStr">
        <is>
          <t>MENS</t>
        </is>
      </c>
      <c r="H4318" s="0" t="inlineStr">
        <is>
          <t>S</t>
        </is>
      </c>
      <c r="I4318" s="0">
        <v>54.99</v>
      </c>
      <c r="J4318" s="0">
        <v>6</v>
      </c>
    </row>
    <row r="4319" spans="1:10" customHeight="0">
      <c r="A4319" s="0">
        <f>HYPERLINK("https://dl.dropboxusercontent.com/scl/fi/sd7tai9z48v0hb5yv91wu/113510af.jpg?rlkey=a4uqpgt12a0tgrlr7yql02m74&amp;dl=0","Click to download Image")</f>
      </c>
      <c r="B4319" s="0">
        <f>HYPERLINK("https://dl.dropboxusercontent.com/scl/fi/jsoownbwhox9chp7rsma1/mens-pullover-size-chartshamilton.jpg?rlkey=olani2ixouyy7qrghtox9aclv&amp;dl=0","Click to download SizeChart")</f>
      </c>
      <c r="C4319" s="0" t="inlineStr">
        <is>
          <t>Hamilton Men's Pullover</t>
        </is>
      </c>
      <c r="D4319" s="0" t="inlineStr">
        <is>
          <t>'113510</t>
        </is>
      </c>
      <c r="E4319" s="0" t="inlineStr">
        <is>
          <t>ISU HAMILTON M BLACK:113510B-M</t>
        </is>
      </c>
      <c r="F4319" s="0" t="inlineStr">
        <is>
          <t>'801113510055</t>
        </is>
      </c>
      <c r="G4319" s="0" t="inlineStr">
        <is>
          <t>MENS</t>
        </is>
      </c>
      <c r="H4319" s="0" t="inlineStr">
        <is>
          <t>M</t>
        </is>
      </c>
      <c r="I4319" s="0">
        <v>54.99</v>
      </c>
      <c r="J4319" s="0">
        <v>3</v>
      </c>
    </row>
    <row r="4320" spans="1:10" customHeight="0">
      <c r="A4320" s="0">
        <f>HYPERLINK("https://dl.dropboxusercontent.com/scl/fi/sd7tai9z48v0hb5yv91wu/113510af.jpg?rlkey=a4uqpgt12a0tgrlr7yql02m74&amp;dl=0","Click to download Image")</f>
      </c>
      <c r="B4320" s="0">
        <f>HYPERLINK("https://dl.dropboxusercontent.com/scl/fi/jsoownbwhox9chp7rsma1/mens-pullover-size-chartshamilton.jpg?rlkey=olani2ixouyy7qrghtox9aclv&amp;dl=0","Click to download SizeChart")</f>
      </c>
      <c r="C4320" s="0" t="inlineStr">
        <is>
          <t>Hamilton Men's Pullover</t>
        </is>
      </c>
      <c r="D4320" s="0" t="inlineStr">
        <is>
          <t>'113510</t>
        </is>
      </c>
      <c r="E4320" s="0" t="inlineStr">
        <is>
          <t>ISU HAMILTON M BLACK:113510C-L</t>
        </is>
      </c>
      <c r="F4320" s="0" t="inlineStr">
        <is>
          <t>'801113510062</t>
        </is>
      </c>
      <c r="G4320" s="0" t="inlineStr">
        <is>
          <t>MENS</t>
        </is>
      </c>
      <c r="H4320" s="0" t="inlineStr">
        <is>
          <t>L</t>
        </is>
      </c>
      <c r="I4320" s="0">
        <v>54.99</v>
      </c>
      <c r="J4320" s="0">
        <v>5</v>
      </c>
    </row>
    <row r="4321" spans="1:10" customHeight="0">
      <c r="A4321" s="0">
        <f>HYPERLINK("https://dl.dropboxusercontent.com/scl/fi/sd7tai9z48v0hb5yv91wu/113510af.jpg?rlkey=a4uqpgt12a0tgrlr7yql02m74&amp;dl=0","Click to download Image")</f>
      </c>
      <c r="B4321" s="0">
        <f>HYPERLINK("https://dl.dropboxusercontent.com/scl/fi/jsoownbwhox9chp7rsma1/mens-pullover-size-chartshamilton.jpg?rlkey=olani2ixouyy7qrghtox9aclv&amp;dl=0","Click to download SizeChart")</f>
      </c>
      <c r="C4321" s="0" t="inlineStr">
        <is>
          <t>Hamilton Men's Pullover</t>
        </is>
      </c>
      <c r="D4321" s="0" t="inlineStr">
        <is>
          <t>'113510</t>
        </is>
      </c>
      <c r="E4321" s="0" t="inlineStr">
        <is>
          <t>ISU HAMILTON M BLACK:113510D-XL</t>
        </is>
      </c>
      <c r="F4321" s="0" t="inlineStr">
        <is>
          <t>'801113510079</t>
        </is>
      </c>
      <c r="G4321" s="0" t="inlineStr">
        <is>
          <t>MENS</t>
        </is>
      </c>
      <c r="H4321" s="0" t="inlineStr">
        <is>
          <t>XL</t>
        </is>
      </c>
      <c r="I4321" s="0">
        <v>54.99</v>
      </c>
      <c r="J4321" s="0">
        <v>6</v>
      </c>
    </row>
    <row r="4322" spans="1:10" customHeight="0">
      <c r="A4322" s="0">
        <f>HYPERLINK("https://dl.dropboxusercontent.com/scl/fi/sd7tai9z48v0hb5yv91wu/113510af.jpg?rlkey=a4uqpgt12a0tgrlr7yql02m74&amp;dl=0","Click to download Image")</f>
      </c>
      <c r="B4322" s="0">
        <f>HYPERLINK("https://dl.dropboxusercontent.com/scl/fi/jsoownbwhox9chp7rsma1/mens-pullover-size-chartshamilton.jpg?rlkey=olani2ixouyy7qrghtox9aclv&amp;dl=0","Click to download SizeChart")</f>
      </c>
      <c r="C4322" s="0" t="inlineStr">
        <is>
          <t>Hamilton Men's Pullover</t>
        </is>
      </c>
      <c r="D4322" s="0" t="inlineStr">
        <is>
          <t>'113510</t>
        </is>
      </c>
      <c r="E4322" s="0" t="inlineStr">
        <is>
          <t>ISU HAMILTON M BLACK:113510E-2XL</t>
        </is>
      </c>
      <c r="F4322" s="0" t="inlineStr">
        <is>
          <t>'801113510086</t>
        </is>
      </c>
      <c r="G4322" s="0" t="inlineStr">
        <is>
          <t>MENS</t>
        </is>
      </c>
      <c r="H4322" s="0" t="inlineStr">
        <is>
          <t>2XL</t>
        </is>
      </c>
      <c r="I4322" s="0">
        <v>56.99</v>
      </c>
      <c r="J4322" s="0">
        <v>4</v>
      </c>
    </row>
    <row r="4323" spans="1:10" customHeight="0">
      <c r="A4323" s="0">
        <f>HYPERLINK("https://dl.dropboxusercontent.com/scl/fi/sd7tai9z48v0hb5yv91wu/113510af.jpg?rlkey=a4uqpgt12a0tgrlr7yql02m74&amp;dl=0","Click to download Image")</f>
      </c>
      <c r="B4323" s="0">
        <f>HYPERLINK("https://dl.dropboxusercontent.com/scl/fi/jsoownbwhox9chp7rsma1/mens-pullover-size-chartshamilton.jpg?rlkey=olani2ixouyy7qrghtox9aclv&amp;dl=0","Click to download SizeChart")</f>
      </c>
      <c r="C4323" s="0" t="inlineStr">
        <is>
          <t>Hamilton Men's Pullover</t>
        </is>
      </c>
      <c r="D4323" s="0" t="inlineStr">
        <is>
          <t>'113510</t>
        </is>
      </c>
      <c r="E4323" s="0" t="inlineStr">
        <is>
          <t>ISU HAMILTON M BLACK:113510F-3XL</t>
        </is>
      </c>
      <c r="F4323" s="0" t="inlineStr">
        <is>
          <t>'801113510093</t>
        </is>
      </c>
      <c r="G4323" s="0" t="inlineStr">
        <is>
          <t>MENS</t>
        </is>
      </c>
      <c r="H4323" s="0" t="inlineStr">
        <is>
          <t>3XL</t>
        </is>
      </c>
      <c r="I4323" s="0">
        <v>56.99</v>
      </c>
      <c r="J4323" s="0">
        <v>3</v>
      </c>
    </row>
    <row r="4324" spans="1:10" customHeight="0">
      <c r="A4324" s="0">
        <f>HYPERLINK("https://dl.dropboxusercontent.com/scl/fi/sd7tai9z48v0hb5yv91wu/113510af.jpg?rlkey=a4uqpgt12a0tgrlr7yql02m74&amp;dl=0","Click to download Image")</f>
      </c>
      <c r="B4324" s="0">
        <f>HYPERLINK("https://dl.dropboxusercontent.com/scl/fi/jsoownbwhox9chp7rsma1/mens-pullover-size-chartshamilton.jpg?rlkey=olani2ixouyy7qrghtox9aclv&amp;dl=0","Click to download SizeChart")</f>
      </c>
      <c r="C4324" s="0" t="inlineStr">
        <is>
          <t>Hamilton Men's Pullover</t>
        </is>
      </c>
      <c r="D4324" s="0" t="inlineStr">
        <is>
          <t>'113510</t>
        </is>
      </c>
      <c r="E4324" s="0" t="inlineStr">
        <is>
          <t>ISU HAMILTON M BLACK 12 PACK:113510Z-12PK</t>
        </is>
      </c>
      <c r="F4324" s="0" t="inlineStr">
        <is>
          <t>'801113510994</t>
        </is>
      </c>
      <c r="G4324" s="0" t="inlineStr">
        <is>
          <t>MENS</t>
        </is>
      </c>
      <c r="H4324" s="0" t="inlineStr">
        <is>
          <t>12 PACK</t>
        </is>
      </c>
      <c r="I4324" s="0">
        <v>641.88</v>
      </c>
      <c r="J4324" s="0">
        <v>0</v>
      </c>
    </row>
    <row r="4325" spans="1:10" customHeight="0">
      <c r="A4325" s="0">
        <f>HYPERLINK("https://dl.dropboxusercontent.com/scl/fi/dg7orjgjp2qvgs5o5wtp1/114601-af.jpg?rlkey=55iqpbg01823vb3aarlt6uxgu&amp;dl=0","Click to download Image")</f>
      </c>
      <c r="B4325" s="0">
        <f>HYPERLINK("https://dl.dropboxusercontent.com/scl/fi/jsoownbwhox9chp7rsma1/mens-pullover-size-chartshamilton.jpg?rlkey=olani2ixouyy7qrghtox9aclv&amp;dl=0","Click to download SizeChart")</f>
      </c>
      <c r="C4325" s="0" t="inlineStr">
        <is>
          <t>Hamilton Men's Pullover</t>
        </is>
      </c>
      <c r="D4325" s="0" t="inlineStr">
        <is>
          <t>'114601</t>
        </is>
      </c>
      <c r="E4325" s="0" t="inlineStr">
        <is>
          <t>UNI HAMILTON M BLACK:114601A-S</t>
        </is>
      </c>
      <c r="F4325" s="0" t="inlineStr">
        <is>
          <t>'802114601049</t>
        </is>
      </c>
      <c r="G4325" s="0" t="inlineStr">
        <is>
          <t>MENS</t>
        </is>
      </c>
      <c r="H4325" s="0" t="inlineStr">
        <is>
          <t>S</t>
        </is>
      </c>
      <c r="I4325" s="0">
        <v>54.99</v>
      </c>
      <c r="J4325" s="0">
        <v>3</v>
      </c>
    </row>
    <row r="4326" spans="1:10" customHeight="0">
      <c r="A4326" s="0">
        <f>HYPERLINK("https://dl.dropboxusercontent.com/scl/fi/dg7orjgjp2qvgs5o5wtp1/114601-af.jpg?rlkey=55iqpbg01823vb3aarlt6uxgu&amp;dl=0","Click to download Image")</f>
      </c>
      <c r="B4326" s="0">
        <f>HYPERLINK("https://dl.dropboxusercontent.com/scl/fi/jsoownbwhox9chp7rsma1/mens-pullover-size-chartshamilton.jpg?rlkey=olani2ixouyy7qrghtox9aclv&amp;dl=0","Click to download SizeChart")</f>
      </c>
      <c r="C4326" s="0" t="inlineStr">
        <is>
          <t>Hamilton Men's Pullover</t>
        </is>
      </c>
      <c r="D4326" s="0" t="inlineStr">
        <is>
          <t>'114601</t>
        </is>
      </c>
      <c r="E4326" s="0" t="inlineStr">
        <is>
          <t>UNI HAMILTON M BLACK:114601B-M</t>
        </is>
      </c>
      <c r="F4326" s="0" t="inlineStr">
        <is>
          <t>'802114601056</t>
        </is>
      </c>
      <c r="G4326" s="0" t="inlineStr">
        <is>
          <t>MENS</t>
        </is>
      </c>
      <c r="H4326" s="0" t="inlineStr">
        <is>
          <t>M</t>
        </is>
      </c>
      <c r="I4326" s="0">
        <v>54.99</v>
      </c>
      <c r="J4326" s="0">
        <v>5</v>
      </c>
    </row>
    <row r="4327" spans="1:10" customHeight="0">
      <c r="A4327" s="0">
        <f>HYPERLINK("https://dl.dropboxusercontent.com/scl/fi/dg7orjgjp2qvgs5o5wtp1/114601-af.jpg?rlkey=55iqpbg01823vb3aarlt6uxgu&amp;dl=0","Click to download Image")</f>
      </c>
      <c r="B4327" s="0">
        <f>HYPERLINK("https://dl.dropboxusercontent.com/scl/fi/jsoownbwhox9chp7rsma1/mens-pullover-size-chartshamilton.jpg?rlkey=olani2ixouyy7qrghtox9aclv&amp;dl=0","Click to download SizeChart")</f>
      </c>
      <c r="C4327" s="0" t="inlineStr">
        <is>
          <t>Hamilton Men's Pullover</t>
        </is>
      </c>
      <c r="D4327" s="0" t="inlineStr">
        <is>
          <t>'114601</t>
        </is>
      </c>
      <c r="E4327" s="0" t="inlineStr">
        <is>
          <t>UNI HAMILTON M BLACK:114601C-L</t>
        </is>
      </c>
      <c r="F4327" s="0" t="inlineStr">
        <is>
          <t>'802114601063</t>
        </is>
      </c>
      <c r="G4327" s="0" t="inlineStr">
        <is>
          <t>MENS</t>
        </is>
      </c>
      <c r="H4327" s="0" t="inlineStr">
        <is>
          <t>L</t>
        </is>
      </c>
      <c r="I4327" s="0">
        <v>54.99</v>
      </c>
      <c r="J4327" s="0">
        <v>7</v>
      </c>
    </row>
    <row r="4328" spans="1:10" customHeight="0">
      <c r="A4328" s="0">
        <f>HYPERLINK("https://dl.dropboxusercontent.com/scl/fi/dg7orjgjp2qvgs5o5wtp1/114601-af.jpg?rlkey=55iqpbg01823vb3aarlt6uxgu&amp;dl=0","Click to download Image")</f>
      </c>
      <c r="B4328" s="0">
        <f>HYPERLINK("https://dl.dropboxusercontent.com/scl/fi/jsoownbwhox9chp7rsma1/mens-pullover-size-chartshamilton.jpg?rlkey=olani2ixouyy7qrghtox9aclv&amp;dl=0","Click to download SizeChart")</f>
      </c>
      <c r="C4328" s="0" t="inlineStr">
        <is>
          <t>Hamilton Men's Pullover</t>
        </is>
      </c>
      <c r="D4328" s="0" t="inlineStr">
        <is>
          <t>'114601</t>
        </is>
      </c>
      <c r="E4328" s="0" t="inlineStr">
        <is>
          <t>UNI HAMILTON M BLACK:114601D-XL</t>
        </is>
      </c>
      <c r="F4328" s="0" t="inlineStr">
        <is>
          <t>'802114601070</t>
        </is>
      </c>
      <c r="G4328" s="0" t="inlineStr">
        <is>
          <t>MENS</t>
        </is>
      </c>
      <c r="H4328" s="0" t="inlineStr">
        <is>
          <t>XL</t>
        </is>
      </c>
      <c r="I4328" s="0">
        <v>54.99</v>
      </c>
      <c r="J4328" s="0">
        <v>8</v>
      </c>
    </row>
    <row r="4329" spans="1:10" customHeight="0">
      <c r="A4329" s="0">
        <f>HYPERLINK("https://dl.dropboxusercontent.com/scl/fi/dg7orjgjp2qvgs5o5wtp1/114601-af.jpg?rlkey=55iqpbg01823vb3aarlt6uxgu&amp;dl=0","Click to download Image")</f>
      </c>
      <c r="B4329" s="0">
        <f>HYPERLINK("https://dl.dropboxusercontent.com/scl/fi/jsoownbwhox9chp7rsma1/mens-pullover-size-chartshamilton.jpg?rlkey=olani2ixouyy7qrghtox9aclv&amp;dl=0","Click to download SizeChart")</f>
      </c>
      <c r="C4329" s="0" t="inlineStr">
        <is>
          <t>Hamilton Men's Pullover</t>
        </is>
      </c>
      <c r="D4329" s="0" t="inlineStr">
        <is>
          <t>'114601</t>
        </is>
      </c>
      <c r="E4329" s="0" t="inlineStr">
        <is>
          <t>UNI HAMILTON M BLACK:114601E-2XL</t>
        </is>
      </c>
      <c r="F4329" s="0" t="inlineStr">
        <is>
          <t>'802114601087</t>
        </is>
      </c>
      <c r="G4329" s="0" t="inlineStr">
        <is>
          <t>MENS</t>
        </is>
      </c>
      <c r="H4329" s="0" t="inlineStr">
        <is>
          <t>2XL</t>
        </is>
      </c>
      <c r="I4329" s="0">
        <v>56.99</v>
      </c>
      <c r="J4329" s="0">
        <v>6</v>
      </c>
    </row>
    <row r="4330" spans="1:10" customHeight="0">
      <c r="A4330" s="0">
        <f>HYPERLINK("https://dl.dropboxusercontent.com/scl/fi/dg7orjgjp2qvgs5o5wtp1/114601-af.jpg?rlkey=55iqpbg01823vb3aarlt6uxgu&amp;dl=0","Click to download Image")</f>
      </c>
      <c r="B4330" s="0">
        <f>HYPERLINK("https://dl.dropboxusercontent.com/scl/fi/jsoownbwhox9chp7rsma1/mens-pullover-size-chartshamilton.jpg?rlkey=olani2ixouyy7qrghtox9aclv&amp;dl=0","Click to download SizeChart")</f>
      </c>
      <c r="C4330" s="0" t="inlineStr">
        <is>
          <t>Hamilton Men's Pullover</t>
        </is>
      </c>
      <c r="D4330" s="0" t="inlineStr">
        <is>
          <t>'114601</t>
        </is>
      </c>
      <c r="E4330" s="0" t="inlineStr">
        <is>
          <t>UNI HAMILTON M BLACK:114601F-3XL</t>
        </is>
      </c>
      <c r="F4330" s="0" t="inlineStr">
        <is>
          <t>'802114601094</t>
        </is>
      </c>
      <c r="G4330" s="0" t="inlineStr">
        <is>
          <t>MENS</t>
        </is>
      </c>
      <c r="H4330" s="0" t="inlineStr">
        <is>
          <t>3XL</t>
        </is>
      </c>
      <c r="I4330" s="0">
        <v>56.99</v>
      </c>
      <c r="J4330" s="0">
        <v>2</v>
      </c>
    </row>
    <row r="4331" spans="1:10" customHeight="0">
      <c r="A4331" s="0">
        <f>HYPERLINK("https://dl.dropboxusercontent.com/scl/fi/dg7orjgjp2qvgs5o5wtp1/114601-af.jpg?rlkey=55iqpbg01823vb3aarlt6uxgu&amp;dl=0","Click to download Image")</f>
      </c>
      <c r="B4331" s="0">
        <f>HYPERLINK("https://dl.dropboxusercontent.com/scl/fi/jsoownbwhox9chp7rsma1/mens-pullover-size-chartshamilton.jpg?rlkey=olani2ixouyy7qrghtox9aclv&amp;dl=0","Click to download SizeChart")</f>
      </c>
      <c r="C4331" s="0" t="inlineStr">
        <is>
          <t>Hamilton Men's Pullover</t>
        </is>
      </c>
      <c r="D4331" s="0" t="inlineStr">
        <is>
          <t>'114601</t>
        </is>
      </c>
      <c r="E4331" s="0" t="inlineStr">
        <is>
          <t>UNI HAMILTON M BLACK 12 PACK:114601Z-12PK</t>
        </is>
      </c>
      <c r="F4331" s="0" t="inlineStr">
        <is>
          <t>'802114601995</t>
        </is>
      </c>
      <c r="G4331" s="0" t="inlineStr">
        <is>
          <t>MENS</t>
        </is>
      </c>
      <c r="H4331" s="0" t="inlineStr">
        <is>
          <t>12 PACK</t>
        </is>
      </c>
      <c r="I4331" s="0">
        <v>641.88</v>
      </c>
      <c r="J4331" s="0">
        <v>0</v>
      </c>
    </row>
    <row r="4332" spans="1:10" customHeight="0">
      <c r="A4332" s="0">
        <f>HYPERLINK("https://dl.dropboxusercontent.com/scl/fi/kn8b6k9z4ogxzqet7bny1/111473f97588.jpg?rlkey=92by2xq3wpsnxifsri14udd1o&amp;dl=0","Click to download Image")</f>
      </c>
      <c r="B4332" s="0">
        <f>HYPERLINK("https://dl.dropboxusercontent.com/scl/fi/8yjh5w5qwbhu7n8rwbd8k/graphic-update22022-infant.jpg?rlkey=gfkpc3wxk811fmi6x1zu2bv7r&amp;dl=0","Click to download SizeChart")</f>
      </c>
      <c r="C4332" s="0" t="inlineStr">
        <is>
          <t>Hershey Infant Romper</t>
        </is>
      </c>
      <c r="D4332" s="0" t="inlineStr">
        <is>
          <t>'111473</t>
        </is>
      </c>
      <c r="E4332" s="0" t="inlineStr">
        <is>
          <t>UNI HERSHEY ROMPER:111473A-0-3M</t>
        </is>
      </c>
      <c r="F4332" s="0" t="inlineStr">
        <is>
          <t>'802111473007</t>
        </is>
      </c>
      <c r="G4332" s="0" t="inlineStr">
        <is>
          <t>INFANT</t>
        </is>
      </c>
      <c r="H4332" s="0" t="inlineStr">
        <is>
          <t>0-3M</t>
        </is>
      </c>
      <c r="I4332" s="0">
        <v>22.99</v>
      </c>
      <c r="J4332" s="0">
        <v>4</v>
      </c>
    </row>
    <row r="4333" spans="1:10" customHeight="0">
      <c r="A4333" s="0">
        <f>HYPERLINK("https://dl.dropboxusercontent.com/scl/fi/kn8b6k9z4ogxzqet7bny1/111473f97588.jpg?rlkey=92by2xq3wpsnxifsri14udd1o&amp;dl=0","Click to download Image")</f>
      </c>
      <c r="B4333" s="0">
        <f>HYPERLINK("https://dl.dropboxusercontent.com/scl/fi/8yjh5w5qwbhu7n8rwbd8k/graphic-update22022-infant.jpg?rlkey=gfkpc3wxk811fmi6x1zu2bv7r&amp;dl=0","Click to download SizeChart")</f>
      </c>
      <c r="C4333" s="0" t="inlineStr">
        <is>
          <t>Hershey Infant Romper</t>
        </is>
      </c>
      <c r="D4333" s="0" t="inlineStr">
        <is>
          <t>'111473</t>
        </is>
      </c>
      <c r="E4333" s="0" t="inlineStr">
        <is>
          <t>UNI HERSHEY ROMPER:111473B-3-6M</t>
        </is>
      </c>
      <c r="F4333" s="0" t="inlineStr">
        <is>
          <t>'802111473014</t>
        </is>
      </c>
      <c r="G4333" s="0" t="inlineStr">
        <is>
          <t>INFANT</t>
        </is>
      </c>
      <c r="H4333" s="0" t="inlineStr">
        <is>
          <t>3-6M</t>
        </is>
      </c>
      <c r="I4333" s="0">
        <v>22.99</v>
      </c>
      <c r="J4333" s="0">
        <v>5</v>
      </c>
    </row>
    <row r="4334" spans="1:10" customHeight="0">
      <c r="A4334" s="0">
        <f>HYPERLINK("https://dl.dropboxusercontent.com/scl/fi/kn8b6k9z4ogxzqet7bny1/111473f97588.jpg?rlkey=92by2xq3wpsnxifsri14udd1o&amp;dl=0","Click to download Image")</f>
      </c>
      <c r="B4334" s="0">
        <f>HYPERLINK("https://dl.dropboxusercontent.com/scl/fi/8yjh5w5qwbhu7n8rwbd8k/graphic-update22022-infant.jpg?rlkey=gfkpc3wxk811fmi6x1zu2bv7r&amp;dl=0","Click to download SizeChart")</f>
      </c>
      <c r="C4334" s="0" t="inlineStr">
        <is>
          <t>Hershey Infant Romper</t>
        </is>
      </c>
      <c r="D4334" s="0" t="inlineStr">
        <is>
          <t>'111473</t>
        </is>
      </c>
      <c r="E4334" s="0" t="inlineStr">
        <is>
          <t>UNI HERSHEY ROMPER:111473C-6-9M</t>
        </is>
      </c>
      <c r="F4334" s="0" t="inlineStr">
        <is>
          <t>'802111473021</t>
        </is>
      </c>
      <c r="G4334" s="0" t="inlineStr">
        <is>
          <t>INFANT</t>
        </is>
      </c>
      <c r="H4334" s="0" t="inlineStr">
        <is>
          <t>6-9M</t>
        </is>
      </c>
      <c r="I4334" s="0">
        <v>22.99</v>
      </c>
      <c r="J4334" s="0">
        <v>4</v>
      </c>
    </row>
    <row r="4335" spans="1:10" customHeight="0">
      <c r="A4335" s="0">
        <f>HYPERLINK("https://dl.dropboxusercontent.com/scl/fi/kn8b6k9z4ogxzqet7bny1/111473f97588.jpg?rlkey=92by2xq3wpsnxifsri14udd1o&amp;dl=0","Click to download Image")</f>
      </c>
      <c r="B4335" s="0">
        <f>HYPERLINK("https://dl.dropboxusercontent.com/scl/fi/8yjh5w5qwbhu7n8rwbd8k/graphic-update22022-infant.jpg?rlkey=gfkpc3wxk811fmi6x1zu2bv7r&amp;dl=0","Click to download SizeChart")</f>
      </c>
      <c r="C4335" s="0" t="inlineStr">
        <is>
          <t>Hershey Infant Romper</t>
        </is>
      </c>
      <c r="D4335" s="0" t="inlineStr">
        <is>
          <t>'111473</t>
        </is>
      </c>
      <c r="E4335" s="0" t="inlineStr">
        <is>
          <t>UNI HERSHEY ROMPER:111473F-12M</t>
        </is>
      </c>
      <c r="F4335" s="0" t="inlineStr">
        <is>
          <t>'802111473038</t>
        </is>
      </c>
      <c r="G4335" s="0" t="inlineStr">
        <is>
          <t>INFANT</t>
        </is>
      </c>
      <c r="H4335" s="0" t="inlineStr">
        <is>
          <t>12M</t>
        </is>
      </c>
      <c r="I4335" s="0">
        <v>22.99</v>
      </c>
      <c r="J4335" s="0">
        <v>5</v>
      </c>
    </row>
    <row r="4336" spans="1:10" customHeight="0">
      <c r="A4336" s="0">
        <f>HYPERLINK("https://dl.dropboxusercontent.com/scl/fi/kn8b6k9z4ogxzqet7bny1/111473f97588.jpg?rlkey=92by2xq3wpsnxifsri14udd1o&amp;dl=0","Click to download Image")</f>
      </c>
      <c r="B4336" s="0">
        <f>HYPERLINK("https://dl.dropboxusercontent.com/scl/fi/8yjh5w5qwbhu7n8rwbd8k/graphic-update22022-infant.jpg?rlkey=gfkpc3wxk811fmi6x1zu2bv7r&amp;dl=0","Click to download SizeChart")</f>
      </c>
      <c r="C4336" s="0" t="inlineStr">
        <is>
          <t>Hershey Infant Romper</t>
        </is>
      </c>
      <c r="D4336" s="0" t="inlineStr">
        <is>
          <t>'111473</t>
        </is>
      </c>
      <c r="E4336" s="0" t="inlineStr">
        <is>
          <t>UNI HERSHEY ROMPER 12 PACK:111473Z-12PK</t>
        </is>
      </c>
      <c r="F4336" s="0" t="inlineStr">
        <is>
          <t>'802111473991</t>
        </is>
      </c>
      <c r="G4336" s="0" t="inlineStr">
        <is>
          <t>INFANT</t>
        </is>
      </c>
      <c r="H4336" s="0" t="inlineStr">
        <is>
          <t>12 PACK</t>
        </is>
      </c>
      <c r="I4336" s="0">
        <v>251.88</v>
      </c>
      <c r="J4336" s="0">
        <v>0</v>
      </c>
    </row>
    <row r="4337" spans="1:10" customHeight="0">
      <c r="A4337" s="0">
        <f>HYPERLINK("https://dl.dropboxusercontent.com/scl/fi/yft7ydyf5s5vmc2fdsp2w/109697f64548.jpg?rlkey=gpe6gvq9k1hymtjxwiuqt3b4l&amp;dl=0","Click to download Image")</f>
      </c>
      <c r="B4337" s="0">
        <f>HYPERLINK("https://dl.dropboxusercontent.com/scl/fi/91pxhmekhuj8voxvkjfip/graphic-update22022-infant.jpg?rlkey=mhyw7kfnmv5vyel5e0fvl6i35&amp;dl=0","Click to download SizeChart")</f>
      </c>
      <c r="C4337" s="0" t="inlineStr">
        <is>
          <t>York Infant Romper</t>
        </is>
      </c>
      <c r="D4337" s="0" t="inlineStr">
        <is>
          <t>'109697</t>
        </is>
      </c>
      <c r="E4337" s="0" t="inlineStr">
        <is>
          <t>ISU YORK:109697A-0-3M</t>
        </is>
      </c>
      <c r="F4337" s="0" t="inlineStr">
        <is>
          <t>'800109697015</t>
        </is>
      </c>
      <c r="G4337" s="0" t="inlineStr">
        <is>
          <t>INFANT</t>
        </is>
      </c>
      <c r="H4337" s="0" t="inlineStr">
        <is>
          <t>0-3M</t>
        </is>
      </c>
      <c r="I4337" s="0">
        <v>22.99</v>
      </c>
      <c r="J4337" s="0">
        <v>4</v>
      </c>
    </row>
    <row r="4338" spans="1:10" customHeight="0">
      <c r="A4338" s="0">
        <f>HYPERLINK("https://dl.dropboxusercontent.com/scl/fi/yft7ydyf5s5vmc2fdsp2w/109697f64548.jpg?rlkey=gpe6gvq9k1hymtjxwiuqt3b4l&amp;dl=0","Click to download Image")</f>
      </c>
      <c r="B4338" s="0">
        <f>HYPERLINK("https://dl.dropboxusercontent.com/scl/fi/91pxhmekhuj8voxvkjfip/graphic-update22022-infant.jpg?rlkey=mhyw7kfnmv5vyel5e0fvl6i35&amp;dl=0","Click to download SizeChart")</f>
      </c>
      <c r="C4338" s="0" t="inlineStr">
        <is>
          <t>York Infant Romper</t>
        </is>
      </c>
      <c r="D4338" s="0" t="inlineStr">
        <is>
          <t>'109697</t>
        </is>
      </c>
      <c r="E4338" s="0" t="inlineStr">
        <is>
          <t>ISU YORK:109697B-3-6M</t>
        </is>
      </c>
      <c r="F4338" s="0" t="inlineStr">
        <is>
          <t>'800109697022</t>
        </is>
      </c>
      <c r="G4338" s="0" t="inlineStr">
        <is>
          <t>INFANT</t>
        </is>
      </c>
      <c r="H4338" s="0" t="inlineStr">
        <is>
          <t>3-6M</t>
        </is>
      </c>
      <c r="I4338" s="0">
        <v>22.99</v>
      </c>
      <c r="J4338" s="0">
        <v>4</v>
      </c>
    </row>
    <row r="4339" spans="1:10" customHeight="0">
      <c r="A4339" s="0">
        <f>HYPERLINK("https://dl.dropboxusercontent.com/scl/fi/yft7ydyf5s5vmc2fdsp2w/109697f64548.jpg?rlkey=gpe6gvq9k1hymtjxwiuqt3b4l&amp;dl=0","Click to download Image")</f>
      </c>
      <c r="B4339" s="0">
        <f>HYPERLINK("https://dl.dropboxusercontent.com/scl/fi/91pxhmekhuj8voxvkjfip/graphic-update22022-infant.jpg?rlkey=mhyw7kfnmv5vyel5e0fvl6i35&amp;dl=0","Click to download SizeChart")</f>
      </c>
      <c r="C4339" s="0" t="inlineStr">
        <is>
          <t>York Infant Romper</t>
        </is>
      </c>
      <c r="D4339" s="0" t="inlineStr">
        <is>
          <t>'109697</t>
        </is>
      </c>
      <c r="E4339" s="0" t="inlineStr">
        <is>
          <t>ISU YORK:109697C-6-9M</t>
        </is>
      </c>
      <c r="F4339" s="0" t="inlineStr">
        <is>
          <t>'800109697039</t>
        </is>
      </c>
      <c r="G4339" s="0" t="inlineStr">
        <is>
          <t>INFANT</t>
        </is>
      </c>
      <c r="H4339" s="0" t="inlineStr">
        <is>
          <t>6-9M</t>
        </is>
      </c>
      <c r="I4339" s="0">
        <v>22.99</v>
      </c>
      <c r="J4339" s="0">
        <v>4</v>
      </c>
    </row>
    <row r="4340" spans="1:10" customHeight="0">
      <c r="A4340" s="0">
        <f>HYPERLINK("https://dl.dropboxusercontent.com/scl/fi/yft7ydyf5s5vmc2fdsp2w/109697f64548.jpg?rlkey=gpe6gvq9k1hymtjxwiuqt3b4l&amp;dl=0","Click to download Image")</f>
      </c>
      <c r="B4340" s="0">
        <f>HYPERLINK("https://dl.dropboxusercontent.com/scl/fi/91pxhmekhuj8voxvkjfip/graphic-update22022-infant.jpg?rlkey=mhyw7kfnmv5vyel5e0fvl6i35&amp;dl=0","Click to download SizeChart")</f>
      </c>
      <c r="C4340" s="0" t="inlineStr">
        <is>
          <t>York Infant Romper</t>
        </is>
      </c>
      <c r="D4340" s="0" t="inlineStr">
        <is>
          <t>'109697</t>
        </is>
      </c>
      <c r="E4340" s="0" t="inlineStr">
        <is>
          <t>ISU YORK:109697F-12M</t>
        </is>
      </c>
      <c r="F4340" s="0" t="inlineStr">
        <is>
          <t>'800109697046</t>
        </is>
      </c>
      <c r="G4340" s="0" t="inlineStr">
        <is>
          <t>INFANT</t>
        </is>
      </c>
      <c r="H4340" s="0" t="inlineStr">
        <is>
          <t>12M</t>
        </is>
      </c>
      <c r="I4340" s="0">
        <v>22.99</v>
      </c>
      <c r="J4340" s="0">
        <v>4</v>
      </c>
    </row>
    <row r="4341" spans="1:10" customHeight="0">
      <c r="A4341" s="0">
        <f>HYPERLINK("https://dl.dropboxusercontent.com/scl/fi/yft7ydyf5s5vmc2fdsp2w/109697f64548.jpg?rlkey=gpe6gvq9k1hymtjxwiuqt3b4l&amp;dl=0","Click to download Image")</f>
      </c>
      <c r="B4341" s="0">
        <f>HYPERLINK("https://dl.dropboxusercontent.com/scl/fi/91pxhmekhuj8voxvkjfip/graphic-update22022-infant.jpg?rlkey=mhyw7kfnmv5vyel5e0fvl6i35&amp;dl=0","Click to download SizeChart")</f>
      </c>
      <c r="C4341" s="0" t="inlineStr">
        <is>
          <t>York Infant Romper</t>
        </is>
      </c>
      <c r="D4341" s="0" t="inlineStr">
        <is>
          <t>'109697</t>
        </is>
      </c>
      <c r="E4341" s="0" t="inlineStr">
        <is>
          <t>ISU YORK 12 PACK:109697Z-12PK</t>
        </is>
      </c>
      <c r="F4341" s="0" t="inlineStr">
        <is>
          <t>'800109697107</t>
        </is>
      </c>
      <c r="G4341" s="0" t="inlineStr">
        <is>
          <t>INFANT</t>
        </is>
      </c>
      <c r="H4341" s="0" t="inlineStr">
        <is>
          <t>12 PACK</t>
        </is>
      </c>
      <c r="I4341" s="0">
        <v>251.88</v>
      </c>
      <c r="J4341" s="0">
        <v>0</v>
      </c>
    </row>
    <row r="4342" spans="1:10" customHeight="0">
      <c r="A4342" s="0">
        <f>HYPERLINK("https://dl.dropboxusercontent.com/scl/fi/n287b740qmx6x88fn3fg5/111442f87067.jpg?rlkey=cg94j0c89ag2ki8y7hx2aiun5&amp;dl=0","Click to download Image")</f>
      </c>
      <c r="B4342" s="0">
        <f>HYPERLINK("https://dl.dropboxusercontent.com/scl/fi/l8ruckqbue3cf6a0eqk7r/graphic-update22022-infant.jpg?rlkey=zmkvu561dh0b0zzwz5h54s6fz&amp;dl=0","Click to download SizeChart")</f>
      </c>
      <c r="C4342" s="0" t="inlineStr">
        <is>
          <t>Raleigh Infant Bodysuit</t>
        </is>
      </c>
      <c r="D4342" s="0" t="inlineStr">
        <is>
          <t>'111442</t>
        </is>
      </c>
      <c r="E4342" s="0" t="inlineStr">
        <is>
          <t>UNI RALEIGH:111442A-0-3M</t>
        </is>
      </c>
      <c r="F4342" s="0" t="inlineStr">
        <is>
          <t>'802111442003</t>
        </is>
      </c>
      <c r="G4342" s="0" t="inlineStr">
        <is>
          <t>INFANT</t>
        </is>
      </c>
      <c r="H4342" s="0" t="inlineStr">
        <is>
          <t>0-3M</t>
        </is>
      </c>
      <c r="I4342" s="0">
        <v>19.99</v>
      </c>
      <c r="J4342" s="0">
        <v>9</v>
      </c>
    </row>
    <row r="4343" spans="1:10" customHeight="0">
      <c r="A4343" s="0">
        <f>HYPERLINK("https://dl.dropboxusercontent.com/scl/fi/n287b740qmx6x88fn3fg5/111442f87067.jpg?rlkey=cg94j0c89ag2ki8y7hx2aiun5&amp;dl=0","Click to download Image")</f>
      </c>
      <c r="B4343" s="0">
        <f>HYPERLINK("https://dl.dropboxusercontent.com/scl/fi/l8ruckqbue3cf6a0eqk7r/graphic-update22022-infant.jpg?rlkey=zmkvu561dh0b0zzwz5h54s6fz&amp;dl=0","Click to download SizeChart")</f>
      </c>
      <c r="C4343" s="0" t="inlineStr">
        <is>
          <t>Raleigh Infant Bodysuit</t>
        </is>
      </c>
      <c r="D4343" s="0" t="inlineStr">
        <is>
          <t>'111442</t>
        </is>
      </c>
      <c r="E4343" s="0" t="inlineStr">
        <is>
          <t>UNI RALEIGH:111442B-3-6M</t>
        </is>
      </c>
      <c r="F4343" s="0" t="inlineStr">
        <is>
          <t>'802111442010</t>
        </is>
      </c>
      <c r="G4343" s="0" t="inlineStr">
        <is>
          <t>INFANT</t>
        </is>
      </c>
      <c r="H4343" s="0" t="inlineStr">
        <is>
          <t>3-6M</t>
        </is>
      </c>
      <c r="I4343" s="0">
        <v>19.99</v>
      </c>
      <c r="J4343" s="0">
        <v>7</v>
      </c>
    </row>
    <row r="4344" spans="1:10" customHeight="0">
      <c r="A4344" s="0">
        <f>HYPERLINK("https://dl.dropboxusercontent.com/scl/fi/n287b740qmx6x88fn3fg5/111442f87067.jpg?rlkey=cg94j0c89ag2ki8y7hx2aiun5&amp;dl=0","Click to download Image")</f>
      </c>
      <c r="B4344" s="0">
        <f>HYPERLINK("https://dl.dropboxusercontent.com/scl/fi/l8ruckqbue3cf6a0eqk7r/graphic-update22022-infant.jpg?rlkey=zmkvu561dh0b0zzwz5h54s6fz&amp;dl=0","Click to download SizeChart")</f>
      </c>
      <c r="C4344" s="0" t="inlineStr">
        <is>
          <t>Raleigh Infant Bodysuit</t>
        </is>
      </c>
      <c r="D4344" s="0" t="inlineStr">
        <is>
          <t>'111442</t>
        </is>
      </c>
      <c r="E4344" s="0" t="inlineStr">
        <is>
          <t>UNI RALEIGH:111442C-6-9M</t>
        </is>
      </c>
      <c r="F4344" s="0" t="inlineStr">
        <is>
          <t>'802111442027</t>
        </is>
      </c>
      <c r="G4344" s="0" t="inlineStr">
        <is>
          <t>INFANT</t>
        </is>
      </c>
      <c r="H4344" s="0" t="inlineStr">
        <is>
          <t>6-9M</t>
        </is>
      </c>
      <c r="I4344" s="0">
        <v>19.99</v>
      </c>
      <c r="J4344" s="0">
        <v>8</v>
      </c>
    </row>
    <row r="4345" spans="1:10" customHeight="0">
      <c r="A4345" s="0">
        <f>HYPERLINK("https://dl.dropboxusercontent.com/scl/fi/n287b740qmx6x88fn3fg5/111442f87067.jpg?rlkey=cg94j0c89ag2ki8y7hx2aiun5&amp;dl=0","Click to download Image")</f>
      </c>
      <c r="B4345" s="0">
        <f>HYPERLINK("https://dl.dropboxusercontent.com/scl/fi/l8ruckqbue3cf6a0eqk7r/graphic-update22022-infant.jpg?rlkey=zmkvu561dh0b0zzwz5h54s6fz&amp;dl=0","Click to download SizeChart")</f>
      </c>
      <c r="C4345" s="0" t="inlineStr">
        <is>
          <t>Raleigh Infant Bodysuit</t>
        </is>
      </c>
      <c r="D4345" s="0" t="inlineStr">
        <is>
          <t>'111442</t>
        </is>
      </c>
      <c r="E4345" s="0" t="inlineStr">
        <is>
          <t>UNI RALEIGH:111442F-12M</t>
        </is>
      </c>
      <c r="F4345" s="0" t="inlineStr">
        <is>
          <t>'802111442034</t>
        </is>
      </c>
      <c r="G4345" s="0" t="inlineStr">
        <is>
          <t>INFANT</t>
        </is>
      </c>
      <c r="H4345" s="0" t="inlineStr">
        <is>
          <t>12M</t>
        </is>
      </c>
      <c r="I4345" s="0">
        <v>19.99</v>
      </c>
      <c r="J4345" s="0">
        <v>9</v>
      </c>
    </row>
    <row r="4346" spans="1:10" customHeight="0">
      <c r="A4346" s="0">
        <f>HYPERLINK("https://dl.dropboxusercontent.com/scl/fi/n287b740qmx6x88fn3fg5/111442f87067.jpg?rlkey=cg94j0c89ag2ki8y7hx2aiun5&amp;dl=0","Click to download Image")</f>
      </c>
      <c r="B4346" s="0">
        <f>HYPERLINK("https://dl.dropboxusercontent.com/scl/fi/l8ruckqbue3cf6a0eqk7r/graphic-update22022-infant.jpg?rlkey=zmkvu561dh0b0zzwz5h54s6fz&amp;dl=0","Click to download SizeChart")</f>
      </c>
      <c r="C4346" s="0" t="inlineStr">
        <is>
          <t>Raleigh Infant Bodysuit</t>
        </is>
      </c>
      <c r="D4346" s="0" t="inlineStr">
        <is>
          <t>'111442</t>
        </is>
      </c>
      <c r="E4346" s="0" t="inlineStr">
        <is>
          <t>UNI RALEIGH 12 PACK:111442Z-12PK</t>
        </is>
      </c>
      <c r="F4346" s="0" t="inlineStr">
        <is>
          <t>'802111442997</t>
        </is>
      </c>
      <c r="G4346" s="0" t="inlineStr">
        <is>
          <t>INFANT</t>
        </is>
      </c>
      <c r="H4346" s="0" t="inlineStr">
        <is>
          <t>12 PACK</t>
        </is>
      </c>
      <c r="I4346" s="0">
        <v>215.88</v>
      </c>
      <c r="J4346" s="0">
        <v>0</v>
      </c>
    </row>
    <row r="4347" spans="1:10" customHeight="0">
      <c r="A4347" s="0">
        <f>HYPERLINK("https://dl.dropboxusercontent.com/scl/fi/aik9pvmy50ngc1ah3zukm/111440f35219.jpg?rlkey=j1qwnjm3vjxio98ae4dcfjm21&amp;dl=0","Click to download Image")</f>
      </c>
      <c r="C4347" s="0" t="inlineStr">
        <is>
          <t>Scranton Infant Bodysuit</t>
        </is>
      </c>
      <c r="D4347" s="0" t="inlineStr">
        <is>
          <t>'111440</t>
        </is>
      </c>
      <c r="E4347" s="0" t="inlineStr">
        <is>
          <t>UNI SCRANTON PURPLE:111440A-0-3M</t>
        </is>
      </c>
      <c r="F4347" s="0" t="inlineStr">
        <is>
          <t>'802111440009</t>
        </is>
      </c>
      <c r="G4347" s="0" t="inlineStr">
        <is>
          <t>INFANT</t>
        </is>
      </c>
      <c r="H4347" s="0" t="inlineStr">
        <is>
          <t>0-3M</t>
        </is>
      </c>
      <c r="I4347" s="0">
        <v>17.99</v>
      </c>
      <c r="J4347" s="0">
        <v>27</v>
      </c>
    </row>
    <row r="4348" spans="1:10" customHeight="0">
      <c r="A4348" s="0">
        <f>HYPERLINK("https://dl.dropboxusercontent.com/scl/fi/aik9pvmy50ngc1ah3zukm/111440f35219.jpg?rlkey=j1qwnjm3vjxio98ae4dcfjm21&amp;dl=0","Click to download Image")</f>
      </c>
      <c r="C4348" s="0" t="inlineStr">
        <is>
          <t>Scranton Infant Bodysuit</t>
        </is>
      </c>
      <c r="D4348" s="0" t="inlineStr">
        <is>
          <t>'111440</t>
        </is>
      </c>
      <c r="E4348" s="0" t="inlineStr">
        <is>
          <t>UNI SCRANTON PURPLE:111440B-3-6M</t>
        </is>
      </c>
      <c r="F4348" s="0" t="inlineStr">
        <is>
          <t>'802111440016</t>
        </is>
      </c>
      <c r="G4348" s="0" t="inlineStr">
        <is>
          <t>INFANT</t>
        </is>
      </c>
      <c r="H4348" s="0" t="inlineStr">
        <is>
          <t>3-6M</t>
        </is>
      </c>
      <c r="I4348" s="0">
        <v>17.99</v>
      </c>
      <c r="J4348" s="0">
        <v>26</v>
      </c>
    </row>
    <row r="4349" spans="1:10" customHeight="0">
      <c r="A4349" s="0">
        <f>HYPERLINK("https://dl.dropboxusercontent.com/scl/fi/aik9pvmy50ngc1ah3zukm/111440f35219.jpg?rlkey=j1qwnjm3vjxio98ae4dcfjm21&amp;dl=0","Click to download Image")</f>
      </c>
      <c r="C4349" s="0" t="inlineStr">
        <is>
          <t>Scranton Infant Bodysuit</t>
        </is>
      </c>
      <c r="D4349" s="0" t="inlineStr">
        <is>
          <t>'111440</t>
        </is>
      </c>
      <c r="E4349" s="0" t="inlineStr">
        <is>
          <t>UNI SCRANTON PURPLE:111440C-6-9M</t>
        </is>
      </c>
      <c r="F4349" s="0" t="inlineStr">
        <is>
          <t>'802111440023</t>
        </is>
      </c>
      <c r="G4349" s="0" t="inlineStr">
        <is>
          <t>INFANT</t>
        </is>
      </c>
      <c r="H4349" s="0" t="inlineStr">
        <is>
          <t>6-9M</t>
        </is>
      </c>
      <c r="I4349" s="0">
        <v>17.99</v>
      </c>
      <c r="J4349" s="0">
        <v>25</v>
      </c>
    </row>
    <row r="4350" spans="1:10" customHeight="0">
      <c r="A4350" s="0">
        <f>HYPERLINK("https://dl.dropboxusercontent.com/scl/fi/aik9pvmy50ngc1ah3zukm/111440f35219.jpg?rlkey=j1qwnjm3vjxio98ae4dcfjm21&amp;dl=0","Click to download Image")</f>
      </c>
      <c r="C4350" s="0" t="inlineStr">
        <is>
          <t>Scranton Infant Bodysuit</t>
        </is>
      </c>
      <c r="D4350" s="0" t="inlineStr">
        <is>
          <t>'111440</t>
        </is>
      </c>
      <c r="E4350" s="0" t="inlineStr">
        <is>
          <t>UNI SCRANTON PURPLE:111440F-12M</t>
        </is>
      </c>
      <c r="F4350" s="0" t="inlineStr">
        <is>
          <t>'802111440030</t>
        </is>
      </c>
      <c r="G4350" s="0" t="inlineStr">
        <is>
          <t>INFANT</t>
        </is>
      </c>
      <c r="H4350" s="0" t="inlineStr">
        <is>
          <t>12M</t>
        </is>
      </c>
      <c r="I4350" s="0">
        <v>17.99</v>
      </c>
      <c r="J4350" s="0">
        <v>28</v>
      </c>
    </row>
    <row r="4351" spans="1:10" customHeight="0">
      <c r="A4351" s="0">
        <f>HYPERLINK("https://dl.dropboxusercontent.com/scl/fi/aik9pvmy50ngc1ah3zukm/111440f35219.jpg?rlkey=j1qwnjm3vjxio98ae4dcfjm21&amp;dl=0","Click to download Image")</f>
      </c>
      <c r="C4351" s="0" t="inlineStr">
        <is>
          <t>Scranton Infant Bodysuit</t>
        </is>
      </c>
      <c r="D4351" s="0" t="inlineStr">
        <is>
          <t>'111440</t>
        </is>
      </c>
      <c r="E4351" s="0" t="inlineStr">
        <is>
          <t>UNI SCRANTON PURPLE 12 PACK:111440Z-12PK</t>
        </is>
      </c>
      <c r="F4351" s="0" t="inlineStr">
        <is>
          <t>'802111440993</t>
        </is>
      </c>
      <c r="G4351" s="0" t="inlineStr">
        <is>
          <t>INFANT</t>
        </is>
      </c>
      <c r="H4351" s="0" t="inlineStr">
        <is>
          <t>12 PACK</t>
        </is>
      </c>
      <c r="I4351" s="0">
        <v>191.88</v>
      </c>
      <c r="J4351" s="0">
        <v>0</v>
      </c>
    </row>
    <row r="4352" spans="1:10" customHeight="0">
      <c r="A4352" s="0">
        <f>HYPERLINK("https://dl.dropboxusercontent.com/scl/fi/nbsrvox0mg7w0l78r7ftz/isu-af.jpg?rlkey=u80eojwndaf72dsf3go8y5rut&amp;dl=0","Click to download Image")</f>
      </c>
      <c r="B4352" s="0">
        <f>HYPERLINK("https://dl.dropboxusercontent.com/scl/fi/rm68nfm4mp0yh6dr03v1x/mens-jackets-size-charts-superior.jpg?rlkey=sb6k0g7b806osux5dtpangf2g&amp;dl=0","Click to download SizeChart")</f>
      </c>
      <c r="C4352" s="0" t="inlineStr">
        <is>
          <t>Superior Men's Packable Jacket</t>
        </is>
      </c>
      <c r="D4352" s="0" t="inlineStr">
        <is>
          <t>'109689</t>
        </is>
      </c>
      <c r="E4352" s="0" t="inlineStr">
        <is>
          <t>ISU SUPERIOR BLACK:109689A-S</t>
        </is>
      </c>
      <c r="F4352" s="0" t="inlineStr">
        <is>
          <t>'801109689048</t>
        </is>
      </c>
      <c r="G4352" s="0" t="inlineStr">
        <is>
          <t>MENS</t>
        </is>
      </c>
      <c r="H4352" s="0" t="inlineStr">
        <is>
          <t>S</t>
        </is>
      </c>
      <c r="I4352" s="0">
        <v>54.99</v>
      </c>
      <c r="J4352" s="0">
        <v>2</v>
      </c>
    </row>
    <row r="4353" spans="1:10" customHeight="0">
      <c r="A4353" s="0">
        <f>HYPERLINK("https://dl.dropboxusercontent.com/scl/fi/nbsrvox0mg7w0l78r7ftz/isu-af.jpg?rlkey=u80eojwndaf72dsf3go8y5rut&amp;dl=0","Click to download Image")</f>
      </c>
      <c r="B4353" s="0">
        <f>HYPERLINK("https://dl.dropboxusercontent.com/scl/fi/rm68nfm4mp0yh6dr03v1x/mens-jackets-size-charts-superior.jpg?rlkey=sb6k0g7b806osux5dtpangf2g&amp;dl=0","Click to download SizeChart")</f>
      </c>
      <c r="C4353" s="0" t="inlineStr">
        <is>
          <t>Superior Men's Packable Jacket</t>
        </is>
      </c>
      <c r="D4353" s="0" t="inlineStr">
        <is>
          <t>'109689</t>
        </is>
      </c>
      <c r="E4353" s="0" t="inlineStr">
        <is>
          <t>ISU SUPERIOR BLACK:109689B-M</t>
        </is>
      </c>
      <c r="F4353" s="0" t="inlineStr">
        <is>
          <t>'801109689055</t>
        </is>
      </c>
      <c r="G4353" s="0" t="inlineStr">
        <is>
          <t>MENS</t>
        </is>
      </c>
      <c r="H4353" s="0" t="inlineStr">
        <is>
          <t>M</t>
        </is>
      </c>
      <c r="I4353" s="0">
        <v>54.99</v>
      </c>
      <c r="J4353" s="0">
        <v>2</v>
      </c>
    </row>
    <row r="4354" spans="1:10" customHeight="0">
      <c r="A4354" s="0">
        <f>HYPERLINK("https://dl.dropboxusercontent.com/scl/fi/nbsrvox0mg7w0l78r7ftz/isu-af.jpg?rlkey=u80eojwndaf72dsf3go8y5rut&amp;dl=0","Click to download Image")</f>
      </c>
      <c r="B4354" s="0">
        <f>HYPERLINK("https://dl.dropboxusercontent.com/scl/fi/rm68nfm4mp0yh6dr03v1x/mens-jackets-size-charts-superior.jpg?rlkey=sb6k0g7b806osux5dtpangf2g&amp;dl=0","Click to download SizeChart")</f>
      </c>
      <c r="C4354" s="0" t="inlineStr">
        <is>
          <t>Superior Men's Packable Jacket</t>
        </is>
      </c>
      <c r="D4354" s="0" t="inlineStr">
        <is>
          <t>'109689</t>
        </is>
      </c>
      <c r="E4354" s="0" t="inlineStr">
        <is>
          <t>ISU SUPERIOR BLACK:109689C-L</t>
        </is>
      </c>
      <c r="F4354" s="0" t="inlineStr">
        <is>
          <t>'801109689062</t>
        </is>
      </c>
      <c r="G4354" s="0" t="inlineStr">
        <is>
          <t>MENS</t>
        </is>
      </c>
      <c r="H4354" s="0" t="inlineStr">
        <is>
          <t>L</t>
        </is>
      </c>
      <c r="I4354" s="0">
        <v>54.99</v>
      </c>
      <c r="J4354" s="0">
        <v>0</v>
      </c>
    </row>
    <row r="4355" spans="1:10" customHeight="0">
      <c r="A4355" s="0">
        <f>HYPERLINK("https://dl.dropboxusercontent.com/scl/fi/nbsrvox0mg7w0l78r7ftz/isu-af.jpg?rlkey=u80eojwndaf72dsf3go8y5rut&amp;dl=0","Click to download Image")</f>
      </c>
      <c r="B4355" s="0">
        <f>HYPERLINK("https://dl.dropboxusercontent.com/scl/fi/rm68nfm4mp0yh6dr03v1x/mens-jackets-size-charts-superior.jpg?rlkey=sb6k0g7b806osux5dtpangf2g&amp;dl=0","Click to download SizeChart")</f>
      </c>
      <c r="C4355" s="0" t="inlineStr">
        <is>
          <t>Superior Men's Packable Jacket</t>
        </is>
      </c>
      <c r="D4355" s="0" t="inlineStr">
        <is>
          <t>'109689</t>
        </is>
      </c>
      <c r="E4355" s="0" t="inlineStr">
        <is>
          <t>ISU SUPERIOR BLACK:109689D-XL</t>
        </is>
      </c>
      <c r="F4355" s="0" t="inlineStr">
        <is>
          <t>'801109689079</t>
        </is>
      </c>
      <c r="G4355" s="0" t="inlineStr">
        <is>
          <t>MENS</t>
        </is>
      </c>
      <c r="H4355" s="0" t="inlineStr">
        <is>
          <t>XL</t>
        </is>
      </c>
      <c r="I4355" s="0">
        <v>54.99</v>
      </c>
      <c r="J4355" s="0">
        <v>0</v>
      </c>
    </row>
    <row r="4356" spans="1:10" customHeight="0">
      <c r="A4356" s="0">
        <f>HYPERLINK("https://dl.dropboxusercontent.com/scl/fi/nbsrvox0mg7w0l78r7ftz/isu-af.jpg?rlkey=u80eojwndaf72dsf3go8y5rut&amp;dl=0","Click to download Image")</f>
      </c>
      <c r="B4356" s="0">
        <f>HYPERLINK("https://dl.dropboxusercontent.com/scl/fi/rm68nfm4mp0yh6dr03v1x/mens-jackets-size-charts-superior.jpg?rlkey=sb6k0g7b806osux5dtpangf2g&amp;dl=0","Click to download SizeChart")</f>
      </c>
      <c r="C4356" s="0" t="inlineStr">
        <is>
          <t>Superior Men's Packable Jacket</t>
        </is>
      </c>
      <c r="D4356" s="0" t="inlineStr">
        <is>
          <t>'109689</t>
        </is>
      </c>
      <c r="E4356" s="0" t="inlineStr">
        <is>
          <t>ISU SUPERIOR BLACK:109689E-2XL</t>
        </is>
      </c>
      <c r="F4356" s="0" t="inlineStr">
        <is>
          <t>'801109689086</t>
        </is>
      </c>
      <c r="G4356" s="0" t="inlineStr">
        <is>
          <t>MENS</t>
        </is>
      </c>
      <c r="H4356" s="0" t="inlineStr">
        <is>
          <t>2XL</t>
        </is>
      </c>
      <c r="I4356" s="0">
        <v>56.99</v>
      </c>
      <c r="J4356" s="0">
        <v>3</v>
      </c>
    </row>
    <row r="4357" spans="1:10" customHeight="0">
      <c r="A4357" s="0">
        <f>HYPERLINK("https://dl.dropboxusercontent.com/scl/fi/nbsrvox0mg7w0l78r7ftz/isu-af.jpg?rlkey=u80eojwndaf72dsf3go8y5rut&amp;dl=0","Click to download Image")</f>
      </c>
      <c r="B4357" s="0">
        <f>HYPERLINK("https://dl.dropboxusercontent.com/scl/fi/rm68nfm4mp0yh6dr03v1x/mens-jackets-size-charts-superior.jpg?rlkey=sb6k0g7b806osux5dtpangf2g&amp;dl=0","Click to download SizeChart")</f>
      </c>
      <c r="C4357" s="0" t="inlineStr">
        <is>
          <t>Superior Men's Packable Jacket</t>
        </is>
      </c>
      <c r="D4357" s="0" t="inlineStr">
        <is>
          <t>'109689</t>
        </is>
      </c>
      <c r="E4357" s="0" t="inlineStr">
        <is>
          <t>ISU SUPERIOR BLACK:109689F-3XL</t>
        </is>
      </c>
      <c r="F4357" s="0" t="inlineStr">
        <is>
          <t>'801109689093</t>
        </is>
      </c>
      <c r="G4357" s="0" t="inlineStr">
        <is>
          <t>MENS</t>
        </is>
      </c>
      <c r="H4357" s="0" t="inlineStr">
        <is>
          <t>3XL</t>
        </is>
      </c>
      <c r="I4357" s="0">
        <v>56.99</v>
      </c>
      <c r="J4357" s="0">
        <v>4</v>
      </c>
    </row>
    <row r="4358" spans="1:10" customHeight="0">
      <c r="A4358" s="0">
        <f>HYPERLINK("https://dl.dropboxusercontent.com/scl/fi/nbsrvox0mg7w0l78r7ftz/isu-af.jpg?rlkey=u80eojwndaf72dsf3go8y5rut&amp;dl=0","Click to download Image")</f>
      </c>
      <c r="B4358" s="0">
        <f>HYPERLINK("https://dl.dropboxusercontent.com/scl/fi/rm68nfm4mp0yh6dr03v1x/mens-jackets-size-charts-superior.jpg?rlkey=sb6k0g7b806osux5dtpangf2g&amp;dl=0","Click to download SizeChart")</f>
      </c>
      <c r="C4358" s="0" t="inlineStr">
        <is>
          <t>Superior Men's Packable Jacket</t>
        </is>
      </c>
      <c r="D4358" s="0" t="inlineStr">
        <is>
          <t>'109689</t>
        </is>
      </c>
      <c r="E4358" s="0" t="inlineStr">
        <is>
          <t>ISU SUPERIOR BLACK 12 PACK:109689Z-12PK</t>
        </is>
      </c>
      <c r="F4358" s="0" t="inlineStr">
        <is>
          <t>'800109689102</t>
        </is>
      </c>
      <c r="G4358" s="0" t="inlineStr">
        <is>
          <t>MENS</t>
        </is>
      </c>
      <c r="H4358" s="0" t="inlineStr">
        <is>
          <t>12 PACK</t>
        </is>
      </c>
      <c r="I4358" s="0">
        <v>641.88</v>
      </c>
      <c r="J4358" s="0">
        <v>0</v>
      </c>
    </row>
    <row r="4359" spans="1:10" customHeight="0">
      <c r="A4359" s="0">
        <f>HYPERLINK("https://dl.dropboxusercontent.com/scl/fi/67dgzlxaug5wgbkey8xeh/isu-grey-af.jpg?rlkey=cfor39tsq0g00ttk9bzrumim2&amp;dl=0","Click to download Image")</f>
      </c>
      <c r="B4359" s="0">
        <f>HYPERLINK("https://dl.dropboxusercontent.com/scl/fi/rm68nfm4mp0yh6dr03v1x/mens-jackets-size-charts-superior.jpg?rlkey=sb6k0g7b806osux5dtpangf2g&amp;dl=0","Click to download SizeChart")</f>
      </c>
      <c r="C4359" s="0" t="inlineStr">
        <is>
          <t>Superior Men's Packable Jacket</t>
        </is>
      </c>
      <c r="D4359" s="0" t="inlineStr">
        <is>
          <t>'111481</t>
        </is>
      </c>
      <c r="E4359" s="0" t="inlineStr">
        <is>
          <t>ISU SUPERIOR GREY:111481A-S</t>
        </is>
      </c>
      <c r="F4359" s="0" t="inlineStr">
        <is>
          <t>'801111481043</t>
        </is>
      </c>
      <c r="G4359" s="0" t="inlineStr">
        <is>
          <t>MENS</t>
        </is>
      </c>
      <c r="H4359" s="0" t="inlineStr">
        <is>
          <t>S</t>
        </is>
      </c>
      <c r="I4359" s="0">
        <v>54.99</v>
      </c>
      <c r="J4359" s="0">
        <v>6</v>
      </c>
    </row>
    <row r="4360" spans="1:10" customHeight="0">
      <c r="A4360" s="0">
        <f>HYPERLINK("https://dl.dropboxusercontent.com/scl/fi/67dgzlxaug5wgbkey8xeh/isu-grey-af.jpg?rlkey=cfor39tsq0g00ttk9bzrumim2&amp;dl=0","Click to download Image")</f>
      </c>
      <c r="B4360" s="0">
        <f>HYPERLINK("https://dl.dropboxusercontent.com/scl/fi/rm68nfm4mp0yh6dr03v1x/mens-jackets-size-charts-superior.jpg?rlkey=sb6k0g7b806osux5dtpangf2g&amp;dl=0","Click to download SizeChart")</f>
      </c>
      <c r="C4360" s="0" t="inlineStr">
        <is>
          <t>Superior Men's Packable Jacket</t>
        </is>
      </c>
      <c r="D4360" s="0" t="inlineStr">
        <is>
          <t>'111481</t>
        </is>
      </c>
      <c r="E4360" s="0" t="inlineStr">
        <is>
          <t>ISU SUPERIOR GREY:111481B-M</t>
        </is>
      </c>
      <c r="F4360" s="0" t="inlineStr">
        <is>
          <t>'801111481050</t>
        </is>
      </c>
      <c r="G4360" s="0" t="inlineStr">
        <is>
          <t>MENS</t>
        </is>
      </c>
      <c r="H4360" s="0" t="inlineStr">
        <is>
          <t>M</t>
        </is>
      </c>
      <c r="I4360" s="0">
        <v>54.99</v>
      </c>
      <c r="J4360" s="0">
        <v>12</v>
      </c>
    </row>
    <row r="4361" spans="1:10" customHeight="0">
      <c r="A4361" s="0">
        <f>HYPERLINK("https://dl.dropboxusercontent.com/scl/fi/67dgzlxaug5wgbkey8xeh/isu-grey-af.jpg?rlkey=cfor39tsq0g00ttk9bzrumim2&amp;dl=0","Click to download Image")</f>
      </c>
      <c r="B4361" s="0">
        <f>HYPERLINK("https://dl.dropboxusercontent.com/scl/fi/rm68nfm4mp0yh6dr03v1x/mens-jackets-size-charts-superior.jpg?rlkey=sb6k0g7b806osux5dtpangf2g&amp;dl=0","Click to download SizeChart")</f>
      </c>
      <c r="C4361" s="0" t="inlineStr">
        <is>
          <t>Superior Men's Packable Jacket</t>
        </is>
      </c>
      <c r="D4361" s="0" t="inlineStr">
        <is>
          <t>'111481</t>
        </is>
      </c>
      <c r="E4361" s="0" t="inlineStr">
        <is>
          <t>ISU SUPERIOR GREY:111481C-L</t>
        </is>
      </c>
      <c r="F4361" s="0" t="inlineStr">
        <is>
          <t>'801111481067</t>
        </is>
      </c>
      <c r="G4361" s="0" t="inlineStr">
        <is>
          <t>MENS</t>
        </is>
      </c>
      <c r="H4361" s="0" t="inlineStr">
        <is>
          <t>L</t>
        </is>
      </c>
      <c r="I4361" s="0">
        <v>54.99</v>
      </c>
      <c r="J4361" s="0">
        <v>16</v>
      </c>
    </row>
    <row r="4362" spans="1:10" customHeight="0">
      <c r="A4362" s="0">
        <f>HYPERLINK("https://dl.dropboxusercontent.com/scl/fi/67dgzlxaug5wgbkey8xeh/isu-grey-af.jpg?rlkey=cfor39tsq0g00ttk9bzrumim2&amp;dl=0","Click to download Image")</f>
      </c>
      <c r="B4362" s="0">
        <f>HYPERLINK("https://dl.dropboxusercontent.com/scl/fi/rm68nfm4mp0yh6dr03v1x/mens-jackets-size-charts-superior.jpg?rlkey=sb6k0g7b806osux5dtpangf2g&amp;dl=0","Click to download SizeChart")</f>
      </c>
      <c r="C4362" s="0" t="inlineStr">
        <is>
          <t>Superior Men's Packable Jacket</t>
        </is>
      </c>
      <c r="D4362" s="0" t="inlineStr">
        <is>
          <t>'111481</t>
        </is>
      </c>
      <c r="E4362" s="0" t="inlineStr">
        <is>
          <t>ISU SUPERIOR GREY:111481D-XL</t>
        </is>
      </c>
      <c r="F4362" s="0" t="inlineStr">
        <is>
          <t>'801111481074</t>
        </is>
      </c>
      <c r="G4362" s="0" t="inlineStr">
        <is>
          <t>MENS</t>
        </is>
      </c>
      <c r="H4362" s="0" t="inlineStr">
        <is>
          <t>XL</t>
        </is>
      </c>
      <c r="I4362" s="0">
        <v>54.99</v>
      </c>
      <c r="J4362" s="0">
        <v>18</v>
      </c>
    </row>
    <row r="4363" spans="1:10" customHeight="0">
      <c r="A4363" s="0">
        <f>HYPERLINK("https://dl.dropboxusercontent.com/scl/fi/67dgzlxaug5wgbkey8xeh/isu-grey-af.jpg?rlkey=cfor39tsq0g00ttk9bzrumim2&amp;dl=0","Click to download Image")</f>
      </c>
      <c r="B4363" s="0">
        <f>HYPERLINK("https://dl.dropboxusercontent.com/scl/fi/rm68nfm4mp0yh6dr03v1x/mens-jackets-size-charts-superior.jpg?rlkey=sb6k0g7b806osux5dtpangf2g&amp;dl=0","Click to download SizeChart")</f>
      </c>
      <c r="C4363" s="0" t="inlineStr">
        <is>
          <t>Superior Men's Packable Jacket</t>
        </is>
      </c>
      <c r="D4363" s="0" t="inlineStr">
        <is>
          <t>'111481</t>
        </is>
      </c>
      <c r="E4363" s="0" t="inlineStr">
        <is>
          <t>ISU SUPERIOR GREY:111481E-2XL</t>
        </is>
      </c>
      <c r="F4363" s="0" t="inlineStr">
        <is>
          <t>'801111481081</t>
        </is>
      </c>
      <c r="G4363" s="0" t="inlineStr">
        <is>
          <t>MENS</t>
        </is>
      </c>
      <c r="H4363" s="0" t="inlineStr">
        <is>
          <t>2XL</t>
        </is>
      </c>
      <c r="I4363" s="0">
        <v>56.99</v>
      </c>
      <c r="J4363" s="0">
        <v>12</v>
      </c>
    </row>
    <row r="4364" spans="1:10" customHeight="0">
      <c r="A4364" s="0">
        <f>HYPERLINK("https://dl.dropboxusercontent.com/scl/fi/67dgzlxaug5wgbkey8xeh/isu-grey-af.jpg?rlkey=cfor39tsq0g00ttk9bzrumim2&amp;dl=0","Click to download Image")</f>
      </c>
      <c r="B4364" s="0">
        <f>HYPERLINK("https://dl.dropboxusercontent.com/scl/fi/rm68nfm4mp0yh6dr03v1x/mens-jackets-size-charts-superior.jpg?rlkey=sb6k0g7b806osux5dtpangf2g&amp;dl=0","Click to download SizeChart")</f>
      </c>
      <c r="C4364" s="0" t="inlineStr">
        <is>
          <t>Superior Men's Packable Jacket</t>
        </is>
      </c>
      <c r="D4364" s="0" t="inlineStr">
        <is>
          <t>'111481</t>
        </is>
      </c>
      <c r="E4364" s="0" t="inlineStr">
        <is>
          <t>ISU SUPERIOR GREY:111481F-3XL</t>
        </is>
      </c>
      <c r="F4364" s="0" t="inlineStr">
        <is>
          <t>'801111481098</t>
        </is>
      </c>
      <c r="G4364" s="0" t="inlineStr">
        <is>
          <t>MENS</t>
        </is>
      </c>
      <c r="H4364" s="0" t="inlineStr">
        <is>
          <t>3XL</t>
        </is>
      </c>
      <c r="I4364" s="0">
        <v>56.99</v>
      </c>
      <c r="J4364" s="0">
        <v>8</v>
      </c>
    </row>
    <row r="4365" spans="1:10" customHeight="0">
      <c r="A4365" s="0">
        <f>HYPERLINK("https://dl.dropboxusercontent.com/scl/fi/67dgzlxaug5wgbkey8xeh/isu-grey-af.jpg?rlkey=cfor39tsq0g00ttk9bzrumim2&amp;dl=0","Click to download Image")</f>
      </c>
      <c r="B4365" s="0">
        <f>HYPERLINK("https://dl.dropboxusercontent.com/scl/fi/rm68nfm4mp0yh6dr03v1x/mens-jackets-size-charts-superior.jpg?rlkey=sb6k0g7b806osux5dtpangf2g&amp;dl=0","Click to download SizeChart")</f>
      </c>
      <c r="C4365" s="0" t="inlineStr">
        <is>
          <t>Superior Men's Packable Jacket</t>
        </is>
      </c>
      <c r="D4365" s="0" t="inlineStr">
        <is>
          <t>'111481</t>
        </is>
      </c>
      <c r="E4365" s="0" t="inlineStr">
        <is>
          <t>ISU SUPERIOR GREY 12 PACK:111481Z-12PK</t>
        </is>
      </c>
      <c r="F4365" s="0" t="inlineStr">
        <is>
          <t>'801111481999</t>
        </is>
      </c>
      <c r="G4365" s="0" t="inlineStr">
        <is>
          <t>MENS</t>
        </is>
      </c>
      <c r="H4365" s="0" t="inlineStr">
        <is>
          <t>12 PACK</t>
        </is>
      </c>
      <c r="I4365" s="0">
        <v>641.88</v>
      </c>
      <c r="J4365" s="0">
        <v>0</v>
      </c>
    </row>
    <row r="4366" spans="1:10" customHeight="0">
      <c r="A4366" s="0">
        <f>HYPERLINK("https://dl.dropboxusercontent.com/scl/fi/ebeu5ce0hp7lu4usxk2au/114664-af.jpg?rlkey=3xolh3tl8sqw3k8y4skpk3rwg&amp;dl=0","Click to download Image")</f>
      </c>
      <c r="B4366" s="0">
        <f>HYPERLINK("https://dl.dropboxusercontent.com/scl/fi/5hc2vm2inm84yjgz58w8s/graphic-update22022-youth.jpg?rlkey=vfi316aep5j52fwyyxtabmlvl&amp;dl=0","Click to download SizeChart")</f>
      </c>
      <c r="C4366" s="0" t="inlineStr">
        <is>
          <t>Poppy Youth Hoodie</t>
        </is>
      </c>
      <c r="D4366" s="0" t="inlineStr">
        <is>
          <t>'114664</t>
        </is>
      </c>
      <c r="E4366" s="0" t="inlineStr">
        <is>
          <t>UNI POPPY Y GOLD STRIPES:114664B-YS</t>
        </is>
      </c>
      <c r="F4366" s="0" t="inlineStr">
        <is>
          <t>'802114664013</t>
        </is>
      </c>
      <c r="G4366" s="0" t="inlineStr">
        <is>
          <t>YOUTH</t>
        </is>
      </c>
      <c r="H4366" s="0" t="inlineStr">
        <is>
          <t>YS</t>
        </is>
      </c>
      <c r="I4366" s="0">
        <v>52.99</v>
      </c>
      <c r="J4366" s="0">
        <v>4</v>
      </c>
    </row>
    <row r="4367" spans="1:10" customHeight="0">
      <c r="A4367" s="0">
        <f>HYPERLINK("https://dl.dropboxusercontent.com/scl/fi/ebeu5ce0hp7lu4usxk2au/114664-af.jpg?rlkey=3xolh3tl8sqw3k8y4skpk3rwg&amp;dl=0","Click to download Image")</f>
      </c>
      <c r="B4367" s="0">
        <f>HYPERLINK("https://dl.dropboxusercontent.com/scl/fi/5hc2vm2inm84yjgz58w8s/graphic-update22022-youth.jpg?rlkey=vfi316aep5j52fwyyxtabmlvl&amp;dl=0","Click to download SizeChart")</f>
      </c>
      <c r="C4367" s="0" t="inlineStr">
        <is>
          <t>Poppy Youth Hoodie</t>
        </is>
      </c>
      <c r="D4367" s="0" t="inlineStr">
        <is>
          <t>'114664</t>
        </is>
      </c>
      <c r="E4367" s="0" t="inlineStr">
        <is>
          <t>UNI POPPY Y GOLD STRIPES:114664C-YM</t>
        </is>
      </c>
      <c r="F4367" s="0" t="inlineStr">
        <is>
          <t>'802114664020</t>
        </is>
      </c>
      <c r="G4367" s="0" t="inlineStr">
        <is>
          <t>YOUTH</t>
        </is>
      </c>
      <c r="H4367" s="0" t="inlineStr">
        <is>
          <t>YM</t>
        </is>
      </c>
      <c r="I4367" s="0">
        <v>52.99</v>
      </c>
      <c r="J4367" s="0">
        <v>3</v>
      </c>
    </row>
    <row r="4368" spans="1:10" customHeight="0">
      <c r="A4368" s="0">
        <f>HYPERLINK("https://dl.dropboxusercontent.com/scl/fi/ebeu5ce0hp7lu4usxk2au/114664-af.jpg?rlkey=3xolh3tl8sqw3k8y4skpk3rwg&amp;dl=0","Click to download Image")</f>
      </c>
      <c r="B4368" s="0">
        <f>HYPERLINK("https://dl.dropboxusercontent.com/scl/fi/5hc2vm2inm84yjgz58w8s/graphic-update22022-youth.jpg?rlkey=vfi316aep5j52fwyyxtabmlvl&amp;dl=0","Click to download SizeChart")</f>
      </c>
      <c r="C4368" s="0" t="inlineStr">
        <is>
          <t>Poppy Youth Hoodie</t>
        </is>
      </c>
      <c r="D4368" s="0" t="inlineStr">
        <is>
          <t>'114664</t>
        </is>
      </c>
      <c r="E4368" s="0" t="inlineStr">
        <is>
          <t>UNI POPPY Y GOLD STRIPES:114664D-YL</t>
        </is>
      </c>
      <c r="F4368" s="0" t="inlineStr">
        <is>
          <t>'802114664037</t>
        </is>
      </c>
      <c r="G4368" s="0" t="inlineStr">
        <is>
          <t>YOUTH</t>
        </is>
      </c>
      <c r="H4368" s="0" t="inlineStr">
        <is>
          <t>YL</t>
        </is>
      </c>
      <c r="I4368" s="0">
        <v>52.99</v>
      </c>
      <c r="J4368" s="0">
        <v>3</v>
      </c>
    </row>
    <row r="4369" spans="1:10" customHeight="0">
      <c r="A4369" s="0">
        <f>HYPERLINK("https://dl.dropboxusercontent.com/scl/fi/ebeu5ce0hp7lu4usxk2au/114664-af.jpg?rlkey=3xolh3tl8sqw3k8y4skpk3rwg&amp;dl=0","Click to download Image")</f>
      </c>
      <c r="B4369" s="0">
        <f>HYPERLINK("https://dl.dropboxusercontent.com/scl/fi/5hc2vm2inm84yjgz58w8s/graphic-update22022-youth.jpg?rlkey=vfi316aep5j52fwyyxtabmlvl&amp;dl=0","Click to download SizeChart")</f>
      </c>
      <c r="C4369" s="0" t="inlineStr">
        <is>
          <t>Poppy Youth Hoodie</t>
        </is>
      </c>
      <c r="D4369" s="0" t="inlineStr">
        <is>
          <t>'114664</t>
        </is>
      </c>
      <c r="E4369" s="0" t="inlineStr">
        <is>
          <t>UNI POPPY Y GOLD STRIPES:114664E-YXL</t>
        </is>
      </c>
      <c r="F4369" s="0" t="inlineStr">
        <is>
          <t>'802114664044</t>
        </is>
      </c>
      <c r="G4369" s="0" t="inlineStr">
        <is>
          <t>YOUTH</t>
        </is>
      </c>
      <c r="H4369" s="0" t="inlineStr">
        <is>
          <t>YXL</t>
        </is>
      </c>
      <c r="I4369" s="0">
        <v>52.99</v>
      </c>
      <c r="J4369" s="0">
        <v>4</v>
      </c>
    </row>
    <row r="4370" spans="1:10" customHeight="0">
      <c r="A4370" s="0">
        <f>HYPERLINK("https://dl.dropboxusercontent.com/scl/fi/ebeu5ce0hp7lu4usxk2au/114664-af.jpg?rlkey=3xolh3tl8sqw3k8y4skpk3rwg&amp;dl=0","Click to download Image")</f>
      </c>
      <c r="B4370" s="0">
        <f>HYPERLINK("https://dl.dropboxusercontent.com/scl/fi/5hc2vm2inm84yjgz58w8s/graphic-update22022-youth.jpg?rlkey=vfi316aep5j52fwyyxtabmlvl&amp;dl=0","Click to download SizeChart")</f>
      </c>
      <c r="C4370" s="0" t="inlineStr">
        <is>
          <t>Poppy Youth Hoodie</t>
        </is>
      </c>
      <c r="D4370" s="0" t="inlineStr">
        <is>
          <t>'114664</t>
        </is>
      </c>
      <c r="E4370" s="0" t="inlineStr">
        <is>
          <t>UNI POPPY Y GOLD STRIPES 12 PACK:114664Z-12PK</t>
        </is>
      </c>
      <c r="F4370" s="0" t="inlineStr">
        <is>
          <t>'802114664990</t>
        </is>
      </c>
      <c r="G4370" s="0" t="inlineStr">
        <is>
          <t>YOUTH</t>
        </is>
      </c>
      <c r="H4370" s="0" t="inlineStr">
        <is>
          <t>12 PACK</t>
        </is>
      </c>
      <c r="I4370" s="0">
        <v>611.88</v>
      </c>
      <c r="J4370" s="0">
        <v>0</v>
      </c>
    </row>
    <row r="4371" spans="1:10" customHeight="0">
      <c r="A4371" s="0">
        <f>HYPERLINK("https://dl.dropboxusercontent.com/scl/fi/2a8hx1m97mpro6pwacvh6/114664-af.jpg?rlkey=pc2o1cdis2ouyg47issd9rubh&amp;dl=0","Click to download Image")</f>
      </c>
      <c r="B4371" s="0">
        <f>HYPERLINK("https://dl.dropboxusercontent.com/scl/fi/aw2cydpy3s16qum3h18l0/graphic-update22022-toddler.jpg?rlkey=q5kd7zjma4e1bzg165c9xkhi5&amp;dl=0","Click to download SizeChart")</f>
      </c>
      <c r="C4371" s="0" t="inlineStr">
        <is>
          <t>Poppy Toddler Hoodie</t>
        </is>
      </c>
      <c r="D4371" s="0" t="inlineStr">
        <is>
          <t>'114904</t>
        </is>
      </c>
      <c r="E4371" s="0" t="inlineStr">
        <is>
          <t>UNI POPPY T GOLD STRIPES:114904A-2T</t>
        </is>
      </c>
      <c r="F4371" s="0" t="inlineStr">
        <is>
          <t>'802114904089</t>
        </is>
      </c>
      <c r="G4371" s="0" t="inlineStr">
        <is>
          <t>TODDLER</t>
        </is>
      </c>
      <c r="H4371" s="0" t="inlineStr">
        <is>
          <t>2T</t>
        </is>
      </c>
      <c r="I4371" s="0">
        <v>52.99</v>
      </c>
      <c r="J4371" s="0">
        <v>3</v>
      </c>
    </row>
    <row r="4372" spans="1:10" customHeight="0">
      <c r="A4372" s="0">
        <f>HYPERLINK("https://dl.dropboxusercontent.com/scl/fi/2a8hx1m97mpro6pwacvh6/114664-af.jpg?rlkey=pc2o1cdis2ouyg47issd9rubh&amp;dl=0","Click to download Image")</f>
      </c>
      <c r="B4372" s="0">
        <f>HYPERLINK("https://dl.dropboxusercontent.com/scl/fi/aw2cydpy3s16qum3h18l0/graphic-update22022-toddler.jpg?rlkey=q5kd7zjma4e1bzg165c9xkhi5&amp;dl=0","Click to download SizeChart")</f>
      </c>
      <c r="C4372" s="0" t="inlineStr">
        <is>
          <t>Poppy Toddler Hoodie</t>
        </is>
      </c>
      <c r="D4372" s="0" t="inlineStr">
        <is>
          <t>'114904</t>
        </is>
      </c>
      <c r="E4372" s="0" t="inlineStr">
        <is>
          <t>UNI POPPY T GOLD STRIPES:114904B-3T</t>
        </is>
      </c>
      <c r="F4372" s="0" t="inlineStr">
        <is>
          <t>'802114904096</t>
        </is>
      </c>
      <c r="G4372" s="0" t="inlineStr">
        <is>
          <t>TODDLER</t>
        </is>
      </c>
      <c r="H4372" s="0" t="inlineStr">
        <is>
          <t>3T</t>
        </is>
      </c>
      <c r="I4372" s="0">
        <v>52.99</v>
      </c>
      <c r="J4372" s="0">
        <v>3</v>
      </c>
    </row>
    <row r="4373" spans="1:10" customHeight="0">
      <c r="A4373" s="0">
        <f>HYPERLINK("https://dl.dropboxusercontent.com/scl/fi/2a8hx1m97mpro6pwacvh6/114664-af.jpg?rlkey=pc2o1cdis2ouyg47issd9rubh&amp;dl=0","Click to download Image")</f>
      </c>
      <c r="B4373" s="0">
        <f>HYPERLINK("https://dl.dropboxusercontent.com/scl/fi/aw2cydpy3s16qum3h18l0/graphic-update22022-toddler.jpg?rlkey=q5kd7zjma4e1bzg165c9xkhi5&amp;dl=0","Click to download SizeChart")</f>
      </c>
      <c r="C4373" s="0" t="inlineStr">
        <is>
          <t>Poppy Toddler Hoodie</t>
        </is>
      </c>
      <c r="D4373" s="0" t="inlineStr">
        <is>
          <t>'114904</t>
        </is>
      </c>
      <c r="E4373" s="0" t="inlineStr">
        <is>
          <t>UNI POPPY T GOLD STRIPES:114904C-4T</t>
        </is>
      </c>
      <c r="F4373" s="0" t="inlineStr">
        <is>
          <t>'802114904102</t>
        </is>
      </c>
      <c r="G4373" s="0" t="inlineStr">
        <is>
          <t>TODDLER</t>
        </is>
      </c>
      <c r="H4373" s="0" t="inlineStr">
        <is>
          <t>4T</t>
        </is>
      </c>
      <c r="I4373" s="0">
        <v>52.99</v>
      </c>
      <c r="J4373" s="0">
        <v>2</v>
      </c>
    </row>
    <row r="4374" spans="1:10" customHeight="0">
      <c r="A4374" s="0">
        <f>HYPERLINK("https://dl.dropboxusercontent.com/scl/fi/2a8hx1m97mpro6pwacvh6/114664-af.jpg?rlkey=pc2o1cdis2ouyg47issd9rubh&amp;dl=0","Click to download Image")</f>
      </c>
      <c r="B4374" s="0">
        <f>HYPERLINK("https://dl.dropboxusercontent.com/scl/fi/aw2cydpy3s16qum3h18l0/graphic-update22022-toddler.jpg?rlkey=q5kd7zjma4e1bzg165c9xkhi5&amp;dl=0","Click to download SizeChart")</f>
      </c>
      <c r="C4374" s="0" t="inlineStr">
        <is>
          <t>Poppy Toddler Hoodie</t>
        </is>
      </c>
      <c r="D4374" s="0" t="inlineStr">
        <is>
          <t>'114904</t>
        </is>
      </c>
      <c r="E4374" s="0" t="inlineStr">
        <is>
          <t>UNI POPPY T GOLD STRIPES:114904D-5T</t>
        </is>
      </c>
      <c r="F4374" s="0" t="inlineStr">
        <is>
          <t>'802114904119</t>
        </is>
      </c>
      <c r="G4374" s="0" t="inlineStr">
        <is>
          <t>TODDLER</t>
        </is>
      </c>
      <c r="H4374" s="0" t="inlineStr">
        <is>
          <t>5T</t>
        </is>
      </c>
      <c r="I4374" s="0">
        <v>52.99</v>
      </c>
      <c r="J4374" s="0">
        <v>3</v>
      </c>
    </row>
    <row r="4375" spans="1:10" customHeight="0">
      <c r="A4375" s="0">
        <f>HYPERLINK("https://dl.dropboxusercontent.com/scl/fi/2a8hx1m97mpro6pwacvh6/114664-af.jpg?rlkey=pc2o1cdis2ouyg47issd9rubh&amp;dl=0","Click to download Image")</f>
      </c>
      <c r="B4375" s="0">
        <f>HYPERLINK("https://dl.dropboxusercontent.com/scl/fi/aw2cydpy3s16qum3h18l0/graphic-update22022-toddler.jpg?rlkey=q5kd7zjma4e1bzg165c9xkhi5&amp;dl=0","Click to download SizeChart")</f>
      </c>
      <c r="C4375" s="0" t="inlineStr">
        <is>
          <t>Poppy Toddler Hoodie</t>
        </is>
      </c>
      <c r="D4375" s="0" t="inlineStr">
        <is>
          <t>'114904</t>
        </is>
      </c>
      <c r="E4375" s="0" t="inlineStr">
        <is>
          <t>UNI POPPY T GOLD STRIPES 12 PACK:114904Z-12PK</t>
        </is>
      </c>
      <c r="F4375" s="0" t="inlineStr">
        <is>
          <t>'802114904997</t>
        </is>
      </c>
      <c r="G4375" s="0" t="inlineStr">
        <is>
          <t>TODDLER</t>
        </is>
      </c>
      <c r="H4375" s="0" t="inlineStr">
        <is>
          <t>12 PACK</t>
        </is>
      </c>
      <c r="I4375" s="0">
        <v>611.88</v>
      </c>
      <c r="J4375" s="0">
        <v>0</v>
      </c>
    </row>
    <row r="4376" spans="1:10" customHeight="0">
      <c r="A4376" s="0">
        <f>HYPERLINK("https://dl.dropboxusercontent.com/scl/fi/dnd1b5mphvo77kuqrvuan/113004-af.jpg?rlkey=t80hcf8vorlz7x264hml1ct6p&amp;dl=0","Click to download Image")</f>
      </c>
      <c r="B4376" s="0">
        <f>HYPERLINK("https://dl.dropboxusercontent.com/scl/fi/aw2cydpy3s16qum3h18l0/graphic-update22022-toddler.jpg?rlkey=q5kd7zjma4e1bzg165c9xkhi5&amp;dl=0","Click to download SizeChart")</f>
      </c>
      <c r="C4376" s="0" t="inlineStr">
        <is>
          <t>Poppy Toddler Hoodie</t>
        </is>
      </c>
      <c r="D4376" s="0" t="inlineStr">
        <is>
          <t>'114906</t>
        </is>
      </c>
      <c r="E4376" s="0" t="inlineStr">
        <is>
          <t>ISU POPPY T GOLD STRIPES:114906A-2T</t>
        </is>
      </c>
      <c r="F4376" s="0" t="inlineStr">
        <is>
          <t>'801114906086</t>
        </is>
      </c>
      <c r="G4376" s="0" t="inlineStr">
        <is>
          <t>TODDLER</t>
        </is>
      </c>
      <c r="H4376" s="0" t="inlineStr">
        <is>
          <t>2T</t>
        </is>
      </c>
      <c r="I4376" s="0">
        <v>52.99</v>
      </c>
      <c r="J4376" s="0">
        <v>4</v>
      </c>
    </row>
    <row r="4377" spans="1:10" customHeight="0">
      <c r="A4377" s="0">
        <f>HYPERLINK("https://dl.dropboxusercontent.com/scl/fi/dnd1b5mphvo77kuqrvuan/113004-af.jpg?rlkey=t80hcf8vorlz7x264hml1ct6p&amp;dl=0","Click to download Image")</f>
      </c>
      <c r="B4377" s="0">
        <f>HYPERLINK("https://dl.dropboxusercontent.com/scl/fi/aw2cydpy3s16qum3h18l0/graphic-update22022-toddler.jpg?rlkey=q5kd7zjma4e1bzg165c9xkhi5&amp;dl=0","Click to download SizeChart")</f>
      </c>
      <c r="C4377" s="0" t="inlineStr">
        <is>
          <t>Poppy Toddler Hoodie</t>
        </is>
      </c>
      <c r="D4377" s="0" t="inlineStr">
        <is>
          <t>'114906</t>
        </is>
      </c>
      <c r="E4377" s="0" t="inlineStr">
        <is>
          <t>ISU POPPY T GOLD STRIPES:114906B-3T</t>
        </is>
      </c>
      <c r="F4377" s="0" t="inlineStr">
        <is>
          <t>'801114906093</t>
        </is>
      </c>
      <c r="G4377" s="0" t="inlineStr">
        <is>
          <t>TODDLER</t>
        </is>
      </c>
      <c r="H4377" s="0" t="inlineStr">
        <is>
          <t>3T</t>
        </is>
      </c>
      <c r="I4377" s="0">
        <v>52.99</v>
      </c>
      <c r="J4377" s="0">
        <v>6</v>
      </c>
    </row>
    <row r="4378" spans="1:10" customHeight="0">
      <c r="A4378" s="0">
        <f>HYPERLINK("https://dl.dropboxusercontent.com/scl/fi/dnd1b5mphvo77kuqrvuan/113004-af.jpg?rlkey=t80hcf8vorlz7x264hml1ct6p&amp;dl=0","Click to download Image")</f>
      </c>
      <c r="B4378" s="0">
        <f>HYPERLINK("https://dl.dropboxusercontent.com/scl/fi/aw2cydpy3s16qum3h18l0/graphic-update22022-toddler.jpg?rlkey=q5kd7zjma4e1bzg165c9xkhi5&amp;dl=0","Click to download SizeChart")</f>
      </c>
      <c r="C4378" s="0" t="inlineStr">
        <is>
          <t>Poppy Toddler Hoodie</t>
        </is>
      </c>
      <c r="D4378" s="0" t="inlineStr">
        <is>
          <t>'114906</t>
        </is>
      </c>
      <c r="E4378" s="0" t="inlineStr">
        <is>
          <t>ISU POPPY T GOLD STRIPES:114906C-4T</t>
        </is>
      </c>
      <c r="F4378" s="0" t="inlineStr">
        <is>
          <t>'801114906109</t>
        </is>
      </c>
      <c r="G4378" s="0" t="inlineStr">
        <is>
          <t>TODDLER</t>
        </is>
      </c>
      <c r="H4378" s="0" t="inlineStr">
        <is>
          <t>4T</t>
        </is>
      </c>
      <c r="I4378" s="0">
        <v>52.99</v>
      </c>
      <c r="J4378" s="0">
        <v>6</v>
      </c>
    </row>
    <row r="4379" spans="1:10" customHeight="0">
      <c r="A4379" s="0">
        <f>HYPERLINK("https://dl.dropboxusercontent.com/scl/fi/dnd1b5mphvo77kuqrvuan/113004-af.jpg?rlkey=t80hcf8vorlz7x264hml1ct6p&amp;dl=0","Click to download Image")</f>
      </c>
      <c r="B4379" s="0">
        <f>HYPERLINK("https://dl.dropboxusercontent.com/scl/fi/aw2cydpy3s16qum3h18l0/graphic-update22022-toddler.jpg?rlkey=q5kd7zjma4e1bzg165c9xkhi5&amp;dl=0","Click to download SizeChart")</f>
      </c>
      <c r="C4379" s="0" t="inlineStr">
        <is>
          <t>Poppy Toddler Hoodie</t>
        </is>
      </c>
      <c r="D4379" s="0" t="inlineStr">
        <is>
          <t>'114906</t>
        </is>
      </c>
      <c r="E4379" s="0" t="inlineStr">
        <is>
          <t>ISU POPPY T GOLD STRIPES:114906D-5T</t>
        </is>
      </c>
      <c r="F4379" s="0" t="inlineStr">
        <is>
          <t>'801114906116</t>
        </is>
      </c>
      <c r="G4379" s="0" t="inlineStr">
        <is>
          <t>TODDLER</t>
        </is>
      </c>
      <c r="H4379" s="0" t="inlineStr">
        <is>
          <t>5T</t>
        </is>
      </c>
      <c r="I4379" s="0">
        <v>52.99</v>
      </c>
      <c r="J4379" s="0">
        <v>3</v>
      </c>
    </row>
    <row r="4380" spans="1:10" customHeight="0">
      <c r="A4380" s="0">
        <f>HYPERLINK("https://dl.dropboxusercontent.com/scl/fi/dnd1b5mphvo77kuqrvuan/113004-af.jpg?rlkey=t80hcf8vorlz7x264hml1ct6p&amp;dl=0","Click to download Image")</f>
      </c>
      <c r="B4380" s="0">
        <f>HYPERLINK("https://dl.dropboxusercontent.com/scl/fi/aw2cydpy3s16qum3h18l0/graphic-update22022-toddler.jpg?rlkey=q5kd7zjma4e1bzg165c9xkhi5&amp;dl=0","Click to download SizeChart")</f>
      </c>
      <c r="C4380" s="0" t="inlineStr">
        <is>
          <t>Poppy Toddler Hoodie</t>
        </is>
      </c>
      <c r="D4380" s="0" t="inlineStr">
        <is>
          <t>'114906</t>
        </is>
      </c>
      <c r="E4380" s="0" t="inlineStr">
        <is>
          <t>ISU POPPY T GOLD STRIPES 12 PACK:114906Z-12PK</t>
        </is>
      </c>
      <c r="F4380" s="0" t="inlineStr">
        <is>
          <t>'801114906994</t>
        </is>
      </c>
      <c r="G4380" s="0" t="inlineStr">
        <is>
          <t>TODDLER</t>
        </is>
      </c>
      <c r="H4380" s="0" t="inlineStr">
        <is>
          <t>12 PACK</t>
        </is>
      </c>
      <c r="I4380" s="0">
        <v>611.88</v>
      </c>
      <c r="J4380" s="0">
        <v>0</v>
      </c>
    </row>
    <row r="4381" spans="1:10" customHeight="0">
      <c r="A4381" s="0">
        <f>HYPERLINK("https://dl.dropboxusercontent.com/scl/fi/fqqpd0xetmcmrtm323j5k/isu-blk-af.jpg?rlkey=nyb053xokjwwjyq981hdcjydn&amp;dl=0","Click to download Image")</f>
      </c>
      <c r="C4381" s="0" t="inlineStr">
        <is>
          <t>Monika Women's Shorts</t>
        </is>
      </c>
      <c r="D4381" s="0" t="inlineStr">
        <is>
          <t>'110080</t>
        </is>
      </c>
      <c r="E4381" s="0" t="inlineStr">
        <is>
          <t>ISU MONIKA BLACK:110080A-S</t>
        </is>
      </c>
      <c r="F4381" s="0" t="inlineStr">
        <is>
          <t>'801110080018</t>
        </is>
      </c>
      <c r="G4381" s="0" t="inlineStr">
        <is>
          <t>WOMENS</t>
        </is>
      </c>
      <c r="H4381" s="0" t="inlineStr">
        <is>
          <t>S</t>
        </is>
      </c>
      <c r="I4381" s="0">
        <v>28.99</v>
      </c>
      <c r="J4381" s="0">
        <v>11</v>
      </c>
    </row>
    <row r="4382" spans="1:10" customHeight="0">
      <c r="A4382" s="0">
        <f>HYPERLINK("https://dl.dropboxusercontent.com/scl/fi/fqqpd0xetmcmrtm323j5k/isu-blk-af.jpg?rlkey=nyb053xokjwwjyq981hdcjydn&amp;dl=0","Click to download Image")</f>
      </c>
      <c r="C4382" s="0" t="inlineStr">
        <is>
          <t>Monika Women's Shorts</t>
        </is>
      </c>
      <c r="D4382" s="0" t="inlineStr">
        <is>
          <t>'110080</t>
        </is>
      </c>
      <c r="E4382" s="0" t="inlineStr">
        <is>
          <t>ISU MONIKA BLACK:110080B-M</t>
        </is>
      </c>
      <c r="F4382" s="0" t="inlineStr">
        <is>
          <t>'801110080025</t>
        </is>
      </c>
      <c r="G4382" s="0" t="inlineStr">
        <is>
          <t>WOMENS</t>
        </is>
      </c>
      <c r="H4382" s="0" t="inlineStr">
        <is>
          <t>M</t>
        </is>
      </c>
      <c r="I4382" s="0">
        <v>28.99</v>
      </c>
      <c r="J4382" s="0">
        <v>7</v>
      </c>
    </row>
    <row r="4383" spans="1:10" customHeight="0">
      <c r="A4383" s="0">
        <f>HYPERLINK("https://dl.dropboxusercontent.com/scl/fi/fqqpd0xetmcmrtm323j5k/isu-blk-af.jpg?rlkey=nyb053xokjwwjyq981hdcjydn&amp;dl=0","Click to download Image")</f>
      </c>
      <c r="C4383" s="0" t="inlineStr">
        <is>
          <t>Monika Women's Shorts</t>
        </is>
      </c>
      <c r="D4383" s="0" t="inlineStr">
        <is>
          <t>'110080</t>
        </is>
      </c>
      <c r="E4383" s="0" t="inlineStr">
        <is>
          <t>ISU MONIKA BLACK:110080C-L</t>
        </is>
      </c>
      <c r="F4383" s="0" t="inlineStr">
        <is>
          <t>'801110080032</t>
        </is>
      </c>
      <c r="G4383" s="0" t="inlineStr">
        <is>
          <t>WOMENS</t>
        </is>
      </c>
      <c r="H4383" s="0" t="inlineStr">
        <is>
          <t>L</t>
        </is>
      </c>
      <c r="I4383" s="0">
        <v>28.99</v>
      </c>
      <c r="J4383" s="0">
        <v>2</v>
      </c>
    </row>
    <row r="4384" spans="1:10" customHeight="0">
      <c r="A4384" s="0">
        <f>HYPERLINK("https://dl.dropboxusercontent.com/scl/fi/fqqpd0xetmcmrtm323j5k/isu-blk-af.jpg?rlkey=nyb053xokjwwjyq981hdcjydn&amp;dl=0","Click to download Image")</f>
      </c>
      <c r="C4384" s="0" t="inlineStr">
        <is>
          <t>Monika Women's Shorts</t>
        </is>
      </c>
      <c r="D4384" s="0" t="inlineStr">
        <is>
          <t>'110080</t>
        </is>
      </c>
      <c r="E4384" s="0" t="inlineStr">
        <is>
          <t>ISU MONIKA BLACK:110080D-XL</t>
        </is>
      </c>
      <c r="F4384" s="0" t="inlineStr">
        <is>
          <t>'801110080049</t>
        </is>
      </c>
      <c r="G4384" s="0" t="inlineStr">
        <is>
          <t>WOMENS</t>
        </is>
      </c>
      <c r="H4384" s="0" t="inlineStr">
        <is>
          <t>XL</t>
        </is>
      </c>
      <c r="I4384" s="0">
        <v>28.99</v>
      </c>
      <c r="J4384" s="0">
        <v>1</v>
      </c>
    </row>
    <row r="4385" spans="1:10" customHeight="0">
      <c r="A4385" s="0">
        <f>HYPERLINK("https://dl.dropboxusercontent.com/scl/fi/fqqpd0xetmcmrtm323j5k/isu-blk-af.jpg?rlkey=nyb053xokjwwjyq981hdcjydn&amp;dl=0","Click to download Image")</f>
      </c>
      <c r="C4385" s="0" t="inlineStr">
        <is>
          <t>Monika Women's Shorts</t>
        </is>
      </c>
      <c r="D4385" s="0" t="inlineStr">
        <is>
          <t>'110080</t>
        </is>
      </c>
      <c r="E4385" s="0" t="inlineStr">
        <is>
          <t>ISU MONIKA BLACK:110080E-2XL</t>
        </is>
      </c>
      <c r="F4385" s="0" t="inlineStr">
        <is>
          <t>'801110080056</t>
        </is>
      </c>
      <c r="G4385" s="0" t="inlineStr">
        <is>
          <t>WOMENS</t>
        </is>
      </c>
      <c r="H4385" s="0" t="inlineStr">
        <is>
          <t>2XL</t>
        </is>
      </c>
      <c r="I4385" s="0">
        <v>30.99</v>
      </c>
      <c r="J4385" s="0">
        <v>1</v>
      </c>
    </row>
    <row r="4386" spans="1:10" customHeight="0">
      <c r="A4386" s="0">
        <f>HYPERLINK("https://dl.dropboxusercontent.com/scl/fi/fqqpd0xetmcmrtm323j5k/isu-blk-af.jpg?rlkey=nyb053xokjwwjyq981hdcjydn&amp;dl=0","Click to download Image")</f>
      </c>
      <c r="C4386" s="0" t="inlineStr">
        <is>
          <t>Monika Women's Shorts</t>
        </is>
      </c>
      <c r="D4386" s="0" t="inlineStr">
        <is>
          <t>'110080</t>
        </is>
      </c>
      <c r="E4386" s="0" t="inlineStr">
        <is>
          <t>ISU MONIKA BLACK:110080F-3XL</t>
        </is>
      </c>
      <c r="F4386" s="0" t="inlineStr">
        <is>
          <t>'801110080063</t>
        </is>
      </c>
      <c r="G4386" s="0" t="inlineStr">
        <is>
          <t>WOMENS</t>
        </is>
      </c>
      <c r="H4386" s="0" t="inlineStr">
        <is>
          <t>3XL</t>
        </is>
      </c>
      <c r="I4386" s="0">
        <v>30.99</v>
      </c>
      <c r="J4386" s="0">
        <v>0</v>
      </c>
    </row>
    <row r="4387" spans="1:10" customHeight="0">
      <c r="A4387" s="0">
        <f>HYPERLINK("https://dl.dropboxusercontent.com/scl/fi/fqqpd0xetmcmrtm323j5k/isu-blk-af.jpg?rlkey=nyb053xokjwwjyq981hdcjydn&amp;dl=0","Click to download Image")</f>
      </c>
      <c r="C4387" s="0" t="inlineStr">
        <is>
          <t>Monika Women's Shorts</t>
        </is>
      </c>
      <c r="D4387" s="0" t="inlineStr">
        <is>
          <t>'110080</t>
        </is>
      </c>
      <c r="E4387" s="0" t="inlineStr">
        <is>
          <t>ISU MONIKA BLACK 12 PACK:110080Z-12PK</t>
        </is>
      </c>
      <c r="F4387" s="0" t="inlineStr">
        <is>
          <t>'801110080995</t>
        </is>
      </c>
      <c r="G4387" s="0" t="inlineStr">
        <is>
          <t>WOMENS</t>
        </is>
      </c>
      <c r="H4387" s="0" t="inlineStr">
        <is>
          <t>12 PACK</t>
        </is>
      </c>
      <c r="I4387" s="0">
        <v>323.88</v>
      </c>
      <c r="J4387" s="0">
        <v>0</v>
      </c>
    </row>
    <row r="4388" spans="1:10" customHeight="0">
      <c r="A4388" s="0">
        <f>HYPERLINK("https://dl.dropboxusercontent.com/scl/fi/xyn7a9br3h25g07j2u1f3/ia-blk-af.jpg?rlkey=ksavh0ao01dlv6w47mvo2bq4x&amp;dl=0","Click to download Image")</f>
      </c>
      <c r="C4388" s="0" t="inlineStr">
        <is>
          <t>Monika Women's Shorts</t>
        </is>
      </c>
      <c r="D4388" s="0" t="inlineStr">
        <is>
          <t>'110685</t>
        </is>
      </c>
      <c r="E4388" s="0" t="inlineStr">
        <is>
          <t>IOWA MONIKA BLACK:110685A-S</t>
        </is>
      </c>
      <c r="F4388" s="0" t="inlineStr">
        <is>
          <t>'800110685018</t>
        </is>
      </c>
      <c r="G4388" s="0" t="inlineStr">
        <is>
          <t>WOMENS</t>
        </is>
      </c>
      <c r="H4388" s="0" t="inlineStr">
        <is>
          <t>S</t>
        </is>
      </c>
      <c r="I4388" s="0">
        <v>28.99</v>
      </c>
      <c r="J4388" s="0">
        <v>0</v>
      </c>
    </row>
    <row r="4389" spans="1:10" customHeight="0">
      <c r="A4389" s="0">
        <f>HYPERLINK("https://dl.dropboxusercontent.com/scl/fi/xyn7a9br3h25g07j2u1f3/ia-blk-af.jpg?rlkey=ksavh0ao01dlv6w47mvo2bq4x&amp;dl=0","Click to download Image")</f>
      </c>
      <c r="C4389" s="0" t="inlineStr">
        <is>
          <t>Monika Women's Shorts</t>
        </is>
      </c>
      <c r="D4389" s="0" t="inlineStr">
        <is>
          <t>'110685</t>
        </is>
      </c>
      <c r="E4389" s="0" t="inlineStr">
        <is>
          <t>IOWA MONIKA BLACK:110685B-M</t>
        </is>
      </c>
      <c r="F4389" s="0" t="inlineStr">
        <is>
          <t>'800110685025</t>
        </is>
      </c>
      <c r="G4389" s="0" t="inlineStr">
        <is>
          <t>WOMENS</t>
        </is>
      </c>
      <c r="H4389" s="0" t="inlineStr">
        <is>
          <t>M</t>
        </is>
      </c>
      <c r="I4389" s="0">
        <v>28.99</v>
      </c>
      <c r="J4389" s="0">
        <v>15</v>
      </c>
    </row>
    <row r="4390" spans="1:10" customHeight="0">
      <c r="A4390" s="0">
        <f>HYPERLINK("https://dl.dropboxusercontent.com/scl/fi/xyn7a9br3h25g07j2u1f3/ia-blk-af.jpg?rlkey=ksavh0ao01dlv6w47mvo2bq4x&amp;dl=0","Click to download Image")</f>
      </c>
      <c r="C4390" s="0" t="inlineStr">
        <is>
          <t>Monika Women's Shorts</t>
        </is>
      </c>
      <c r="D4390" s="0" t="inlineStr">
        <is>
          <t>'110685</t>
        </is>
      </c>
      <c r="E4390" s="0" t="inlineStr">
        <is>
          <t>IOWA MONIKA BLACK:110685C-L</t>
        </is>
      </c>
      <c r="F4390" s="0" t="inlineStr">
        <is>
          <t>'800110685032</t>
        </is>
      </c>
      <c r="G4390" s="0" t="inlineStr">
        <is>
          <t>WOMENS</t>
        </is>
      </c>
      <c r="H4390" s="0" t="inlineStr">
        <is>
          <t>L</t>
        </is>
      </c>
      <c r="I4390" s="0">
        <v>28.99</v>
      </c>
      <c r="J4390" s="0">
        <v>30</v>
      </c>
    </row>
    <row r="4391" spans="1:10" customHeight="0">
      <c r="A4391" s="0">
        <f>HYPERLINK("https://dl.dropboxusercontent.com/scl/fi/xyn7a9br3h25g07j2u1f3/ia-blk-af.jpg?rlkey=ksavh0ao01dlv6w47mvo2bq4x&amp;dl=0","Click to download Image")</f>
      </c>
      <c r="C4391" s="0" t="inlineStr">
        <is>
          <t>Monika Women's Shorts</t>
        </is>
      </c>
      <c r="D4391" s="0" t="inlineStr">
        <is>
          <t>'110685</t>
        </is>
      </c>
      <c r="E4391" s="0" t="inlineStr">
        <is>
          <t>IOWA MONIKA BLACK:110685D-XL</t>
        </is>
      </c>
      <c r="F4391" s="0" t="inlineStr">
        <is>
          <t>'800110685049</t>
        </is>
      </c>
      <c r="G4391" s="0" t="inlineStr">
        <is>
          <t>WOMENS</t>
        </is>
      </c>
      <c r="H4391" s="0" t="inlineStr">
        <is>
          <t>XL</t>
        </is>
      </c>
      <c r="I4391" s="0">
        <v>28.99</v>
      </c>
      <c r="J4391" s="0">
        <v>0</v>
      </c>
    </row>
    <row r="4392" spans="1:10" customHeight="0">
      <c r="A4392" s="0">
        <f>HYPERLINK("https://dl.dropboxusercontent.com/scl/fi/xyn7a9br3h25g07j2u1f3/ia-blk-af.jpg?rlkey=ksavh0ao01dlv6w47mvo2bq4x&amp;dl=0","Click to download Image")</f>
      </c>
      <c r="C4392" s="0" t="inlineStr">
        <is>
          <t>Monika Women's Shorts</t>
        </is>
      </c>
      <c r="D4392" s="0" t="inlineStr">
        <is>
          <t>'110685</t>
        </is>
      </c>
      <c r="E4392" s="0" t="inlineStr">
        <is>
          <t>IOWA MONIKA BLACK:110685E-2XL</t>
        </is>
      </c>
      <c r="F4392" s="0" t="inlineStr">
        <is>
          <t>'800110685056</t>
        </is>
      </c>
      <c r="G4392" s="0" t="inlineStr">
        <is>
          <t>WOMENS</t>
        </is>
      </c>
      <c r="H4392" s="0" t="inlineStr">
        <is>
          <t>2XL</t>
        </is>
      </c>
      <c r="I4392" s="0">
        <v>30.99</v>
      </c>
      <c r="J4392" s="0">
        <v>5</v>
      </c>
    </row>
    <row r="4393" spans="1:10" customHeight="0">
      <c r="A4393" s="0">
        <f>HYPERLINK("https://dl.dropboxusercontent.com/scl/fi/xyn7a9br3h25g07j2u1f3/ia-blk-af.jpg?rlkey=ksavh0ao01dlv6w47mvo2bq4x&amp;dl=0","Click to download Image")</f>
      </c>
      <c r="C4393" s="0" t="inlineStr">
        <is>
          <t>Monika Women's Shorts</t>
        </is>
      </c>
      <c r="D4393" s="0" t="inlineStr">
        <is>
          <t>'110685</t>
        </is>
      </c>
      <c r="E4393" s="0" t="inlineStr">
        <is>
          <t>IOWA MONIKA BLACK:110685F-3XL</t>
        </is>
      </c>
      <c r="F4393" s="0" t="inlineStr">
        <is>
          <t>'800110685063</t>
        </is>
      </c>
      <c r="G4393" s="0" t="inlineStr">
        <is>
          <t>WOMENS</t>
        </is>
      </c>
      <c r="H4393" s="0" t="inlineStr">
        <is>
          <t>3XL</t>
        </is>
      </c>
      <c r="I4393" s="0">
        <v>30.99</v>
      </c>
      <c r="J4393" s="0">
        <v>3</v>
      </c>
    </row>
    <row r="4394" spans="1:10" customHeight="0">
      <c r="A4394" s="0">
        <f>HYPERLINK("https://dl.dropboxusercontent.com/scl/fi/xyn7a9br3h25g07j2u1f3/ia-blk-af.jpg?rlkey=ksavh0ao01dlv6w47mvo2bq4x&amp;dl=0","Click to download Image")</f>
      </c>
      <c r="C4394" s="0" t="inlineStr">
        <is>
          <t>Monika Women's Shorts</t>
        </is>
      </c>
      <c r="D4394" s="0" t="inlineStr">
        <is>
          <t>'110685</t>
        </is>
      </c>
      <c r="E4394" s="0" t="inlineStr">
        <is>
          <t>IOWA MONIKA BLACK 12 PACK:110685Z-12PK</t>
        </is>
      </c>
      <c r="F4394" s="0" t="inlineStr">
        <is>
          <t>'800110685995</t>
        </is>
      </c>
      <c r="G4394" s="0" t="inlineStr">
        <is>
          <t>WOMENS</t>
        </is>
      </c>
      <c r="H4394" s="0" t="inlineStr">
        <is>
          <t>12 PACK</t>
        </is>
      </c>
      <c r="I4394" s="0">
        <v>323.88</v>
      </c>
      <c r="J4394" s="0">
        <v>0</v>
      </c>
    </row>
    <row r="4395" spans="1:10" customHeight="0">
      <c r="A4395" s="0">
        <f>HYPERLINK("https://dl.dropboxusercontent.com/scl/fi/tqjegxyskl5j1tp09kjdh/uni-dg-af.png?rlkey=yutlrzbrrljxwursze8z8b9lk&amp;dl=0","Click to download Image")</f>
      </c>
      <c r="C4395" s="0" t="inlineStr">
        <is>
          <t>Monika Women's Shorts</t>
        </is>
      </c>
      <c r="D4395" s="0" t="inlineStr">
        <is>
          <t>'111294</t>
        </is>
      </c>
      <c r="E4395" s="0" t="inlineStr">
        <is>
          <t>UNI MONIKA DARK GREY:111294A-S</t>
        </is>
      </c>
      <c r="F4395" s="0" t="inlineStr">
        <is>
          <t>'802111294015</t>
        </is>
      </c>
      <c r="G4395" s="0" t="inlineStr">
        <is>
          <t>WOMENS</t>
        </is>
      </c>
      <c r="H4395" s="0" t="inlineStr">
        <is>
          <t>S</t>
        </is>
      </c>
      <c r="I4395" s="0">
        <v>28.99</v>
      </c>
      <c r="J4395" s="0">
        <v>7</v>
      </c>
    </row>
    <row r="4396" spans="1:10" customHeight="0">
      <c r="A4396" s="0">
        <f>HYPERLINK("https://dl.dropboxusercontent.com/scl/fi/tqjegxyskl5j1tp09kjdh/uni-dg-af.png?rlkey=yutlrzbrrljxwursze8z8b9lk&amp;dl=0","Click to download Image")</f>
      </c>
      <c r="C4396" s="0" t="inlineStr">
        <is>
          <t>Monika Women's Shorts</t>
        </is>
      </c>
      <c r="D4396" s="0" t="inlineStr">
        <is>
          <t>'111294</t>
        </is>
      </c>
      <c r="E4396" s="0" t="inlineStr">
        <is>
          <t>UNI MONIKA DARK GREY:111294B-M</t>
        </is>
      </c>
      <c r="F4396" s="0" t="inlineStr">
        <is>
          <t>'802111294022</t>
        </is>
      </c>
      <c r="G4396" s="0" t="inlineStr">
        <is>
          <t>WOMENS</t>
        </is>
      </c>
      <c r="H4396" s="0" t="inlineStr">
        <is>
          <t>M</t>
        </is>
      </c>
      <c r="I4396" s="0">
        <v>28.99</v>
      </c>
      <c r="J4396" s="0">
        <v>16</v>
      </c>
    </row>
    <row r="4397" spans="1:10" customHeight="0">
      <c r="A4397" s="0">
        <f>HYPERLINK("https://dl.dropboxusercontent.com/scl/fi/tqjegxyskl5j1tp09kjdh/uni-dg-af.png?rlkey=yutlrzbrrljxwursze8z8b9lk&amp;dl=0","Click to download Image")</f>
      </c>
      <c r="C4397" s="0" t="inlineStr">
        <is>
          <t>Monika Women's Shorts</t>
        </is>
      </c>
      <c r="D4397" s="0" t="inlineStr">
        <is>
          <t>'111294</t>
        </is>
      </c>
      <c r="E4397" s="0" t="inlineStr">
        <is>
          <t>UNI MONIKA DARK GREY:111294C-L</t>
        </is>
      </c>
      <c r="F4397" s="0" t="inlineStr">
        <is>
          <t>'802111294039</t>
        </is>
      </c>
      <c r="G4397" s="0" t="inlineStr">
        <is>
          <t>WOMENS</t>
        </is>
      </c>
      <c r="H4397" s="0" t="inlineStr">
        <is>
          <t>L</t>
        </is>
      </c>
      <c r="I4397" s="0">
        <v>28.99</v>
      </c>
      <c r="J4397" s="0">
        <v>13</v>
      </c>
    </row>
    <row r="4398" spans="1:10" customHeight="0">
      <c r="A4398" s="0">
        <f>HYPERLINK("https://dl.dropboxusercontent.com/scl/fi/tqjegxyskl5j1tp09kjdh/uni-dg-af.png?rlkey=yutlrzbrrljxwursze8z8b9lk&amp;dl=0","Click to download Image")</f>
      </c>
      <c r="C4398" s="0" t="inlineStr">
        <is>
          <t>Monika Women's Shorts</t>
        </is>
      </c>
      <c r="D4398" s="0" t="inlineStr">
        <is>
          <t>'111294</t>
        </is>
      </c>
      <c r="E4398" s="0" t="inlineStr">
        <is>
          <t>UNI MONIKA DARK GREY:111294D-XL</t>
        </is>
      </c>
      <c r="F4398" s="0" t="inlineStr">
        <is>
          <t>'802111294046</t>
        </is>
      </c>
      <c r="G4398" s="0" t="inlineStr">
        <is>
          <t>WOMENS</t>
        </is>
      </c>
      <c r="H4398" s="0" t="inlineStr">
        <is>
          <t>XL</t>
        </is>
      </c>
      <c r="I4398" s="0">
        <v>28.99</v>
      </c>
      <c r="J4398" s="0">
        <v>8</v>
      </c>
    </row>
    <row r="4399" spans="1:10" customHeight="0">
      <c r="A4399" s="0">
        <f>HYPERLINK("https://dl.dropboxusercontent.com/scl/fi/tqjegxyskl5j1tp09kjdh/uni-dg-af.png?rlkey=yutlrzbrrljxwursze8z8b9lk&amp;dl=0","Click to download Image")</f>
      </c>
      <c r="C4399" s="0" t="inlineStr">
        <is>
          <t>Monika Women's Shorts</t>
        </is>
      </c>
      <c r="D4399" s="0" t="inlineStr">
        <is>
          <t>'111294</t>
        </is>
      </c>
      <c r="E4399" s="0" t="inlineStr">
        <is>
          <t>UNI MONIKA DARK GREY:111294E-2XL</t>
        </is>
      </c>
      <c r="F4399" s="0" t="inlineStr">
        <is>
          <t>'802111294053</t>
        </is>
      </c>
      <c r="G4399" s="0" t="inlineStr">
        <is>
          <t>WOMENS</t>
        </is>
      </c>
      <c r="H4399" s="0" t="inlineStr">
        <is>
          <t>2XL</t>
        </is>
      </c>
      <c r="I4399" s="0">
        <v>30.99</v>
      </c>
      <c r="J4399" s="0">
        <v>3</v>
      </c>
    </row>
    <row r="4400" spans="1:10" customHeight="0">
      <c r="A4400" s="0">
        <f>HYPERLINK("https://dl.dropboxusercontent.com/scl/fi/tqjegxyskl5j1tp09kjdh/uni-dg-af.png?rlkey=yutlrzbrrljxwursze8z8b9lk&amp;dl=0","Click to download Image")</f>
      </c>
      <c r="C4400" s="0" t="inlineStr">
        <is>
          <t>Monika Women's Shorts</t>
        </is>
      </c>
      <c r="D4400" s="0" t="inlineStr">
        <is>
          <t>'111294</t>
        </is>
      </c>
      <c r="E4400" s="0" t="inlineStr">
        <is>
          <t>UNI MONIKA DARK GREY:111294F-3XL</t>
        </is>
      </c>
      <c r="F4400" s="0" t="inlineStr">
        <is>
          <t>'802111294060</t>
        </is>
      </c>
      <c r="G4400" s="0" t="inlineStr">
        <is>
          <t>WOMENS</t>
        </is>
      </c>
      <c r="H4400" s="0" t="inlineStr">
        <is>
          <t>3XL</t>
        </is>
      </c>
      <c r="I4400" s="0">
        <v>30.99</v>
      </c>
      <c r="J4400" s="0">
        <v>1</v>
      </c>
    </row>
    <row r="4401" spans="1:10" customHeight="0">
      <c r="A4401" s="0">
        <f>HYPERLINK("https://dl.dropboxusercontent.com/scl/fi/tqjegxyskl5j1tp09kjdh/uni-dg-af.png?rlkey=yutlrzbrrljxwursze8z8b9lk&amp;dl=0","Click to download Image")</f>
      </c>
      <c r="C4401" s="0" t="inlineStr">
        <is>
          <t>Monika Women's Shorts</t>
        </is>
      </c>
      <c r="D4401" s="0" t="inlineStr">
        <is>
          <t>'111294</t>
        </is>
      </c>
      <c r="E4401" s="0" t="inlineStr">
        <is>
          <t>UNI MONIKA DARK GREY 12 PACK:111294Z-12PK</t>
        </is>
      </c>
      <c r="F4401" s="0" t="inlineStr">
        <is>
          <t>'802111294992</t>
        </is>
      </c>
      <c r="G4401" s="0" t="inlineStr">
        <is>
          <t>WOMENS</t>
        </is>
      </c>
      <c r="H4401" s="0" t="inlineStr">
        <is>
          <t>12 PACK</t>
        </is>
      </c>
      <c r="I4401" s="0">
        <v>323.88</v>
      </c>
      <c r="J4401" s="0">
        <v>0</v>
      </c>
    </row>
    <row r="4402" spans="1:10" customHeight="0">
      <c r="A4402" s="0">
        <f>HYPERLINK("https://dl.dropboxusercontent.com/scl/fi/ns73u272syi40dru3tita/isu-dg-af.png?rlkey=onu3vr8ad2s7rsp4qqsz1whm7&amp;dl=0","Click to download Image")</f>
      </c>
      <c r="C4402" s="0" t="inlineStr">
        <is>
          <t>Monika Women's Shorts</t>
        </is>
      </c>
      <c r="D4402" s="0" t="inlineStr">
        <is>
          <t>'111293</t>
        </is>
      </c>
      <c r="E4402" s="0" t="inlineStr">
        <is>
          <t>ISU MONIKA DK GREY:111293A-S</t>
        </is>
      </c>
      <c r="F4402" s="0" t="inlineStr">
        <is>
          <t>'801111293011</t>
        </is>
      </c>
      <c r="G4402" s="0" t="inlineStr">
        <is>
          <t>WOMENS</t>
        </is>
      </c>
      <c r="H4402" s="0" t="inlineStr">
        <is>
          <t>S</t>
        </is>
      </c>
      <c r="I4402" s="0">
        <v>28.99</v>
      </c>
      <c r="J4402" s="0">
        <v>45</v>
      </c>
    </row>
    <row r="4403" spans="1:10" customHeight="0">
      <c r="A4403" s="0">
        <f>HYPERLINK("https://dl.dropboxusercontent.com/scl/fi/ns73u272syi40dru3tita/isu-dg-af.png?rlkey=onu3vr8ad2s7rsp4qqsz1whm7&amp;dl=0","Click to download Image")</f>
      </c>
      <c r="C4403" s="0" t="inlineStr">
        <is>
          <t>Monika Women's Shorts</t>
        </is>
      </c>
      <c r="D4403" s="0" t="inlineStr">
        <is>
          <t>'111293</t>
        </is>
      </c>
      <c r="E4403" s="0" t="inlineStr">
        <is>
          <t>ISU MONIKA DK GREY:111293B-M</t>
        </is>
      </c>
      <c r="F4403" s="0" t="inlineStr">
        <is>
          <t>'801111293028</t>
        </is>
      </c>
      <c r="G4403" s="0" t="inlineStr">
        <is>
          <t>WOMENS</t>
        </is>
      </c>
      <c r="H4403" s="0" t="inlineStr">
        <is>
          <t>M</t>
        </is>
      </c>
      <c r="I4403" s="0">
        <v>28.99</v>
      </c>
      <c r="J4403" s="0">
        <v>46</v>
      </c>
    </row>
    <row r="4404" spans="1:10" customHeight="0">
      <c r="A4404" s="0">
        <f>HYPERLINK("https://dl.dropboxusercontent.com/scl/fi/ns73u272syi40dru3tita/isu-dg-af.png?rlkey=onu3vr8ad2s7rsp4qqsz1whm7&amp;dl=0","Click to download Image")</f>
      </c>
      <c r="C4404" s="0" t="inlineStr">
        <is>
          <t>Monika Women's Shorts</t>
        </is>
      </c>
      <c r="D4404" s="0" t="inlineStr">
        <is>
          <t>'111293</t>
        </is>
      </c>
      <c r="E4404" s="0" t="inlineStr">
        <is>
          <t>ISU MONIKA DK GREY:111293C-L</t>
        </is>
      </c>
      <c r="F4404" s="0" t="inlineStr">
        <is>
          <t>'801111293035</t>
        </is>
      </c>
      <c r="G4404" s="0" t="inlineStr">
        <is>
          <t>WOMENS</t>
        </is>
      </c>
      <c r="H4404" s="0" t="inlineStr">
        <is>
          <t>L</t>
        </is>
      </c>
      <c r="I4404" s="0">
        <v>28.99</v>
      </c>
      <c r="J4404" s="0">
        <v>47</v>
      </c>
    </row>
    <row r="4405" spans="1:10" customHeight="0">
      <c r="A4405" s="0">
        <f>HYPERLINK("https://dl.dropboxusercontent.com/scl/fi/ns73u272syi40dru3tita/isu-dg-af.png?rlkey=onu3vr8ad2s7rsp4qqsz1whm7&amp;dl=0","Click to download Image")</f>
      </c>
      <c r="C4405" s="0" t="inlineStr">
        <is>
          <t>Monika Women's Shorts</t>
        </is>
      </c>
      <c r="D4405" s="0" t="inlineStr">
        <is>
          <t>'111293</t>
        </is>
      </c>
      <c r="E4405" s="0" t="inlineStr">
        <is>
          <t>ISU MONIKA DK GREY:111293D-XL</t>
        </is>
      </c>
      <c r="F4405" s="0" t="inlineStr">
        <is>
          <t>'801111293042</t>
        </is>
      </c>
      <c r="G4405" s="0" t="inlineStr">
        <is>
          <t>WOMENS</t>
        </is>
      </c>
      <c r="H4405" s="0" t="inlineStr">
        <is>
          <t>XL</t>
        </is>
      </c>
      <c r="I4405" s="0">
        <v>28.99</v>
      </c>
      <c r="J4405" s="0">
        <v>27</v>
      </c>
    </row>
    <row r="4406" spans="1:10" customHeight="0">
      <c r="A4406" s="0">
        <f>HYPERLINK("https://dl.dropboxusercontent.com/scl/fi/ns73u272syi40dru3tita/isu-dg-af.png?rlkey=onu3vr8ad2s7rsp4qqsz1whm7&amp;dl=0","Click to download Image")</f>
      </c>
      <c r="C4406" s="0" t="inlineStr">
        <is>
          <t>Monika Women's Shorts</t>
        </is>
      </c>
      <c r="D4406" s="0" t="inlineStr">
        <is>
          <t>'111293</t>
        </is>
      </c>
      <c r="E4406" s="0" t="inlineStr">
        <is>
          <t>ISU MONIKA DK GREY:111293E-2XL</t>
        </is>
      </c>
      <c r="F4406" s="0" t="inlineStr">
        <is>
          <t>'801111293059</t>
        </is>
      </c>
      <c r="G4406" s="0" t="inlineStr">
        <is>
          <t>WOMENS</t>
        </is>
      </c>
      <c r="H4406" s="0" t="inlineStr">
        <is>
          <t>2XL</t>
        </is>
      </c>
      <c r="I4406" s="0">
        <v>30.99</v>
      </c>
      <c r="J4406" s="0">
        <v>15</v>
      </c>
    </row>
    <row r="4407" spans="1:10" customHeight="0">
      <c r="A4407" s="0">
        <f>HYPERLINK("https://dl.dropboxusercontent.com/scl/fi/ns73u272syi40dru3tita/isu-dg-af.png?rlkey=onu3vr8ad2s7rsp4qqsz1whm7&amp;dl=0","Click to download Image")</f>
      </c>
      <c r="C4407" s="0" t="inlineStr">
        <is>
          <t>Monika Women's Shorts</t>
        </is>
      </c>
      <c r="D4407" s="0" t="inlineStr">
        <is>
          <t>'111293</t>
        </is>
      </c>
      <c r="E4407" s="0" t="inlineStr">
        <is>
          <t>ISU MONIKA DK GREY:111293F-3XL</t>
        </is>
      </c>
      <c r="F4407" s="0" t="inlineStr">
        <is>
          <t>'801111293066</t>
        </is>
      </c>
      <c r="G4407" s="0" t="inlineStr">
        <is>
          <t>WOMENS</t>
        </is>
      </c>
      <c r="H4407" s="0" t="inlineStr">
        <is>
          <t>3XL</t>
        </is>
      </c>
      <c r="I4407" s="0">
        <v>30.99</v>
      </c>
      <c r="J4407" s="0">
        <v>10</v>
      </c>
    </row>
    <row r="4408" spans="1:10" customHeight="0">
      <c r="A4408" s="0">
        <f>HYPERLINK("https://dl.dropboxusercontent.com/scl/fi/ns73u272syi40dru3tita/isu-dg-af.png?rlkey=onu3vr8ad2s7rsp4qqsz1whm7&amp;dl=0","Click to download Image")</f>
      </c>
      <c r="C4408" s="0" t="inlineStr">
        <is>
          <t>Monika Women's Shorts</t>
        </is>
      </c>
      <c r="D4408" s="0" t="inlineStr">
        <is>
          <t>'111293</t>
        </is>
      </c>
      <c r="E4408" s="0" t="inlineStr">
        <is>
          <t>ISU MONIKA DK GREY 12 PACK:111293Z-12PK</t>
        </is>
      </c>
      <c r="F4408" s="0" t="inlineStr">
        <is>
          <t>'801111293998</t>
        </is>
      </c>
      <c r="G4408" s="0" t="inlineStr">
        <is>
          <t>WOMENS</t>
        </is>
      </c>
      <c r="H4408" s="0" t="inlineStr">
        <is>
          <t>12 PACK</t>
        </is>
      </c>
      <c r="I4408" s="0">
        <v>323.88</v>
      </c>
      <c r="J4408" s="0">
        <v>0</v>
      </c>
    </row>
    <row r="4409" spans="1:10" customHeight="0">
      <c r="A4409" s="0">
        <f>HYPERLINK("https://dl.dropboxusercontent.com/scl/fi/hn3nfzwor3dgoqtulu19p/ia-dg-af.png?rlkey=f784wr8sxfnrvotm33v0lsv0s&amp;dl=0","Click to download Image")</f>
      </c>
      <c r="C4409" s="0" t="inlineStr">
        <is>
          <t>Monika Women's Shorts</t>
        </is>
      </c>
      <c r="D4409" s="0" t="inlineStr">
        <is>
          <t>'111292</t>
        </is>
      </c>
      <c r="E4409" s="0" t="inlineStr">
        <is>
          <t>IOWA MONIKA DK GREY:111292A-S</t>
        </is>
      </c>
      <c r="F4409" s="0" t="inlineStr">
        <is>
          <t>'800111292017</t>
        </is>
      </c>
      <c r="G4409" s="0" t="inlineStr">
        <is>
          <t>WOMENS</t>
        </is>
      </c>
      <c r="H4409" s="0" t="inlineStr">
        <is>
          <t>S</t>
        </is>
      </c>
      <c r="I4409" s="0">
        <v>28.99</v>
      </c>
      <c r="J4409" s="0">
        <v>12</v>
      </c>
    </row>
    <row r="4410" spans="1:10" customHeight="0">
      <c r="A4410" s="0">
        <f>HYPERLINK("https://dl.dropboxusercontent.com/scl/fi/hn3nfzwor3dgoqtulu19p/ia-dg-af.png?rlkey=f784wr8sxfnrvotm33v0lsv0s&amp;dl=0","Click to download Image")</f>
      </c>
      <c r="C4410" s="0" t="inlineStr">
        <is>
          <t>Monika Women's Shorts</t>
        </is>
      </c>
      <c r="D4410" s="0" t="inlineStr">
        <is>
          <t>'111292</t>
        </is>
      </c>
      <c r="E4410" s="0" t="inlineStr">
        <is>
          <t>IOWA MONIKA DK GREY:111292B-M</t>
        </is>
      </c>
      <c r="F4410" s="0" t="inlineStr">
        <is>
          <t>'800111292024</t>
        </is>
      </c>
      <c r="G4410" s="0" t="inlineStr">
        <is>
          <t>WOMENS</t>
        </is>
      </c>
      <c r="H4410" s="0" t="inlineStr">
        <is>
          <t>M</t>
        </is>
      </c>
      <c r="I4410" s="0">
        <v>28.99</v>
      </c>
      <c r="J4410" s="0">
        <v>34</v>
      </c>
    </row>
    <row r="4411" spans="1:10" customHeight="0">
      <c r="A4411" s="0">
        <f>HYPERLINK("https://dl.dropboxusercontent.com/scl/fi/hn3nfzwor3dgoqtulu19p/ia-dg-af.png?rlkey=f784wr8sxfnrvotm33v0lsv0s&amp;dl=0","Click to download Image")</f>
      </c>
      <c r="C4411" s="0" t="inlineStr">
        <is>
          <t>Monika Women's Shorts</t>
        </is>
      </c>
      <c r="D4411" s="0" t="inlineStr">
        <is>
          <t>'111292</t>
        </is>
      </c>
      <c r="E4411" s="0" t="inlineStr">
        <is>
          <t>IOWA MONIKA DK GREY:111292C-L</t>
        </is>
      </c>
      <c r="F4411" s="0" t="inlineStr">
        <is>
          <t>'800111292031</t>
        </is>
      </c>
      <c r="G4411" s="0" t="inlineStr">
        <is>
          <t>WOMENS</t>
        </is>
      </c>
      <c r="H4411" s="0" t="inlineStr">
        <is>
          <t>L</t>
        </is>
      </c>
      <c r="I4411" s="0">
        <v>28.99</v>
      </c>
      <c r="J4411" s="0">
        <v>33</v>
      </c>
    </row>
    <row r="4412" spans="1:10" customHeight="0">
      <c r="A4412" s="0">
        <f>HYPERLINK("https://dl.dropboxusercontent.com/scl/fi/hn3nfzwor3dgoqtulu19p/ia-dg-af.png?rlkey=f784wr8sxfnrvotm33v0lsv0s&amp;dl=0","Click to download Image")</f>
      </c>
      <c r="C4412" s="0" t="inlineStr">
        <is>
          <t>Monika Women's Shorts</t>
        </is>
      </c>
      <c r="D4412" s="0" t="inlineStr">
        <is>
          <t>'111292</t>
        </is>
      </c>
      <c r="E4412" s="0" t="inlineStr">
        <is>
          <t>IOWA MONIKA DK GREY:111292D-XL</t>
        </is>
      </c>
      <c r="F4412" s="0" t="inlineStr">
        <is>
          <t>'800111292048</t>
        </is>
      </c>
      <c r="G4412" s="0" t="inlineStr">
        <is>
          <t>WOMENS</t>
        </is>
      </c>
      <c r="H4412" s="0" t="inlineStr">
        <is>
          <t>XL</t>
        </is>
      </c>
      <c r="I4412" s="0">
        <v>28.99</v>
      </c>
      <c r="J4412" s="0">
        <v>9</v>
      </c>
    </row>
    <row r="4413" spans="1:10" customHeight="0">
      <c r="A4413" s="0">
        <f>HYPERLINK("https://dl.dropboxusercontent.com/scl/fi/hn3nfzwor3dgoqtulu19p/ia-dg-af.png?rlkey=f784wr8sxfnrvotm33v0lsv0s&amp;dl=0","Click to download Image")</f>
      </c>
      <c r="C4413" s="0" t="inlineStr">
        <is>
          <t>Monika Women's Shorts</t>
        </is>
      </c>
      <c r="D4413" s="0" t="inlineStr">
        <is>
          <t>'111292</t>
        </is>
      </c>
      <c r="E4413" s="0" t="inlineStr">
        <is>
          <t>IOWA MONIKA DK GREY:111292E-2XL</t>
        </is>
      </c>
      <c r="F4413" s="0" t="inlineStr">
        <is>
          <t>'800111292055</t>
        </is>
      </c>
      <c r="G4413" s="0" t="inlineStr">
        <is>
          <t>WOMENS</t>
        </is>
      </c>
      <c r="H4413" s="0" t="inlineStr">
        <is>
          <t>2XL</t>
        </is>
      </c>
      <c r="I4413" s="0">
        <v>30.99</v>
      </c>
      <c r="J4413" s="0">
        <v>9</v>
      </c>
    </row>
    <row r="4414" spans="1:10" customHeight="0">
      <c r="A4414" s="0">
        <f>HYPERLINK("https://dl.dropboxusercontent.com/scl/fi/hn3nfzwor3dgoqtulu19p/ia-dg-af.png?rlkey=f784wr8sxfnrvotm33v0lsv0s&amp;dl=0","Click to download Image")</f>
      </c>
      <c r="C4414" s="0" t="inlineStr">
        <is>
          <t>Monika Women's Shorts</t>
        </is>
      </c>
      <c r="D4414" s="0" t="inlineStr">
        <is>
          <t>'111292</t>
        </is>
      </c>
      <c r="E4414" s="0" t="inlineStr">
        <is>
          <t>IOWA MONIKA DK GREY:111292F-3XL</t>
        </is>
      </c>
      <c r="F4414" s="0" t="inlineStr">
        <is>
          <t>'800111292062</t>
        </is>
      </c>
      <c r="G4414" s="0" t="inlineStr">
        <is>
          <t>WOMENS</t>
        </is>
      </c>
      <c r="H4414" s="0" t="inlineStr">
        <is>
          <t>3XL</t>
        </is>
      </c>
      <c r="I4414" s="0">
        <v>30.99</v>
      </c>
      <c r="J4414" s="0">
        <v>6</v>
      </c>
    </row>
    <row r="4415" spans="1:10" customHeight="0">
      <c r="A4415" s="0">
        <f>HYPERLINK("https://dl.dropboxusercontent.com/scl/fi/hn3nfzwor3dgoqtulu19p/ia-dg-af.png?rlkey=f784wr8sxfnrvotm33v0lsv0s&amp;dl=0","Click to download Image")</f>
      </c>
      <c r="C4415" s="0" t="inlineStr">
        <is>
          <t>Monika Women's Shorts</t>
        </is>
      </c>
      <c r="D4415" s="0" t="inlineStr">
        <is>
          <t>'111292</t>
        </is>
      </c>
      <c r="E4415" s="0" t="inlineStr">
        <is>
          <t>IOWA MONIKA DK GREY 12 PACK:111292Z-12PK</t>
        </is>
      </c>
      <c r="F4415" s="0" t="inlineStr">
        <is>
          <t>'800111292994</t>
        </is>
      </c>
      <c r="G4415" s="0" t="inlineStr">
        <is>
          <t>WOMENS</t>
        </is>
      </c>
      <c r="H4415" s="0" t="inlineStr">
        <is>
          <t>12 PACK</t>
        </is>
      </c>
      <c r="I4415" s="0">
        <v>323.88</v>
      </c>
      <c r="J4415" s="0">
        <v>0</v>
      </c>
    </row>
    <row r="4416" spans="1:10" customHeight="0">
      <c r="A4416" s="0">
        <f>HYPERLINK("https://dl.dropboxusercontent.com/scl/fi/xxttjyr9cxna71giq7mx8/isu-af.jpg?rlkey=d0y3rmpoczeg1bb9ycdkum8ut&amp;dl=0","Click to download Image")</f>
      </c>
      <c r="C4416" s="0" t="inlineStr">
        <is>
          <t>Florence Youth Tank Top</t>
        </is>
      </c>
      <c r="D4416" s="0" t="inlineStr">
        <is>
          <t>'109672</t>
        </is>
      </c>
      <c r="E4416" s="0" t="inlineStr">
        <is>
          <t>ISU FLORENCE GOLD:109672B-YS</t>
        </is>
      </c>
      <c r="F4416" s="0" t="inlineStr">
        <is>
          <t>'801109672019</t>
        </is>
      </c>
      <c r="G4416" s="0" t="inlineStr">
        <is>
          <t>YOUTH</t>
        </is>
      </c>
      <c r="H4416" s="0" t="inlineStr">
        <is>
          <t>YS</t>
        </is>
      </c>
      <c r="I4416" s="0">
        <v>28.99</v>
      </c>
      <c r="J4416" s="0">
        <v>33</v>
      </c>
    </row>
    <row r="4417" spans="1:10" customHeight="0">
      <c r="A4417" s="0">
        <f>HYPERLINK("https://dl.dropboxusercontent.com/scl/fi/xxttjyr9cxna71giq7mx8/isu-af.jpg?rlkey=d0y3rmpoczeg1bb9ycdkum8ut&amp;dl=0","Click to download Image")</f>
      </c>
      <c r="C4417" s="0" t="inlineStr">
        <is>
          <t>Florence Youth Tank Top</t>
        </is>
      </c>
      <c r="D4417" s="0" t="inlineStr">
        <is>
          <t>'109672</t>
        </is>
      </c>
      <c r="E4417" s="0" t="inlineStr">
        <is>
          <t>ISU FLORENCE GOLD:109672C-YM</t>
        </is>
      </c>
      <c r="F4417" s="0" t="inlineStr">
        <is>
          <t>'801109672026</t>
        </is>
      </c>
      <c r="G4417" s="0" t="inlineStr">
        <is>
          <t>YOUTH</t>
        </is>
      </c>
      <c r="H4417" s="0" t="inlineStr">
        <is>
          <t>YM</t>
        </is>
      </c>
      <c r="I4417" s="0">
        <v>28.99</v>
      </c>
      <c r="J4417" s="0">
        <v>33</v>
      </c>
    </row>
    <row r="4418" spans="1:10" customHeight="0">
      <c r="A4418" s="0">
        <f>HYPERLINK("https://dl.dropboxusercontent.com/scl/fi/xxttjyr9cxna71giq7mx8/isu-af.jpg?rlkey=d0y3rmpoczeg1bb9ycdkum8ut&amp;dl=0","Click to download Image")</f>
      </c>
      <c r="C4418" s="0" t="inlineStr">
        <is>
          <t>Florence Youth Tank Top</t>
        </is>
      </c>
      <c r="D4418" s="0" t="inlineStr">
        <is>
          <t>'109672</t>
        </is>
      </c>
      <c r="E4418" s="0" t="inlineStr">
        <is>
          <t>ISU FLORENCE GOLD:109672D-YL</t>
        </is>
      </c>
      <c r="F4418" s="0" t="inlineStr">
        <is>
          <t>'801109672033</t>
        </is>
      </c>
      <c r="G4418" s="0" t="inlineStr">
        <is>
          <t>YOUTH</t>
        </is>
      </c>
      <c r="H4418" s="0" t="inlineStr">
        <is>
          <t>YL</t>
        </is>
      </c>
      <c r="I4418" s="0">
        <v>28.99</v>
      </c>
      <c r="J4418" s="0">
        <v>32</v>
      </c>
    </row>
    <row r="4419" spans="1:10" customHeight="0">
      <c r="A4419" s="0">
        <f>HYPERLINK("https://dl.dropboxusercontent.com/scl/fi/xxttjyr9cxna71giq7mx8/isu-af.jpg?rlkey=d0y3rmpoczeg1bb9ycdkum8ut&amp;dl=0","Click to download Image")</f>
      </c>
      <c r="C4419" s="0" t="inlineStr">
        <is>
          <t>Florence Youth Tank Top</t>
        </is>
      </c>
      <c r="D4419" s="0" t="inlineStr">
        <is>
          <t>'109672</t>
        </is>
      </c>
      <c r="E4419" s="0" t="inlineStr">
        <is>
          <t>ISU FLORENCE GOLD:109672E-YXL</t>
        </is>
      </c>
      <c r="F4419" s="0" t="inlineStr">
        <is>
          <t>'801109672040</t>
        </is>
      </c>
      <c r="G4419" s="0" t="inlineStr">
        <is>
          <t>YOUTH</t>
        </is>
      </c>
      <c r="H4419" s="0" t="inlineStr">
        <is>
          <t>YXL</t>
        </is>
      </c>
      <c r="I4419" s="0">
        <v>28.99</v>
      </c>
      <c r="J4419" s="0">
        <v>34</v>
      </c>
    </row>
    <row r="4420" spans="1:10" customHeight="0">
      <c r="A4420" s="0">
        <f>HYPERLINK("https://dl.dropboxusercontent.com/scl/fi/xxttjyr9cxna71giq7mx8/isu-af.jpg?rlkey=d0y3rmpoczeg1bb9ycdkum8ut&amp;dl=0","Click to download Image")</f>
      </c>
      <c r="C4420" s="0" t="inlineStr">
        <is>
          <t>Florence Youth Tank Top</t>
        </is>
      </c>
      <c r="D4420" s="0" t="inlineStr">
        <is>
          <t>'109672</t>
        </is>
      </c>
      <c r="E4420" s="0" t="inlineStr">
        <is>
          <t>ISU FLORENCE GOLD 12 PACK:109672Z-12PK</t>
        </is>
      </c>
      <c r="F4420" s="0" t="inlineStr">
        <is>
          <t>'801109672996</t>
        </is>
      </c>
      <c r="G4420" s="0" t="inlineStr">
        <is>
          <t>YOUTH</t>
        </is>
      </c>
      <c r="H4420" s="0" t="inlineStr">
        <is>
          <t>12 PACK</t>
        </is>
      </c>
      <c r="I4420" s="0">
        <v>323.88</v>
      </c>
      <c r="J4420" s="0">
        <v>0</v>
      </c>
    </row>
    <row r="4421" spans="1:10" customHeight="0">
      <c r="A4421" s="0">
        <f>HYPERLINK("https://dl.dropboxusercontent.com/scl/fi/akxx9r50uysx4dftb9dxc/ia-af.jpg?rlkey=n4hzbxc5d09zioo401217e0ow&amp;dl=0","Click to download Image")</f>
      </c>
      <c r="C4421" s="0" t="inlineStr">
        <is>
          <t>Florence Youth Tank Top</t>
        </is>
      </c>
      <c r="D4421" s="0" t="inlineStr">
        <is>
          <t>'109671</t>
        </is>
      </c>
      <c r="E4421" s="0" t="inlineStr">
        <is>
          <t>IOWA FLORENCE GOLD:109671B-YS</t>
        </is>
      </c>
      <c r="F4421" s="0" t="inlineStr">
        <is>
          <t>'800109671015</t>
        </is>
      </c>
      <c r="G4421" s="0" t="inlineStr">
        <is>
          <t>YOUTH</t>
        </is>
      </c>
      <c r="H4421" s="0" t="inlineStr">
        <is>
          <t>YS</t>
        </is>
      </c>
      <c r="I4421" s="0">
        <v>28.99</v>
      </c>
      <c r="J4421" s="0">
        <v>67</v>
      </c>
    </row>
    <row r="4422" spans="1:10" customHeight="0">
      <c r="A4422" s="0">
        <f>HYPERLINK("https://dl.dropboxusercontent.com/scl/fi/akxx9r50uysx4dftb9dxc/ia-af.jpg?rlkey=n4hzbxc5d09zioo401217e0ow&amp;dl=0","Click to download Image")</f>
      </c>
      <c r="C4422" s="0" t="inlineStr">
        <is>
          <t>Florence Youth Tank Top</t>
        </is>
      </c>
      <c r="D4422" s="0" t="inlineStr">
        <is>
          <t>'109671</t>
        </is>
      </c>
      <c r="E4422" s="0" t="inlineStr">
        <is>
          <t>IOWA FLORENCE GOLD:109671C-YM</t>
        </is>
      </c>
      <c r="F4422" s="0" t="inlineStr">
        <is>
          <t>'800109671022</t>
        </is>
      </c>
      <c r="G4422" s="0" t="inlineStr">
        <is>
          <t>YOUTH</t>
        </is>
      </c>
      <c r="H4422" s="0" t="inlineStr">
        <is>
          <t>YM</t>
        </is>
      </c>
      <c r="I4422" s="0">
        <v>28.99</v>
      </c>
      <c r="J4422" s="0">
        <v>67</v>
      </c>
    </row>
    <row r="4423" spans="1:10" customHeight="0">
      <c r="A4423" s="0">
        <f>HYPERLINK("https://dl.dropboxusercontent.com/scl/fi/akxx9r50uysx4dftb9dxc/ia-af.jpg?rlkey=n4hzbxc5d09zioo401217e0ow&amp;dl=0","Click to download Image")</f>
      </c>
      <c r="C4423" s="0" t="inlineStr">
        <is>
          <t>Florence Youth Tank Top</t>
        </is>
      </c>
      <c r="D4423" s="0" t="inlineStr">
        <is>
          <t>'109671</t>
        </is>
      </c>
      <c r="E4423" s="0" t="inlineStr">
        <is>
          <t>IOWA FLORENCE GOLD:109671D-YL</t>
        </is>
      </c>
      <c r="F4423" s="0" t="inlineStr">
        <is>
          <t>'800109671039</t>
        </is>
      </c>
      <c r="G4423" s="0" t="inlineStr">
        <is>
          <t>YOUTH</t>
        </is>
      </c>
      <c r="H4423" s="0" t="inlineStr">
        <is>
          <t>YL</t>
        </is>
      </c>
      <c r="I4423" s="0">
        <v>28.99</v>
      </c>
      <c r="J4423" s="0">
        <v>67</v>
      </c>
    </row>
    <row r="4424" spans="1:10" customHeight="0">
      <c r="A4424" s="0">
        <f>HYPERLINK("https://dl.dropboxusercontent.com/scl/fi/akxx9r50uysx4dftb9dxc/ia-af.jpg?rlkey=n4hzbxc5d09zioo401217e0ow&amp;dl=0","Click to download Image")</f>
      </c>
      <c r="C4424" s="0" t="inlineStr">
        <is>
          <t>Florence Youth Tank Top</t>
        </is>
      </c>
      <c r="D4424" s="0" t="inlineStr">
        <is>
          <t>'109671</t>
        </is>
      </c>
      <c r="E4424" s="0" t="inlineStr">
        <is>
          <t>IOWA FLORENCE GOLD:109671E-YXL</t>
        </is>
      </c>
      <c r="F4424" s="0" t="inlineStr">
        <is>
          <t>'800109671046</t>
        </is>
      </c>
      <c r="G4424" s="0" t="inlineStr">
        <is>
          <t>YOUTH</t>
        </is>
      </c>
      <c r="H4424" s="0" t="inlineStr">
        <is>
          <t>YXL</t>
        </is>
      </c>
      <c r="I4424" s="0">
        <v>28.99</v>
      </c>
      <c r="J4424" s="0">
        <v>67</v>
      </c>
    </row>
    <row r="4425" spans="1:10" customHeight="0">
      <c r="A4425" s="0">
        <f>HYPERLINK("https://dl.dropboxusercontent.com/scl/fi/akxx9r50uysx4dftb9dxc/ia-af.jpg?rlkey=n4hzbxc5d09zioo401217e0ow&amp;dl=0","Click to download Image")</f>
      </c>
      <c r="C4425" s="0" t="inlineStr">
        <is>
          <t>Florence Youth Tank Top</t>
        </is>
      </c>
      <c r="D4425" s="0" t="inlineStr">
        <is>
          <t>'109671</t>
        </is>
      </c>
      <c r="E4425" s="0" t="inlineStr">
        <is>
          <t>IOWA FLORENCE GOLD 12 PACK:109671Z-12PK</t>
        </is>
      </c>
      <c r="F4425" s="0" t="inlineStr">
        <is>
          <t>'800109671992</t>
        </is>
      </c>
      <c r="G4425" s="0" t="inlineStr">
        <is>
          <t>YOUTH</t>
        </is>
      </c>
      <c r="H4425" s="0" t="inlineStr">
        <is>
          <t>12 PACK</t>
        </is>
      </c>
      <c r="I4425" s="0">
        <v>323.88</v>
      </c>
      <c r="J4425" s="0">
        <v>0</v>
      </c>
    </row>
    <row r="4426" spans="1:10" customHeight="0">
      <c r="A4426" s="0">
        <f>HYPERLINK("https://dl.dropboxusercontent.com/scl/fi/nuvpax1h974al82fpcpl8/uni-af.png?rlkey=ij1g1g3kaiz1xbo9yku36bsc5&amp;dl=0","Click to download Image")</f>
      </c>
      <c r="C4426" s="0" t="inlineStr">
        <is>
          <t>Florence Youth Tank Top</t>
        </is>
      </c>
      <c r="D4426" s="0" t="inlineStr">
        <is>
          <t>'111543</t>
        </is>
      </c>
      <c r="E4426" s="0" t="inlineStr">
        <is>
          <t>UNI FLORENCE GOLD:111543B-YS</t>
        </is>
      </c>
      <c r="F4426" s="0" t="inlineStr">
        <is>
          <t>'802111543014</t>
        </is>
      </c>
      <c r="G4426" s="0" t="inlineStr">
        <is>
          <t>YOUTH</t>
        </is>
      </c>
      <c r="H4426" s="0" t="inlineStr">
        <is>
          <t>YS</t>
        </is>
      </c>
      <c r="I4426" s="0">
        <v>28.99</v>
      </c>
      <c r="J4426" s="0">
        <v>37</v>
      </c>
    </row>
    <row r="4427" spans="1:10" customHeight="0">
      <c r="A4427" s="0">
        <f>HYPERLINK("https://dl.dropboxusercontent.com/scl/fi/nuvpax1h974al82fpcpl8/uni-af.png?rlkey=ij1g1g3kaiz1xbo9yku36bsc5&amp;dl=0","Click to download Image")</f>
      </c>
      <c r="C4427" s="0" t="inlineStr">
        <is>
          <t>Florence Youth Tank Top</t>
        </is>
      </c>
      <c r="D4427" s="0" t="inlineStr">
        <is>
          <t>'111543</t>
        </is>
      </c>
      <c r="E4427" s="0" t="inlineStr">
        <is>
          <t>UNI FLORENCE GOLD:111543C-YM</t>
        </is>
      </c>
      <c r="F4427" s="0" t="inlineStr">
        <is>
          <t>'802111543021</t>
        </is>
      </c>
      <c r="G4427" s="0" t="inlineStr">
        <is>
          <t>YOUTH</t>
        </is>
      </c>
      <c r="H4427" s="0" t="inlineStr">
        <is>
          <t>YM</t>
        </is>
      </c>
      <c r="I4427" s="0">
        <v>28.99</v>
      </c>
      <c r="J4427" s="0">
        <v>38</v>
      </c>
    </row>
    <row r="4428" spans="1:10" customHeight="0">
      <c r="A4428" s="0">
        <f>HYPERLINK("https://dl.dropboxusercontent.com/scl/fi/nuvpax1h974al82fpcpl8/uni-af.png?rlkey=ij1g1g3kaiz1xbo9yku36bsc5&amp;dl=0","Click to download Image")</f>
      </c>
      <c r="C4428" s="0" t="inlineStr">
        <is>
          <t>Florence Youth Tank Top</t>
        </is>
      </c>
      <c r="D4428" s="0" t="inlineStr">
        <is>
          <t>'111543</t>
        </is>
      </c>
      <c r="E4428" s="0" t="inlineStr">
        <is>
          <t>UNI FLORENCE GOLD:111543D-YL</t>
        </is>
      </c>
      <c r="F4428" s="0" t="inlineStr">
        <is>
          <t>'802111543038</t>
        </is>
      </c>
      <c r="G4428" s="0" t="inlineStr">
        <is>
          <t>YOUTH</t>
        </is>
      </c>
      <c r="H4428" s="0" t="inlineStr">
        <is>
          <t>YL</t>
        </is>
      </c>
      <c r="I4428" s="0">
        <v>28.99</v>
      </c>
      <c r="J4428" s="0">
        <v>31</v>
      </c>
    </row>
    <row r="4429" spans="1:10" customHeight="0">
      <c r="A4429" s="0">
        <f>HYPERLINK("https://dl.dropboxusercontent.com/scl/fi/nuvpax1h974al82fpcpl8/uni-af.png?rlkey=ij1g1g3kaiz1xbo9yku36bsc5&amp;dl=0","Click to download Image")</f>
      </c>
      <c r="C4429" s="0" t="inlineStr">
        <is>
          <t>Florence Youth Tank Top</t>
        </is>
      </c>
      <c r="D4429" s="0" t="inlineStr">
        <is>
          <t>'111543</t>
        </is>
      </c>
      <c r="E4429" s="0" t="inlineStr">
        <is>
          <t>UNI FLORENCE GOLD:111543E-YXL</t>
        </is>
      </c>
      <c r="F4429" s="0" t="inlineStr">
        <is>
          <t>'802111543045</t>
        </is>
      </c>
      <c r="G4429" s="0" t="inlineStr">
        <is>
          <t>YOUTH</t>
        </is>
      </c>
      <c r="H4429" s="0" t="inlineStr">
        <is>
          <t>YXL</t>
        </is>
      </c>
      <c r="I4429" s="0">
        <v>28.99</v>
      </c>
      <c r="J4429" s="0">
        <v>37</v>
      </c>
    </row>
    <row r="4430" spans="1:10" customHeight="0">
      <c r="A4430" s="0">
        <f>HYPERLINK("https://dl.dropboxusercontent.com/scl/fi/nuvpax1h974al82fpcpl8/uni-af.png?rlkey=ij1g1g3kaiz1xbo9yku36bsc5&amp;dl=0","Click to download Image")</f>
      </c>
      <c r="C4430" s="0" t="inlineStr">
        <is>
          <t>Florence Youth Tank Top</t>
        </is>
      </c>
      <c r="D4430" s="0" t="inlineStr">
        <is>
          <t>'111543</t>
        </is>
      </c>
      <c r="E4430" s="0" t="inlineStr">
        <is>
          <t>UNI FLORENCE 12 PACK:111543Z-12PK</t>
        </is>
      </c>
      <c r="F4430" s="0" t="inlineStr">
        <is>
          <t>'802111543991</t>
        </is>
      </c>
      <c r="G4430" s="0" t="inlineStr">
        <is>
          <t>YOUTH</t>
        </is>
      </c>
      <c r="H4430" s="0" t="inlineStr">
        <is>
          <t>12 PACK</t>
        </is>
      </c>
      <c r="I4430" s="0">
        <v>323.88</v>
      </c>
      <c r="J4430" s="0">
        <v>0</v>
      </c>
    </row>
    <row r="4431" spans="1:10" customHeight="0">
      <c r="A4431" s="0">
        <f>HYPERLINK("https://dl.dropboxusercontent.com/scl/fi/5tz3o8yjtl7ki5pzm7y4t/ia-blk-af.jpg?rlkey=27ethd80bro41zsppu0qtf35u&amp;dl=0","Click to download Image")</f>
      </c>
      <c r="C4431" s="0" t="inlineStr">
        <is>
          <t>Florence Youth Tank Top</t>
        </is>
      </c>
      <c r="D4431" s="0" t="inlineStr">
        <is>
          <t>'111542</t>
        </is>
      </c>
      <c r="E4431" s="0" t="inlineStr">
        <is>
          <t>IOWA FLORENCE BLACK:111542B-YS</t>
        </is>
      </c>
      <c r="F4431" s="0" t="inlineStr">
        <is>
          <t>'800111542013</t>
        </is>
      </c>
      <c r="G4431" s="0" t="inlineStr">
        <is>
          <t>YOUTH</t>
        </is>
      </c>
      <c r="H4431" s="0" t="inlineStr">
        <is>
          <t>YS</t>
        </is>
      </c>
      <c r="I4431" s="0">
        <v>28.99</v>
      </c>
      <c r="J4431" s="0">
        <v>69</v>
      </c>
    </row>
    <row r="4432" spans="1:10" customHeight="0">
      <c r="A4432" s="0">
        <f>HYPERLINK("https://dl.dropboxusercontent.com/scl/fi/5tz3o8yjtl7ki5pzm7y4t/ia-blk-af.jpg?rlkey=27ethd80bro41zsppu0qtf35u&amp;dl=0","Click to download Image")</f>
      </c>
      <c r="C4432" s="0" t="inlineStr">
        <is>
          <t>Florence Youth Tank Top</t>
        </is>
      </c>
      <c r="D4432" s="0" t="inlineStr">
        <is>
          <t>'111542</t>
        </is>
      </c>
      <c r="E4432" s="0" t="inlineStr">
        <is>
          <t>IOWA FLORENCE BLACK:111542C-YM</t>
        </is>
      </c>
      <c r="F4432" s="0" t="inlineStr">
        <is>
          <t>'800111542020</t>
        </is>
      </c>
      <c r="G4432" s="0" t="inlineStr">
        <is>
          <t>YOUTH</t>
        </is>
      </c>
      <c r="H4432" s="0" t="inlineStr">
        <is>
          <t>YM</t>
        </is>
      </c>
      <c r="I4432" s="0">
        <v>28.99</v>
      </c>
      <c r="J4432" s="0">
        <v>67</v>
      </c>
    </row>
    <row r="4433" spans="1:10" customHeight="0">
      <c r="A4433" s="0">
        <f>HYPERLINK("https://dl.dropboxusercontent.com/scl/fi/5tz3o8yjtl7ki5pzm7y4t/ia-blk-af.jpg?rlkey=27ethd80bro41zsppu0qtf35u&amp;dl=0","Click to download Image")</f>
      </c>
      <c r="C4433" s="0" t="inlineStr">
        <is>
          <t>Florence Youth Tank Top</t>
        </is>
      </c>
      <c r="D4433" s="0" t="inlineStr">
        <is>
          <t>'111542</t>
        </is>
      </c>
      <c r="E4433" s="0" t="inlineStr">
        <is>
          <t>IOWA FLORENCE BLACK:111542D-YL</t>
        </is>
      </c>
      <c r="F4433" s="0" t="inlineStr">
        <is>
          <t>'800111542037</t>
        </is>
      </c>
      <c r="G4433" s="0" t="inlineStr">
        <is>
          <t>YOUTH</t>
        </is>
      </c>
      <c r="H4433" s="0" t="inlineStr">
        <is>
          <t>YL</t>
        </is>
      </c>
      <c r="I4433" s="0">
        <v>28.99</v>
      </c>
      <c r="J4433" s="0">
        <v>67</v>
      </c>
    </row>
    <row r="4434" spans="1:10" customHeight="0">
      <c r="A4434" s="0">
        <f>HYPERLINK("https://dl.dropboxusercontent.com/scl/fi/5tz3o8yjtl7ki5pzm7y4t/ia-blk-af.jpg?rlkey=27ethd80bro41zsppu0qtf35u&amp;dl=0","Click to download Image")</f>
      </c>
      <c r="C4434" s="0" t="inlineStr">
        <is>
          <t>Florence Youth Tank Top</t>
        </is>
      </c>
      <c r="D4434" s="0" t="inlineStr">
        <is>
          <t>'111542</t>
        </is>
      </c>
      <c r="E4434" s="0" t="inlineStr">
        <is>
          <t>IOWA FLORENCE BLACK:111542E-YXL</t>
        </is>
      </c>
      <c r="F4434" s="0" t="inlineStr">
        <is>
          <t>'800111542044</t>
        </is>
      </c>
      <c r="G4434" s="0" t="inlineStr">
        <is>
          <t>YOUTH</t>
        </is>
      </c>
      <c r="H4434" s="0" t="inlineStr">
        <is>
          <t>YXL</t>
        </is>
      </c>
      <c r="I4434" s="0">
        <v>28.99</v>
      </c>
      <c r="J4434" s="0">
        <v>69</v>
      </c>
    </row>
    <row r="4435" spans="1:10" customHeight="0">
      <c r="A4435" s="0">
        <f>HYPERLINK("https://dl.dropboxusercontent.com/scl/fi/5tz3o8yjtl7ki5pzm7y4t/ia-blk-af.jpg?rlkey=27ethd80bro41zsppu0qtf35u&amp;dl=0","Click to download Image")</f>
      </c>
      <c r="C4435" s="0" t="inlineStr">
        <is>
          <t>Florence Youth Tank Top</t>
        </is>
      </c>
      <c r="D4435" s="0" t="inlineStr">
        <is>
          <t>'111542</t>
        </is>
      </c>
      <c r="E4435" s="0" t="inlineStr">
        <is>
          <t>IOWA FLORENCE BLACK 12 PACK:111542Z-12PK</t>
        </is>
      </c>
      <c r="F4435" s="0" t="inlineStr">
        <is>
          <t>'800111542990</t>
        </is>
      </c>
      <c r="G4435" s="0" t="inlineStr">
        <is>
          <t>YOUTH</t>
        </is>
      </c>
      <c r="H4435" s="0" t="inlineStr">
        <is>
          <t>12 PACK</t>
        </is>
      </c>
      <c r="I4435" s="0">
        <v>323.88</v>
      </c>
      <c r="J4435" s="0">
        <v>0</v>
      </c>
    </row>
    <row r="4436" spans="1:10" customHeight="0">
      <c r="A4436" s="0">
        <f>HYPERLINK("https://dl.dropboxusercontent.com/scl/fi/20kdsviwku8pi0nsxov0n/isu-card-af.jpg?rlkey=rbym6rxsfh1q0jnxgtept4jhk&amp;dl=0","Click to download Image")</f>
      </c>
      <c r="C4436" s="0" t="inlineStr">
        <is>
          <t>Florence Youth Tank Top</t>
        </is>
      </c>
      <c r="D4436" s="0" t="inlineStr">
        <is>
          <t>'111539</t>
        </is>
      </c>
      <c r="E4436" s="0" t="inlineStr">
        <is>
          <t>ISU FLORENCE CARDINAL:111539B-YS</t>
        </is>
      </c>
      <c r="F4436" s="0" t="inlineStr">
        <is>
          <t>'801111539010</t>
        </is>
      </c>
      <c r="G4436" s="0" t="inlineStr">
        <is>
          <t>YOUTH</t>
        </is>
      </c>
      <c r="H4436" s="0" t="inlineStr">
        <is>
          <t>YS</t>
        </is>
      </c>
      <c r="I4436" s="0">
        <v>28.99</v>
      </c>
      <c r="J4436" s="0">
        <v>32</v>
      </c>
    </row>
    <row r="4437" spans="1:10" customHeight="0">
      <c r="A4437" s="0">
        <f>HYPERLINK("https://dl.dropboxusercontent.com/scl/fi/20kdsviwku8pi0nsxov0n/isu-card-af.jpg?rlkey=rbym6rxsfh1q0jnxgtept4jhk&amp;dl=0","Click to download Image")</f>
      </c>
      <c r="C4437" s="0" t="inlineStr">
        <is>
          <t>Florence Youth Tank Top</t>
        </is>
      </c>
      <c r="D4437" s="0" t="inlineStr">
        <is>
          <t>'111539</t>
        </is>
      </c>
      <c r="E4437" s="0" t="inlineStr">
        <is>
          <t>ISU FLORENCE CARDINAL:111539C-YM</t>
        </is>
      </c>
      <c r="F4437" s="0" t="inlineStr">
        <is>
          <t>'801111539027</t>
        </is>
      </c>
      <c r="G4437" s="0" t="inlineStr">
        <is>
          <t>YOUTH</t>
        </is>
      </c>
      <c r="H4437" s="0" t="inlineStr">
        <is>
          <t>YM</t>
        </is>
      </c>
      <c r="I4437" s="0">
        <v>28.99</v>
      </c>
      <c r="J4437" s="0">
        <v>30</v>
      </c>
    </row>
    <row r="4438" spans="1:10" customHeight="0">
      <c r="A4438" s="0">
        <f>HYPERLINK("https://dl.dropboxusercontent.com/scl/fi/20kdsviwku8pi0nsxov0n/isu-card-af.jpg?rlkey=rbym6rxsfh1q0jnxgtept4jhk&amp;dl=0","Click to download Image")</f>
      </c>
      <c r="C4438" s="0" t="inlineStr">
        <is>
          <t>Florence Youth Tank Top</t>
        </is>
      </c>
      <c r="D4438" s="0" t="inlineStr">
        <is>
          <t>'111539</t>
        </is>
      </c>
      <c r="E4438" s="0" t="inlineStr">
        <is>
          <t>ISU FLORENCE CARDINAL:111539D-YL</t>
        </is>
      </c>
      <c r="F4438" s="0" t="inlineStr">
        <is>
          <t>'801111539034</t>
        </is>
      </c>
      <c r="G4438" s="0" t="inlineStr">
        <is>
          <t>YOUTH</t>
        </is>
      </c>
      <c r="H4438" s="0" t="inlineStr">
        <is>
          <t>YL</t>
        </is>
      </c>
      <c r="I4438" s="0">
        <v>28.99</v>
      </c>
      <c r="J4438" s="0">
        <v>33</v>
      </c>
    </row>
    <row r="4439" spans="1:10" customHeight="0">
      <c r="A4439" s="0">
        <f>HYPERLINK("https://dl.dropboxusercontent.com/scl/fi/20kdsviwku8pi0nsxov0n/isu-card-af.jpg?rlkey=rbym6rxsfh1q0jnxgtept4jhk&amp;dl=0","Click to download Image")</f>
      </c>
      <c r="C4439" s="0" t="inlineStr">
        <is>
          <t>Florence Youth Tank Top</t>
        </is>
      </c>
      <c r="D4439" s="0" t="inlineStr">
        <is>
          <t>'111539</t>
        </is>
      </c>
      <c r="E4439" s="0" t="inlineStr">
        <is>
          <t>ISU FLORENCE CARDINAL:111539E-YXL</t>
        </is>
      </c>
      <c r="F4439" s="0" t="inlineStr">
        <is>
          <t>'801111539041</t>
        </is>
      </c>
      <c r="G4439" s="0" t="inlineStr">
        <is>
          <t>YOUTH</t>
        </is>
      </c>
      <c r="H4439" s="0" t="inlineStr">
        <is>
          <t>YXL</t>
        </is>
      </c>
      <c r="I4439" s="0">
        <v>28.99</v>
      </c>
      <c r="J4439" s="0">
        <v>30</v>
      </c>
    </row>
    <row r="4440" spans="1:10" customHeight="0">
      <c r="A4440" s="0">
        <f>HYPERLINK("https://dl.dropboxusercontent.com/scl/fi/20kdsviwku8pi0nsxov0n/isu-card-af.jpg?rlkey=rbym6rxsfh1q0jnxgtept4jhk&amp;dl=0","Click to download Image")</f>
      </c>
      <c r="C4440" s="0" t="inlineStr">
        <is>
          <t>Florence Youth Tank Top</t>
        </is>
      </c>
      <c r="D4440" s="0" t="inlineStr">
        <is>
          <t>'111539</t>
        </is>
      </c>
      <c r="E4440" s="0" t="inlineStr">
        <is>
          <t>ISU FLORENCE CARDINAL:111539Z-12PK</t>
        </is>
      </c>
      <c r="F4440" s="0" t="inlineStr">
        <is>
          <t>'801111539997</t>
        </is>
      </c>
      <c r="G4440" s="0" t="inlineStr">
        <is>
          <t>YOUTH</t>
        </is>
      </c>
      <c r="H4440" s="0" t="inlineStr">
        <is>
          <t>12 PACK</t>
        </is>
      </c>
      <c r="I4440" s="0">
        <v>323.88</v>
      </c>
      <c r="J4440" s="0">
        <v>0</v>
      </c>
    </row>
    <row r="4441" spans="1:10" customHeight="0">
      <c r="A4441" s="0">
        <f>HYPERLINK("https://dl.dropboxusercontent.com/scl/fi/zmyf7bzlcyml01dryshys/111799af98208.jpg?rlkey=cyetplp2js6z7strhngegnigv&amp;dl=0","Click to download Image")</f>
      </c>
      <c r="B4441" s="0">
        <f>HYPERLINK("https://dl.dropboxusercontent.com/scl/fi/blh3cqpoqhktxvp24viz8/graphic-update22022-infant.jpg?rlkey=so3gzdw8ehssgsjizqkoqb3qz&amp;dl=0","Click to download SizeChart")</f>
      </c>
      <c r="C4441" s="0" t="inlineStr">
        <is>
          <t>Grande Infant Romper</t>
        </is>
      </c>
      <c r="D4441" s="0" t="inlineStr">
        <is>
          <t>'111795</t>
        </is>
      </c>
      <c r="E4441" s="0" t="inlineStr">
        <is>
          <t>UNI GRANDE INFANT GOLD:111795A-0-3M</t>
        </is>
      </c>
      <c r="F4441" s="0" t="inlineStr">
        <is>
          <t>'802111795000</t>
        </is>
      </c>
      <c r="G4441" s="0" t="inlineStr">
        <is>
          <t>INFANT</t>
        </is>
      </c>
      <c r="H4441" s="0" t="inlineStr">
        <is>
          <t>0-3M</t>
        </is>
      </c>
      <c r="I4441" s="0">
        <v>26.99</v>
      </c>
      <c r="J4441" s="0">
        <v>21</v>
      </c>
    </row>
    <row r="4442" spans="1:10" customHeight="0">
      <c r="A4442" s="0">
        <f>HYPERLINK("https://dl.dropboxusercontent.com/scl/fi/zmyf7bzlcyml01dryshys/111799af98208.jpg?rlkey=cyetplp2js6z7strhngegnigv&amp;dl=0","Click to download Image")</f>
      </c>
      <c r="B4442" s="0">
        <f>HYPERLINK("https://dl.dropboxusercontent.com/scl/fi/blh3cqpoqhktxvp24viz8/graphic-update22022-infant.jpg?rlkey=so3gzdw8ehssgsjizqkoqb3qz&amp;dl=0","Click to download SizeChart")</f>
      </c>
      <c r="C4442" s="0" t="inlineStr">
        <is>
          <t>Grande Infant Romper</t>
        </is>
      </c>
      <c r="D4442" s="0" t="inlineStr">
        <is>
          <t>'111795</t>
        </is>
      </c>
      <c r="E4442" s="0" t="inlineStr">
        <is>
          <t>UNI GRANDE INFANT GOLD:111795B-3-6M</t>
        </is>
      </c>
      <c r="F4442" s="0" t="inlineStr">
        <is>
          <t>'802111795017</t>
        </is>
      </c>
      <c r="G4442" s="0" t="inlineStr">
        <is>
          <t>INFANT</t>
        </is>
      </c>
      <c r="H4442" s="0" t="inlineStr">
        <is>
          <t>3-6M</t>
        </is>
      </c>
      <c r="I4442" s="0">
        <v>26.99</v>
      </c>
      <c r="J4442" s="0">
        <v>21</v>
      </c>
    </row>
    <row r="4443" spans="1:10" customHeight="0">
      <c r="A4443" s="0">
        <f>HYPERLINK("https://dl.dropboxusercontent.com/scl/fi/zmyf7bzlcyml01dryshys/111799af98208.jpg?rlkey=cyetplp2js6z7strhngegnigv&amp;dl=0","Click to download Image")</f>
      </c>
      <c r="B4443" s="0">
        <f>HYPERLINK("https://dl.dropboxusercontent.com/scl/fi/blh3cqpoqhktxvp24viz8/graphic-update22022-infant.jpg?rlkey=so3gzdw8ehssgsjizqkoqb3qz&amp;dl=0","Click to download SizeChart")</f>
      </c>
      <c r="C4443" s="0" t="inlineStr">
        <is>
          <t>Grande Infant Romper</t>
        </is>
      </c>
      <c r="D4443" s="0" t="inlineStr">
        <is>
          <t>'111795</t>
        </is>
      </c>
      <c r="E4443" s="0" t="inlineStr">
        <is>
          <t>UNI GRANDE INFANT GOLD:111795C-6-9M</t>
        </is>
      </c>
      <c r="F4443" s="0" t="inlineStr">
        <is>
          <t>'802111795024</t>
        </is>
      </c>
      <c r="G4443" s="0" t="inlineStr">
        <is>
          <t>INFANT</t>
        </is>
      </c>
      <c r="H4443" s="0" t="inlineStr">
        <is>
          <t>6-9M</t>
        </is>
      </c>
      <c r="I4443" s="0">
        <v>26.99</v>
      </c>
      <c r="J4443" s="0">
        <v>21</v>
      </c>
    </row>
    <row r="4444" spans="1:10" customHeight="0">
      <c r="A4444" s="0">
        <f>HYPERLINK("https://dl.dropboxusercontent.com/scl/fi/zmyf7bzlcyml01dryshys/111799af98208.jpg?rlkey=cyetplp2js6z7strhngegnigv&amp;dl=0","Click to download Image")</f>
      </c>
      <c r="B4444" s="0">
        <f>HYPERLINK("https://dl.dropboxusercontent.com/scl/fi/blh3cqpoqhktxvp24viz8/graphic-update22022-infant.jpg?rlkey=so3gzdw8ehssgsjizqkoqb3qz&amp;dl=0","Click to download SizeChart")</f>
      </c>
      <c r="C4444" s="0" t="inlineStr">
        <is>
          <t>Grande Infant Romper</t>
        </is>
      </c>
      <c r="D4444" s="0" t="inlineStr">
        <is>
          <t>'111795</t>
        </is>
      </c>
      <c r="E4444" s="0" t="inlineStr">
        <is>
          <t>UNI GRANDE INFANT GOLD:111795F-12M</t>
        </is>
      </c>
      <c r="F4444" s="0" t="inlineStr">
        <is>
          <t>'802111795031</t>
        </is>
      </c>
      <c r="G4444" s="0" t="inlineStr">
        <is>
          <t>INFANT</t>
        </is>
      </c>
      <c r="H4444" s="0" t="inlineStr">
        <is>
          <t>12M</t>
        </is>
      </c>
      <c r="I4444" s="0">
        <v>26.99</v>
      </c>
      <c r="J4444" s="0">
        <v>20</v>
      </c>
    </row>
    <row r="4445" spans="1:10" customHeight="0">
      <c r="A4445" s="0">
        <f>HYPERLINK("https://dl.dropboxusercontent.com/scl/fi/zmyf7bzlcyml01dryshys/111799af98208.jpg?rlkey=cyetplp2js6z7strhngegnigv&amp;dl=0","Click to download Image")</f>
      </c>
      <c r="B4445" s="0">
        <f>HYPERLINK("https://dl.dropboxusercontent.com/scl/fi/blh3cqpoqhktxvp24viz8/graphic-update22022-infant.jpg?rlkey=so3gzdw8ehssgsjizqkoqb3qz&amp;dl=0","Click to download SizeChart")</f>
      </c>
      <c r="C4445" s="0" t="inlineStr">
        <is>
          <t>Grande Infant Romper</t>
        </is>
      </c>
      <c r="D4445" s="0" t="inlineStr">
        <is>
          <t>'111795</t>
        </is>
      </c>
      <c r="E4445" s="0" t="inlineStr">
        <is>
          <t>UNI GRANDE INFANT GOLD 12 PACK:111795Z-12PK</t>
        </is>
      </c>
      <c r="F4445" s="0" t="inlineStr">
        <is>
          <t>'802111795994</t>
        </is>
      </c>
      <c r="G4445" s="0" t="inlineStr">
        <is>
          <t>INFANT</t>
        </is>
      </c>
      <c r="H4445" s="0" t="inlineStr">
        <is>
          <t>12 PACK</t>
        </is>
      </c>
      <c r="I4445" s="0">
        <v>299.88</v>
      </c>
      <c r="J4445" s="0">
        <v>0</v>
      </c>
    </row>
    <row r="4446" spans="1:10" customHeight="0">
      <c r="A4446" s="0">
        <f>HYPERLINK("https://dl.dropboxusercontent.com/scl/fi/y497ot0kgz3bmtk5vs944/111799af98208.jpg?rlkey=xsr21ifoirf0a1glxcmsndwmp&amp;dl=0","Click to download Image")</f>
      </c>
      <c r="B4446" s="0">
        <f>HYPERLINK("https://dl.dropboxusercontent.com/scl/fi/99fr83c974orfygqmwrs0/graphic-update22022-toddler.jpg?rlkey=ndwu42zmlvhh6b07ccgdrrwaa&amp;dl=0","Click to download SizeChart")</f>
      </c>
      <c r="C4446" s="0" t="inlineStr">
        <is>
          <t>Grande Toddler Romper</t>
        </is>
      </c>
      <c r="D4446" s="0" t="inlineStr">
        <is>
          <t>'111799</t>
        </is>
      </c>
      <c r="E4446" s="0" t="inlineStr">
        <is>
          <t>UNI GRANDE TODDLER GOLD:111799A-2T</t>
        </is>
      </c>
      <c r="F4446" s="0" t="inlineStr">
        <is>
          <t>'802111799084</t>
        </is>
      </c>
      <c r="G4446" s="0" t="inlineStr">
        <is>
          <t>TODDLER</t>
        </is>
      </c>
      <c r="H4446" s="0" t="inlineStr">
        <is>
          <t>2T</t>
        </is>
      </c>
      <c r="I4446" s="0">
        <v>26.99</v>
      </c>
      <c r="J4446" s="0">
        <v>18</v>
      </c>
    </row>
    <row r="4447" spans="1:10" customHeight="0">
      <c r="A4447" s="0">
        <f>HYPERLINK("https://dl.dropboxusercontent.com/scl/fi/y497ot0kgz3bmtk5vs944/111799af98208.jpg?rlkey=xsr21ifoirf0a1glxcmsndwmp&amp;dl=0","Click to download Image")</f>
      </c>
      <c r="B4447" s="0">
        <f>HYPERLINK("https://dl.dropboxusercontent.com/scl/fi/99fr83c974orfygqmwrs0/graphic-update22022-toddler.jpg?rlkey=ndwu42zmlvhh6b07ccgdrrwaa&amp;dl=0","Click to download SizeChart")</f>
      </c>
      <c r="C4447" s="0" t="inlineStr">
        <is>
          <t>Grande Toddler Romper</t>
        </is>
      </c>
      <c r="D4447" s="0" t="inlineStr">
        <is>
          <t>'111799</t>
        </is>
      </c>
      <c r="E4447" s="0" t="inlineStr">
        <is>
          <t>UNI GRANDE TODDLER GOLD:111799B-3T</t>
        </is>
      </c>
      <c r="F4447" s="0" t="inlineStr">
        <is>
          <t>'802111799091</t>
        </is>
      </c>
      <c r="G4447" s="0" t="inlineStr">
        <is>
          <t>TODDLER</t>
        </is>
      </c>
      <c r="H4447" s="0" t="inlineStr">
        <is>
          <t>3T</t>
        </is>
      </c>
      <c r="I4447" s="0">
        <v>26.99</v>
      </c>
      <c r="J4447" s="0">
        <v>18</v>
      </c>
    </row>
    <row r="4448" spans="1:10" customHeight="0">
      <c r="A4448" s="0">
        <f>HYPERLINK("https://dl.dropboxusercontent.com/scl/fi/y497ot0kgz3bmtk5vs944/111799af98208.jpg?rlkey=xsr21ifoirf0a1glxcmsndwmp&amp;dl=0","Click to download Image")</f>
      </c>
      <c r="B4448" s="0">
        <f>HYPERLINK("https://dl.dropboxusercontent.com/scl/fi/99fr83c974orfygqmwrs0/graphic-update22022-toddler.jpg?rlkey=ndwu42zmlvhh6b07ccgdrrwaa&amp;dl=0","Click to download SizeChart")</f>
      </c>
      <c r="C4448" s="0" t="inlineStr">
        <is>
          <t>Grande Toddler Romper</t>
        </is>
      </c>
      <c r="D4448" s="0" t="inlineStr">
        <is>
          <t>'111799</t>
        </is>
      </c>
      <c r="E4448" s="0" t="inlineStr">
        <is>
          <t>UNI GRANDE TODDLER GOLD:111799C-4T</t>
        </is>
      </c>
      <c r="F4448" s="0" t="inlineStr">
        <is>
          <t>'802111799107</t>
        </is>
      </c>
      <c r="G4448" s="0" t="inlineStr">
        <is>
          <t>TODDLER</t>
        </is>
      </c>
      <c r="H4448" s="0" t="inlineStr">
        <is>
          <t>4T</t>
        </is>
      </c>
      <c r="I4448" s="0">
        <v>26.99</v>
      </c>
      <c r="J4448" s="0">
        <v>17</v>
      </c>
    </row>
    <row r="4449" spans="1:10" customHeight="0">
      <c r="A4449" s="0">
        <f>HYPERLINK("https://dl.dropboxusercontent.com/scl/fi/y497ot0kgz3bmtk5vs944/111799af98208.jpg?rlkey=xsr21ifoirf0a1glxcmsndwmp&amp;dl=0","Click to download Image")</f>
      </c>
      <c r="B4449" s="0">
        <f>HYPERLINK("https://dl.dropboxusercontent.com/scl/fi/99fr83c974orfygqmwrs0/graphic-update22022-toddler.jpg?rlkey=ndwu42zmlvhh6b07ccgdrrwaa&amp;dl=0","Click to download SizeChart")</f>
      </c>
      <c r="C4449" s="0" t="inlineStr">
        <is>
          <t>Grande Toddler Romper</t>
        </is>
      </c>
      <c r="D4449" s="0" t="inlineStr">
        <is>
          <t>'111799</t>
        </is>
      </c>
      <c r="E4449" s="0" t="inlineStr">
        <is>
          <t>UNI GRANDE TODDLER GOLD:111799D-5T</t>
        </is>
      </c>
      <c r="F4449" s="0" t="inlineStr">
        <is>
          <t>'802111799114</t>
        </is>
      </c>
      <c r="G4449" s="0" t="inlineStr">
        <is>
          <t>TODDLER</t>
        </is>
      </c>
      <c r="H4449" s="0" t="inlineStr">
        <is>
          <t>5T</t>
        </is>
      </c>
      <c r="I4449" s="0">
        <v>26.99</v>
      </c>
      <c r="J4449" s="0">
        <v>18</v>
      </c>
    </row>
    <row r="4450" spans="1:10" customHeight="0">
      <c r="A4450" s="0">
        <f>HYPERLINK("https://dl.dropboxusercontent.com/scl/fi/y497ot0kgz3bmtk5vs944/111799af98208.jpg?rlkey=xsr21ifoirf0a1glxcmsndwmp&amp;dl=0","Click to download Image")</f>
      </c>
      <c r="B4450" s="0">
        <f>HYPERLINK("https://dl.dropboxusercontent.com/scl/fi/99fr83c974orfygqmwrs0/graphic-update22022-toddler.jpg?rlkey=ndwu42zmlvhh6b07ccgdrrwaa&amp;dl=0","Click to download SizeChart")</f>
      </c>
      <c r="C4450" s="0" t="inlineStr">
        <is>
          <t>Grande Toddler Romper</t>
        </is>
      </c>
      <c r="D4450" s="0" t="inlineStr">
        <is>
          <t>'111799</t>
        </is>
      </c>
      <c r="E4450" s="0" t="inlineStr">
        <is>
          <t>UNI GRANDE TODDLER GOLD 12 PACK:111799Z-12PK</t>
        </is>
      </c>
      <c r="F4450" s="0" t="inlineStr">
        <is>
          <t>'802111799992</t>
        </is>
      </c>
      <c r="G4450" s="0" t="inlineStr">
        <is>
          <t>TODDLER</t>
        </is>
      </c>
      <c r="H4450" s="0" t="inlineStr">
        <is>
          <t>12 PACK</t>
        </is>
      </c>
      <c r="I4450" s="0">
        <v>299.88</v>
      </c>
      <c r="J4450" s="0">
        <v>0</v>
      </c>
    </row>
    <row r="4451" spans="1:10" customHeight="0">
      <c r="A4451" s="0">
        <f>HYPERLINK("https://dl.dropboxusercontent.com/scl/fi/le6yt9xi39dktvkqkecw5/99448af76647.jpg?rlkey=5y5a84yb0sdv6x9jjtqxjba1z&amp;dl=0","Click to download Image")</f>
      </c>
      <c r="B4451" s="0">
        <f>HYPERLINK("https://dl.dropboxusercontent.com/scl/fi/a4z0fp8eh2gzi2qq2bulm/mens-d.jpg?rlkey=8nv13brznyxp2qnq39px45nvu&amp;dl=0","Click to download SizeChart")</f>
      </c>
      <c r="C4451" s="0" t="inlineStr">
        <is>
          <t>Levi Men's Midweight Fleece Sweatshirt</t>
        </is>
      </c>
      <c r="D4451" s="0" t="inlineStr">
        <is>
          <t>'99448</t>
        </is>
      </c>
      <c r="E4451" s="0" t="inlineStr">
        <is>
          <t>LEVI:99448A-S</t>
        </is>
      </c>
      <c r="F4451" s="0" t="inlineStr">
        <is>
          <t>'000000000000</t>
        </is>
      </c>
      <c r="G4451" s="0" t="inlineStr">
        <is>
          <t>MENS</t>
        </is>
      </c>
      <c r="H4451" s="0" t="inlineStr">
        <is>
          <t>S</t>
        </is>
      </c>
      <c r="I4451" s="0">
        <v>39.99</v>
      </c>
      <c r="J4451" s="0">
        <v>14</v>
      </c>
    </row>
    <row r="4452" spans="1:10" customHeight="0">
      <c r="A4452" s="0">
        <f>HYPERLINK("https://dl.dropboxusercontent.com/scl/fi/le6yt9xi39dktvkqkecw5/99448af76647.jpg?rlkey=5y5a84yb0sdv6x9jjtqxjba1z&amp;dl=0","Click to download Image")</f>
      </c>
      <c r="B4452" s="0">
        <f>HYPERLINK("https://dl.dropboxusercontent.com/scl/fi/a4z0fp8eh2gzi2qq2bulm/mens-d.jpg?rlkey=8nv13brznyxp2qnq39px45nvu&amp;dl=0","Click to download SizeChart")</f>
      </c>
      <c r="C4452" s="0" t="inlineStr">
        <is>
          <t>Levi Men's Midweight Fleece Sweatshirt</t>
        </is>
      </c>
      <c r="D4452" s="0" t="inlineStr">
        <is>
          <t>'99448</t>
        </is>
      </c>
      <c r="E4452" s="0" t="inlineStr">
        <is>
          <t>LEVI:99448D-XL</t>
        </is>
      </c>
      <c r="F4452" s="0" t="inlineStr">
        <is>
          <t>'000000000000</t>
        </is>
      </c>
      <c r="G4452" s="0" t="inlineStr">
        <is>
          <t>MENS</t>
        </is>
      </c>
      <c r="H4452" s="0" t="inlineStr">
        <is>
          <t>XL</t>
        </is>
      </c>
      <c r="I4452" s="0">
        <v>39.99</v>
      </c>
      <c r="J4452" s="0">
        <v>18</v>
      </c>
    </row>
    <row r="4453" spans="1:10" customHeight="0">
      <c r="A4453" s="0">
        <f>HYPERLINK("https://dl.dropboxusercontent.com/scl/fi/le6yt9xi39dktvkqkecw5/99448af76647.jpg?rlkey=5y5a84yb0sdv6x9jjtqxjba1z&amp;dl=0","Click to download Image")</f>
      </c>
      <c r="B4453" s="0">
        <f>HYPERLINK("https://dl.dropboxusercontent.com/scl/fi/a4z0fp8eh2gzi2qq2bulm/mens-d.jpg?rlkey=8nv13brznyxp2qnq39px45nvu&amp;dl=0","Click to download SizeChart")</f>
      </c>
      <c r="C4453" s="0" t="inlineStr">
        <is>
          <t>Levi Men's Midweight Fleece Sweatshirt</t>
        </is>
      </c>
      <c r="D4453" s="0" t="inlineStr">
        <is>
          <t>'99448</t>
        </is>
      </c>
      <c r="E4453" s="0" t="inlineStr">
        <is>
          <t>LEVI:99448E-2XL</t>
        </is>
      </c>
      <c r="F4453" s="0" t="inlineStr">
        <is>
          <t>'000000000000</t>
        </is>
      </c>
      <c r="G4453" s="0" t="inlineStr">
        <is>
          <t>MENS</t>
        </is>
      </c>
      <c r="H4453" s="0" t="inlineStr">
        <is>
          <t>2XL</t>
        </is>
      </c>
      <c r="I4453" s="0">
        <v>41.99</v>
      </c>
      <c r="J4453" s="0">
        <v>16</v>
      </c>
    </row>
    <row r="4454" spans="1:10" customHeight="0">
      <c r="A4454" s="0">
        <f>HYPERLINK("https://dl.dropboxusercontent.com/scl/fi/rd7zbv6vm3ibmpwuh1bs3/99434af.jpg?rlkey=v4t7h5z4e4httt58jitbcuuv3&amp;dl=0","Click to download Image")</f>
      </c>
      <c r="C4454" s="0" t="inlineStr">
        <is>
          <t>Grant Men's Midweight Hoodie</t>
        </is>
      </c>
      <c r="D4454" s="0" t="inlineStr">
        <is>
          <t>'99434</t>
        </is>
      </c>
      <c r="E4454" s="0" t="inlineStr">
        <is>
          <t>GRANT:99434A-S</t>
        </is>
      </c>
      <c r="F4454" s="0" t="inlineStr">
        <is>
          <t>'000000000000</t>
        </is>
      </c>
      <c r="G4454" s="0" t="inlineStr">
        <is>
          <t>MENS</t>
        </is>
      </c>
      <c r="H4454" s="0" t="inlineStr">
        <is>
          <t>S</t>
        </is>
      </c>
      <c r="I4454" s="0">
        <v>49.99</v>
      </c>
      <c r="J4454" s="0">
        <v>29</v>
      </c>
    </row>
    <row r="4455" spans="1:10" customHeight="0">
      <c r="A4455" s="0">
        <f>HYPERLINK("https://dl.dropboxusercontent.com/scl/fi/rd7zbv6vm3ibmpwuh1bs3/99434af.jpg?rlkey=v4t7h5z4e4httt58jitbcuuv3&amp;dl=0","Click to download Image")</f>
      </c>
      <c r="C4455" s="0" t="inlineStr">
        <is>
          <t>Grant Men's Midweight Hoodie</t>
        </is>
      </c>
      <c r="D4455" s="0" t="inlineStr">
        <is>
          <t>'99434</t>
        </is>
      </c>
      <c r="E4455" s="0" t="inlineStr">
        <is>
          <t>GRANT:99434B-M</t>
        </is>
      </c>
      <c r="F4455" s="0" t="inlineStr">
        <is>
          <t>'000000000000</t>
        </is>
      </c>
      <c r="G4455" s="0" t="inlineStr">
        <is>
          <t>MENS</t>
        </is>
      </c>
      <c r="H4455" s="0" t="inlineStr">
        <is>
          <t>M</t>
        </is>
      </c>
      <c r="I4455" s="0">
        <v>49.99</v>
      </c>
      <c r="J4455" s="0">
        <v>24</v>
      </c>
    </row>
    <row r="4456" spans="1:10" customHeight="0">
      <c r="A4456" s="0">
        <f>HYPERLINK("https://dl.dropboxusercontent.com/scl/fi/rd7zbv6vm3ibmpwuh1bs3/99434af.jpg?rlkey=v4t7h5z4e4httt58jitbcuuv3&amp;dl=0","Click to download Image")</f>
      </c>
      <c r="C4456" s="0" t="inlineStr">
        <is>
          <t>Grant Men's Midweight Hoodie</t>
        </is>
      </c>
      <c r="D4456" s="0" t="inlineStr">
        <is>
          <t>'99434</t>
        </is>
      </c>
      <c r="E4456" s="0" t="inlineStr">
        <is>
          <t>GRANT:99434C-L</t>
        </is>
      </c>
      <c r="F4456" s="0" t="inlineStr">
        <is>
          <t>'000000000000</t>
        </is>
      </c>
      <c r="G4456" s="0" t="inlineStr">
        <is>
          <t>MENS</t>
        </is>
      </c>
      <c r="H4456" s="0" t="inlineStr">
        <is>
          <t>L</t>
        </is>
      </c>
      <c r="I4456" s="0">
        <v>49.99</v>
      </c>
      <c r="J4456" s="0">
        <v>0</v>
      </c>
    </row>
    <row r="4457" spans="1:10" customHeight="0">
      <c r="A4457" s="0">
        <f>HYPERLINK("https://dl.dropboxusercontent.com/scl/fi/rd7zbv6vm3ibmpwuh1bs3/99434af.jpg?rlkey=v4t7h5z4e4httt58jitbcuuv3&amp;dl=0","Click to download Image")</f>
      </c>
      <c r="C4457" s="0" t="inlineStr">
        <is>
          <t>Grant Men's Midweight Hoodie</t>
        </is>
      </c>
      <c r="D4457" s="0" t="inlineStr">
        <is>
          <t>'99434</t>
        </is>
      </c>
      <c r="E4457" s="0" t="inlineStr">
        <is>
          <t>GRANT:99434D-XL</t>
        </is>
      </c>
      <c r="F4457" s="0" t="inlineStr">
        <is>
          <t>'000000000000</t>
        </is>
      </c>
      <c r="G4457" s="0" t="inlineStr">
        <is>
          <t>MENS</t>
        </is>
      </c>
      <c r="H4457" s="0" t="inlineStr">
        <is>
          <t>XL</t>
        </is>
      </c>
      <c r="I4457" s="0">
        <v>49.99</v>
      </c>
      <c r="J4457" s="0">
        <v>0</v>
      </c>
    </row>
    <row r="4458" spans="1:10" customHeight="0">
      <c r="A4458" s="0">
        <f>HYPERLINK("https://dl.dropboxusercontent.com/scl/fi/rd7zbv6vm3ibmpwuh1bs3/99434af.jpg?rlkey=v4t7h5z4e4httt58jitbcuuv3&amp;dl=0","Click to download Image")</f>
      </c>
      <c r="C4458" s="0" t="inlineStr">
        <is>
          <t>Grant Men's Midweight Hoodie</t>
        </is>
      </c>
      <c r="D4458" s="0" t="inlineStr">
        <is>
          <t>'99434</t>
        </is>
      </c>
      <c r="E4458" s="0" t="inlineStr">
        <is>
          <t>GRANT:99434E-2XL</t>
        </is>
      </c>
      <c r="F4458" s="0" t="inlineStr">
        <is>
          <t>'000000000000</t>
        </is>
      </c>
      <c r="G4458" s="0" t="inlineStr">
        <is>
          <t>MENS</t>
        </is>
      </c>
      <c r="H4458" s="0" t="inlineStr">
        <is>
          <t>2XL</t>
        </is>
      </c>
      <c r="I4458" s="0">
        <v>51.99</v>
      </c>
      <c r="J4458" s="0">
        <v>7</v>
      </c>
    </row>
    <row r="4459" spans="1:10" customHeight="0">
      <c r="A4459" s="0">
        <f>HYPERLINK("https://dl.dropboxusercontent.com/scl/fi/rd7zbv6vm3ibmpwuh1bs3/99434af.jpg?rlkey=v4t7h5z4e4httt58jitbcuuv3&amp;dl=0","Click to download Image")</f>
      </c>
      <c r="C4459" s="0" t="inlineStr">
        <is>
          <t>Grant Men's Midweight Hoodie</t>
        </is>
      </c>
      <c r="D4459" s="0" t="inlineStr">
        <is>
          <t>'99434</t>
        </is>
      </c>
      <c r="E4459" s="0" t="inlineStr">
        <is>
          <t>GRANT:99434F-3XL</t>
        </is>
      </c>
      <c r="F4459" s="0" t="inlineStr">
        <is>
          <t>'000000000000</t>
        </is>
      </c>
      <c r="G4459" s="0" t="inlineStr">
        <is>
          <t>MENS</t>
        </is>
      </c>
      <c r="H4459" s="0" t="inlineStr">
        <is>
          <t>3XL</t>
        </is>
      </c>
      <c r="I4459" s="0">
        <v>51.99</v>
      </c>
      <c r="J4459" s="0">
        <v>11</v>
      </c>
    </row>
    <row r="4460" spans="1:10" customHeight="0">
      <c r="A4460" s="0">
        <f>HYPERLINK("https://dl.dropboxusercontent.com/scl/fi/bukx11l2nk51iphg6flt4/99435af.jpg?rlkey=n8x9a5fphvlrym1kc2upoy7hl&amp;dl=0","Click to download Image")</f>
      </c>
      <c r="C4460" s="0" t="inlineStr">
        <is>
          <t>Grant Men's Midweight Hoodie</t>
        </is>
      </c>
      <c r="D4460" s="0" t="inlineStr">
        <is>
          <t>'99435</t>
        </is>
      </c>
      <c r="E4460" s="0" t="inlineStr">
        <is>
          <t>GRANT:99435A-S</t>
        </is>
      </c>
      <c r="F4460" s="0" t="inlineStr">
        <is>
          <t>'000000000000</t>
        </is>
      </c>
      <c r="G4460" s="0" t="inlineStr">
        <is>
          <t>MENS</t>
        </is>
      </c>
      <c r="H4460" s="0" t="inlineStr">
        <is>
          <t>S</t>
        </is>
      </c>
      <c r="I4460" s="0">
        <v>49.99</v>
      </c>
      <c r="J4460" s="0">
        <v>14</v>
      </c>
    </row>
    <row r="4461" spans="1:10" customHeight="0">
      <c r="A4461" s="0">
        <f>HYPERLINK("https://dl.dropboxusercontent.com/scl/fi/bukx11l2nk51iphg6flt4/99435af.jpg?rlkey=n8x9a5fphvlrym1kc2upoy7hl&amp;dl=0","Click to download Image")</f>
      </c>
      <c r="C4461" s="0" t="inlineStr">
        <is>
          <t>Grant Men's Midweight Hoodie</t>
        </is>
      </c>
      <c r="D4461" s="0" t="inlineStr">
        <is>
          <t>'99435</t>
        </is>
      </c>
      <c r="E4461" s="0" t="inlineStr">
        <is>
          <t>GRANT:99435B-M</t>
        </is>
      </c>
      <c r="F4461" s="0" t="inlineStr">
        <is>
          <t>'000000000000</t>
        </is>
      </c>
      <c r="G4461" s="0" t="inlineStr">
        <is>
          <t>MENS</t>
        </is>
      </c>
      <c r="H4461" s="0" t="inlineStr">
        <is>
          <t>M</t>
        </is>
      </c>
      <c r="I4461" s="0">
        <v>49.99</v>
      </c>
      <c r="J4461" s="0">
        <v>26</v>
      </c>
    </row>
    <row r="4462" spans="1:10" customHeight="0">
      <c r="A4462" s="0">
        <f>HYPERLINK("https://dl.dropboxusercontent.com/scl/fi/bukx11l2nk51iphg6flt4/99435af.jpg?rlkey=n8x9a5fphvlrym1kc2upoy7hl&amp;dl=0","Click to download Image")</f>
      </c>
      <c r="C4462" s="0" t="inlineStr">
        <is>
          <t>Grant Men's Midweight Hoodie</t>
        </is>
      </c>
      <c r="D4462" s="0" t="inlineStr">
        <is>
          <t>'99435</t>
        </is>
      </c>
      <c r="E4462" s="0" t="inlineStr">
        <is>
          <t>GRANT:99435C-L</t>
        </is>
      </c>
      <c r="F4462" s="0" t="inlineStr">
        <is>
          <t>'000000000000</t>
        </is>
      </c>
      <c r="G4462" s="0" t="inlineStr">
        <is>
          <t>MENS</t>
        </is>
      </c>
      <c r="H4462" s="0" t="inlineStr">
        <is>
          <t>L</t>
        </is>
      </c>
      <c r="I4462" s="0">
        <v>49.99</v>
      </c>
      <c r="J4462" s="0">
        <v>0</v>
      </c>
    </row>
    <row r="4463" spans="1:10" customHeight="0">
      <c r="A4463" s="0">
        <f>HYPERLINK("https://dl.dropboxusercontent.com/scl/fi/bukx11l2nk51iphg6flt4/99435af.jpg?rlkey=n8x9a5fphvlrym1kc2upoy7hl&amp;dl=0","Click to download Image")</f>
      </c>
      <c r="C4463" s="0" t="inlineStr">
        <is>
          <t>Grant Men's Midweight Hoodie</t>
        </is>
      </c>
      <c r="D4463" s="0" t="inlineStr">
        <is>
          <t>'99435</t>
        </is>
      </c>
      <c r="E4463" s="0" t="inlineStr">
        <is>
          <t>GRANT:99435D-XL</t>
        </is>
      </c>
      <c r="F4463" s="0" t="inlineStr">
        <is>
          <t>'000000000000</t>
        </is>
      </c>
      <c r="G4463" s="0" t="inlineStr">
        <is>
          <t>MENS</t>
        </is>
      </c>
      <c r="H4463" s="0" t="inlineStr">
        <is>
          <t>XL</t>
        </is>
      </c>
      <c r="I4463" s="0">
        <v>49.99</v>
      </c>
      <c r="J4463" s="0">
        <v>0</v>
      </c>
    </row>
    <row r="4464" spans="1:10" customHeight="0">
      <c r="A4464" s="0">
        <f>HYPERLINK("https://dl.dropboxusercontent.com/scl/fi/bukx11l2nk51iphg6flt4/99435af.jpg?rlkey=n8x9a5fphvlrym1kc2upoy7hl&amp;dl=0","Click to download Image")</f>
      </c>
      <c r="C4464" s="0" t="inlineStr">
        <is>
          <t>Grant Men's Midweight Hoodie</t>
        </is>
      </c>
      <c r="D4464" s="0" t="inlineStr">
        <is>
          <t>'99435</t>
        </is>
      </c>
      <c r="E4464" s="0" t="inlineStr">
        <is>
          <t>GRANT:99435E-2XL</t>
        </is>
      </c>
      <c r="F4464" s="0" t="inlineStr">
        <is>
          <t>'000000000000</t>
        </is>
      </c>
      <c r="G4464" s="0" t="inlineStr">
        <is>
          <t>MENS</t>
        </is>
      </c>
      <c r="H4464" s="0" t="inlineStr">
        <is>
          <t>2XL</t>
        </is>
      </c>
      <c r="I4464" s="0">
        <v>51.99</v>
      </c>
      <c r="J4464" s="0">
        <v>7</v>
      </c>
    </row>
    <row r="4465" spans="1:10" customHeight="0">
      <c r="A4465" s="0">
        <f>HYPERLINK("https://dl.dropboxusercontent.com/scl/fi/bukx11l2nk51iphg6flt4/99435af.jpg?rlkey=n8x9a5fphvlrym1kc2upoy7hl&amp;dl=0","Click to download Image")</f>
      </c>
      <c r="C4465" s="0" t="inlineStr">
        <is>
          <t>Grant Men's Midweight Hoodie</t>
        </is>
      </c>
      <c r="D4465" s="0" t="inlineStr">
        <is>
          <t>'99435</t>
        </is>
      </c>
      <c r="E4465" s="0" t="inlineStr">
        <is>
          <t>GRANT:99435F-3XL</t>
        </is>
      </c>
      <c r="F4465" s="0" t="inlineStr">
        <is>
          <t>'000000000000</t>
        </is>
      </c>
      <c r="G4465" s="0" t="inlineStr">
        <is>
          <t>MENS</t>
        </is>
      </c>
      <c r="H4465" s="0" t="inlineStr">
        <is>
          <t>3XL</t>
        </is>
      </c>
      <c r="I4465" s="0">
        <v>51.99</v>
      </c>
      <c r="J4465" s="0">
        <v>14</v>
      </c>
    </row>
    <row r="4466" spans="1:10" customHeight="0">
      <c r="A4466" s="0">
        <f>HYPERLINK("https://dl.dropboxusercontent.com/scl/fi/nshobqgchv6za0k4ua3lm/99437af.jpg?rlkey=31bcsnldu105mtz2ruh8wjvmn&amp;dl=0","Click to download Image")</f>
      </c>
      <c r="C4466" s="0" t="inlineStr">
        <is>
          <t>Grant Men's Midweight Hoodie</t>
        </is>
      </c>
      <c r="D4466" s="0" t="inlineStr">
        <is>
          <t>'99437</t>
        </is>
      </c>
      <c r="E4466" s="0" t="inlineStr">
        <is>
          <t>GRANT:99437A-S</t>
        </is>
      </c>
      <c r="F4466" s="0" t="inlineStr">
        <is>
          <t>'000000000000</t>
        </is>
      </c>
      <c r="G4466" s="0" t="inlineStr">
        <is>
          <t>MENS</t>
        </is>
      </c>
      <c r="H4466" s="0" t="inlineStr">
        <is>
          <t>S</t>
        </is>
      </c>
      <c r="I4466" s="0">
        <v>49.99</v>
      </c>
      <c r="J4466" s="0">
        <v>7</v>
      </c>
    </row>
    <row r="4467" spans="1:10" customHeight="0">
      <c r="A4467" s="0">
        <f>HYPERLINK("https://dl.dropboxusercontent.com/scl/fi/nshobqgchv6za0k4ua3lm/99437af.jpg?rlkey=31bcsnldu105mtz2ruh8wjvmn&amp;dl=0","Click to download Image")</f>
      </c>
      <c r="C4467" s="0" t="inlineStr">
        <is>
          <t>Grant Men's Midweight Hoodie</t>
        </is>
      </c>
      <c r="D4467" s="0" t="inlineStr">
        <is>
          <t>'99437</t>
        </is>
      </c>
      <c r="E4467" s="0" t="inlineStr">
        <is>
          <t>GRANT:99437B-M</t>
        </is>
      </c>
      <c r="F4467" s="0" t="inlineStr">
        <is>
          <t>'000000000000</t>
        </is>
      </c>
      <c r="G4467" s="0" t="inlineStr">
        <is>
          <t>MENS</t>
        </is>
      </c>
      <c r="H4467" s="0" t="inlineStr">
        <is>
          <t>M</t>
        </is>
      </c>
      <c r="I4467" s="0">
        <v>49.99</v>
      </c>
      <c r="J4467" s="0">
        <v>0</v>
      </c>
    </row>
    <row r="4468" spans="1:10" customHeight="0">
      <c r="A4468" s="0">
        <f>HYPERLINK("https://dl.dropboxusercontent.com/scl/fi/nshobqgchv6za0k4ua3lm/99437af.jpg?rlkey=31bcsnldu105mtz2ruh8wjvmn&amp;dl=0","Click to download Image")</f>
      </c>
      <c r="C4468" s="0" t="inlineStr">
        <is>
          <t>Grant Men's Midweight Hoodie</t>
        </is>
      </c>
      <c r="D4468" s="0" t="inlineStr">
        <is>
          <t>'99437</t>
        </is>
      </c>
      <c r="E4468" s="0" t="inlineStr">
        <is>
          <t>GRANT:99437C-L</t>
        </is>
      </c>
      <c r="F4468" s="0" t="inlineStr">
        <is>
          <t>'000000000000</t>
        </is>
      </c>
      <c r="G4468" s="0" t="inlineStr">
        <is>
          <t>MENS</t>
        </is>
      </c>
      <c r="H4468" s="0" t="inlineStr">
        <is>
          <t>L</t>
        </is>
      </c>
      <c r="I4468" s="0">
        <v>49.99</v>
      </c>
      <c r="J4468" s="0">
        <v>0</v>
      </c>
    </row>
    <row r="4469" spans="1:10" customHeight="0">
      <c r="A4469" s="0">
        <f>HYPERLINK("https://dl.dropboxusercontent.com/scl/fi/nshobqgchv6za0k4ua3lm/99437af.jpg?rlkey=31bcsnldu105mtz2ruh8wjvmn&amp;dl=0","Click to download Image")</f>
      </c>
      <c r="C4469" s="0" t="inlineStr">
        <is>
          <t>Grant Men's Midweight Hoodie</t>
        </is>
      </c>
      <c r="D4469" s="0" t="inlineStr">
        <is>
          <t>'99437</t>
        </is>
      </c>
      <c r="E4469" s="0" t="inlineStr">
        <is>
          <t>GRANT:99437D-XL</t>
        </is>
      </c>
      <c r="F4469" s="0" t="inlineStr">
        <is>
          <t>'000000000000</t>
        </is>
      </c>
      <c r="G4469" s="0" t="inlineStr">
        <is>
          <t>MENS</t>
        </is>
      </c>
      <c r="H4469" s="0" t="inlineStr">
        <is>
          <t>XL</t>
        </is>
      </c>
      <c r="I4469" s="0">
        <v>49.99</v>
      </c>
      <c r="J4469" s="0">
        <v>0</v>
      </c>
    </row>
    <row r="4470" spans="1:10" customHeight="0">
      <c r="A4470" s="0">
        <f>HYPERLINK("https://dl.dropboxusercontent.com/scl/fi/nshobqgchv6za0k4ua3lm/99437af.jpg?rlkey=31bcsnldu105mtz2ruh8wjvmn&amp;dl=0","Click to download Image")</f>
      </c>
      <c r="C4470" s="0" t="inlineStr">
        <is>
          <t>Grant Men's Midweight Hoodie</t>
        </is>
      </c>
      <c r="D4470" s="0" t="inlineStr">
        <is>
          <t>'99437</t>
        </is>
      </c>
      <c r="E4470" s="0" t="inlineStr">
        <is>
          <t>GRANT:99437E-2XL</t>
        </is>
      </c>
      <c r="F4470" s="0" t="inlineStr">
        <is>
          <t>'000000000000</t>
        </is>
      </c>
      <c r="G4470" s="0" t="inlineStr">
        <is>
          <t>MENS</t>
        </is>
      </c>
      <c r="H4470" s="0" t="inlineStr">
        <is>
          <t>2XL</t>
        </is>
      </c>
      <c r="I4470" s="0">
        <v>51.99</v>
      </c>
      <c r="J4470" s="0">
        <v>0</v>
      </c>
    </row>
    <row r="4471" spans="1:10" customHeight="0">
      <c r="A4471" s="0">
        <f>HYPERLINK("https://dl.dropboxusercontent.com/scl/fi/nshobqgchv6za0k4ua3lm/99437af.jpg?rlkey=31bcsnldu105mtz2ruh8wjvmn&amp;dl=0","Click to download Image")</f>
      </c>
      <c r="C4471" s="0" t="inlineStr">
        <is>
          <t>Grant Men's Midweight Hoodie</t>
        </is>
      </c>
      <c r="D4471" s="0" t="inlineStr">
        <is>
          <t>'99437</t>
        </is>
      </c>
      <c r="E4471" s="0" t="inlineStr">
        <is>
          <t>GRANT:99437F-3XL</t>
        </is>
      </c>
      <c r="F4471" s="0" t="inlineStr">
        <is>
          <t>'000000000000</t>
        </is>
      </c>
      <c r="G4471" s="0" t="inlineStr">
        <is>
          <t>MENS</t>
        </is>
      </c>
      <c r="H4471" s="0" t="inlineStr">
        <is>
          <t>3XL</t>
        </is>
      </c>
      <c r="I4471" s="0">
        <v>51.99</v>
      </c>
      <c r="J4471" s="0">
        <v>0</v>
      </c>
    </row>
    <row r="4472" spans="1:10" customHeight="0">
      <c r="A4472" s="0">
        <f>HYPERLINK("https://dl.dropboxusercontent.com/scl/fi/0vry8wmtzv899n7ekbd1g/103400f10782.jpg?rlkey=25tz95srlj7zwhbn9nl84uoh6&amp;dl=0","Click to download Image")</f>
      </c>
      <c r="B4472" s="0">
        <f>HYPERLINK("https://dl.dropboxusercontent.com/scl/fi/pqjtig7y0u554m9l06erz/10-18-size-chartsmens-relaxed.jpg?rlkey=evlwf4ovjaxqlnptavz7ep0f7&amp;dl=0","Click to download SizeChart")</f>
      </c>
      <c r="C4472" s="0" t="inlineStr">
        <is>
          <t>Luca Men's Midweight Fleece Sweatshirt</t>
        </is>
      </c>
      <c r="D4472" s="0" t="inlineStr">
        <is>
          <t>'103400</t>
        </is>
      </c>
      <c r="E4472" s="0" t="inlineStr">
        <is>
          <t>LUCA:103400A-S</t>
        </is>
      </c>
      <c r="F4472" s="0" t="inlineStr">
        <is>
          <t>'000000000000</t>
        </is>
      </c>
      <c r="G4472" s="0" t="inlineStr">
        <is>
          <t>MENS</t>
        </is>
      </c>
      <c r="H4472" s="0" t="inlineStr">
        <is>
          <t>S</t>
        </is>
      </c>
      <c r="I4472" s="0">
        <v>29.99</v>
      </c>
      <c r="J4472" s="0">
        <v>10</v>
      </c>
    </row>
    <row r="4473" spans="1:10" customHeight="0">
      <c r="A4473" s="0">
        <f>HYPERLINK("https://dl.dropboxusercontent.com/scl/fi/0vry8wmtzv899n7ekbd1g/103400f10782.jpg?rlkey=25tz95srlj7zwhbn9nl84uoh6&amp;dl=0","Click to download Image")</f>
      </c>
      <c r="B4473" s="0">
        <f>HYPERLINK("https://dl.dropboxusercontent.com/scl/fi/pqjtig7y0u554m9l06erz/10-18-size-chartsmens-relaxed.jpg?rlkey=evlwf4ovjaxqlnptavz7ep0f7&amp;dl=0","Click to download SizeChart")</f>
      </c>
      <c r="C4473" s="0" t="inlineStr">
        <is>
          <t>Luca Men's Midweight Fleece Sweatshirt</t>
        </is>
      </c>
      <c r="D4473" s="0" t="inlineStr">
        <is>
          <t>'103400</t>
        </is>
      </c>
      <c r="E4473" s="0" t="inlineStr">
        <is>
          <t>LUCA:103400B-M</t>
        </is>
      </c>
      <c r="F4473" s="0" t="inlineStr">
        <is>
          <t>'000000000000</t>
        </is>
      </c>
      <c r="G4473" s="0" t="inlineStr">
        <is>
          <t>MENS</t>
        </is>
      </c>
      <c r="H4473" s="0" t="inlineStr">
        <is>
          <t>M</t>
        </is>
      </c>
      <c r="I4473" s="0">
        <v>29.99</v>
      </c>
      <c r="J4473" s="0">
        <v>32</v>
      </c>
    </row>
    <row r="4474" spans="1:10" customHeight="0">
      <c r="A4474" s="0">
        <f>HYPERLINK("https://dl.dropboxusercontent.com/scl/fi/0vry8wmtzv899n7ekbd1g/103400f10782.jpg?rlkey=25tz95srlj7zwhbn9nl84uoh6&amp;dl=0","Click to download Image")</f>
      </c>
      <c r="B4474" s="0">
        <f>HYPERLINK("https://dl.dropboxusercontent.com/scl/fi/pqjtig7y0u554m9l06erz/10-18-size-chartsmens-relaxed.jpg?rlkey=evlwf4ovjaxqlnptavz7ep0f7&amp;dl=0","Click to download SizeChart")</f>
      </c>
      <c r="C4474" s="0" t="inlineStr">
        <is>
          <t>Luca Men's Midweight Fleece Sweatshirt</t>
        </is>
      </c>
      <c r="D4474" s="0" t="inlineStr">
        <is>
          <t>'103400</t>
        </is>
      </c>
      <c r="E4474" s="0" t="inlineStr">
        <is>
          <t>LUCA:103400C-L</t>
        </is>
      </c>
      <c r="F4474" s="0" t="inlineStr">
        <is>
          <t>'000000000000</t>
        </is>
      </c>
      <c r="G4474" s="0" t="inlineStr">
        <is>
          <t>MENS</t>
        </is>
      </c>
      <c r="H4474" s="0" t="inlineStr">
        <is>
          <t>L</t>
        </is>
      </c>
      <c r="I4474" s="0">
        <v>29.99</v>
      </c>
      <c r="J4474" s="0">
        <v>38</v>
      </c>
    </row>
    <row r="4475" spans="1:10" customHeight="0">
      <c r="A4475" s="0">
        <f>HYPERLINK("https://dl.dropboxusercontent.com/scl/fi/0vry8wmtzv899n7ekbd1g/103400f10782.jpg?rlkey=25tz95srlj7zwhbn9nl84uoh6&amp;dl=0","Click to download Image")</f>
      </c>
      <c r="B4475" s="0">
        <f>HYPERLINK("https://dl.dropboxusercontent.com/scl/fi/pqjtig7y0u554m9l06erz/10-18-size-chartsmens-relaxed.jpg?rlkey=evlwf4ovjaxqlnptavz7ep0f7&amp;dl=0","Click to download SizeChart")</f>
      </c>
      <c r="C4475" s="0" t="inlineStr">
        <is>
          <t>Luca Men's Midweight Fleece Sweatshirt</t>
        </is>
      </c>
      <c r="D4475" s="0" t="inlineStr">
        <is>
          <t>'103400</t>
        </is>
      </c>
      <c r="E4475" s="0" t="inlineStr">
        <is>
          <t>LUCA:103400D-XL</t>
        </is>
      </c>
      <c r="F4475" s="0" t="inlineStr">
        <is>
          <t>'000000000000</t>
        </is>
      </c>
      <c r="G4475" s="0" t="inlineStr">
        <is>
          <t>MENS</t>
        </is>
      </c>
      <c r="H4475" s="0" t="inlineStr">
        <is>
          <t>XL</t>
        </is>
      </c>
      <c r="I4475" s="0">
        <v>29.99</v>
      </c>
      <c r="J4475" s="0">
        <v>41</v>
      </c>
    </row>
    <row r="4476" spans="1:10" customHeight="0">
      <c r="A4476" s="0">
        <f>HYPERLINK("https://dl.dropboxusercontent.com/scl/fi/0vry8wmtzv899n7ekbd1g/103400f10782.jpg?rlkey=25tz95srlj7zwhbn9nl84uoh6&amp;dl=0","Click to download Image")</f>
      </c>
      <c r="B4476" s="0">
        <f>HYPERLINK("https://dl.dropboxusercontent.com/scl/fi/pqjtig7y0u554m9l06erz/10-18-size-chartsmens-relaxed.jpg?rlkey=evlwf4ovjaxqlnptavz7ep0f7&amp;dl=0","Click to download SizeChart")</f>
      </c>
      <c r="C4476" s="0" t="inlineStr">
        <is>
          <t>Luca Men's Midweight Fleece Sweatshirt</t>
        </is>
      </c>
      <c r="D4476" s="0" t="inlineStr">
        <is>
          <t>'103400</t>
        </is>
      </c>
      <c r="E4476" s="0" t="inlineStr">
        <is>
          <t>LUCA:103400E-2XL</t>
        </is>
      </c>
      <c r="F4476" s="0" t="inlineStr">
        <is>
          <t>'000000000000</t>
        </is>
      </c>
      <c r="G4476" s="0" t="inlineStr">
        <is>
          <t>MENS</t>
        </is>
      </c>
      <c r="H4476" s="0" t="inlineStr">
        <is>
          <t>2XL</t>
        </is>
      </c>
      <c r="I4476" s="0">
        <v>31.99</v>
      </c>
      <c r="J4476" s="0">
        <v>56</v>
      </c>
    </row>
    <row r="4477" spans="1:10" customHeight="0">
      <c r="A4477" s="0">
        <f>HYPERLINK("https://dl.dropboxusercontent.com/scl/fi/0vry8wmtzv899n7ekbd1g/103400f10782.jpg?rlkey=25tz95srlj7zwhbn9nl84uoh6&amp;dl=0","Click to download Image")</f>
      </c>
      <c r="B4477" s="0">
        <f>HYPERLINK("https://dl.dropboxusercontent.com/scl/fi/pqjtig7y0u554m9l06erz/10-18-size-chartsmens-relaxed.jpg?rlkey=evlwf4ovjaxqlnptavz7ep0f7&amp;dl=0","Click to download SizeChart")</f>
      </c>
      <c r="C4477" s="0" t="inlineStr">
        <is>
          <t>Luca Men's Midweight Fleece Sweatshirt</t>
        </is>
      </c>
      <c r="D4477" s="0" t="inlineStr">
        <is>
          <t>'103400</t>
        </is>
      </c>
      <c r="E4477" s="0" t="inlineStr">
        <is>
          <t>LUCA:103400F-3XL</t>
        </is>
      </c>
      <c r="F4477" s="0" t="inlineStr">
        <is>
          <t>'000000000000</t>
        </is>
      </c>
      <c r="G4477" s="0" t="inlineStr">
        <is>
          <t>MENS</t>
        </is>
      </c>
      <c r="H4477" s="0" t="inlineStr">
        <is>
          <t>3XL</t>
        </is>
      </c>
      <c r="I4477" s="0">
        <v>31.99</v>
      </c>
      <c r="J4477" s="0">
        <v>29</v>
      </c>
    </row>
    <row r="4478" spans="1:10" customHeight="0">
      <c r="A4478" s="0">
        <f>HYPERLINK("https://dl.dropboxusercontent.com/scl/fi/1nf4fy7yw0ojqttkgbvan/103390-af.jpg?rlkey=gqes397bejj0le2w6sqkihflm&amp;dl=0","Click to download Image")</f>
      </c>
      <c r="B4478" s="0">
        <f>HYPERLINK("https://dl.dropboxusercontent.com/scl/fi/pqjtig7y0u554m9l06erz/10-18-size-chartsmens-relaxed.jpg?rlkey=evlwf4ovjaxqlnptavz7ep0f7&amp;dl=0","Click to download SizeChart")</f>
      </c>
      <c r="C4478" s="0" t="inlineStr">
        <is>
          <t>Luca Men's Midweight Fleece Sweatshirt</t>
        </is>
      </c>
      <c r="D4478" s="0" t="inlineStr">
        <is>
          <t>'103390</t>
        </is>
      </c>
      <c r="E4478" s="0" t="inlineStr">
        <is>
          <t>LUCA:103390A-S</t>
        </is>
      </c>
      <c r="F4478" s="0" t="inlineStr">
        <is>
          <t>'000000000000</t>
        </is>
      </c>
      <c r="G4478" s="0" t="inlineStr">
        <is>
          <t>MENS</t>
        </is>
      </c>
      <c r="H4478" s="0" t="inlineStr">
        <is>
          <t>S</t>
        </is>
      </c>
      <c r="I4478" s="0">
        <v>29.99</v>
      </c>
      <c r="J4478" s="0">
        <v>14</v>
      </c>
    </row>
    <row r="4479" spans="1:10" customHeight="0">
      <c r="A4479" s="0">
        <f>HYPERLINK("https://dl.dropboxusercontent.com/scl/fi/1nf4fy7yw0ojqttkgbvan/103390-af.jpg?rlkey=gqes397bejj0le2w6sqkihflm&amp;dl=0","Click to download Image")</f>
      </c>
      <c r="B4479" s="0">
        <f>HYPERLINK("https://dl.dropboxusercontent.com/scl/fi/pqjtig7y0u554m9l06erz/10-18-size-chartsmens-relaxed.jpg?rlkey=evlwf4ovjaxqlnptavz7ep0f7&amp;dl=0","Click to download SizeChart")</f>
      </c>
      <c r="C4479" s="0" t="inlineStr">
        <is>
          <t>Luca Men's Midweight Fleece Sweatshirt</t>
        </is>
      </c>
      <c r="D4479" s="0" t="inlineStr">
        <is>
          <t>'103390</t>
        </is>
      </c>
      <c r="E4479" s="0" t="inlineStr">
        <is>
          <t>LUCA:103390B-M</t>
        </is>
      </c>
      <c r="F4479" s="0" t="inlineStr">
        <is>
          <t>'000000000000</t>
        </is>
      </c>
      <c r="G4479" s="0" t="inlineStr">
        <is>
          <t>MENS</t>
        </is>
      </c>
      <c r="H4479" s="0" t="inlineStr">
        <is>
          <t>M</t>
        </is>
      </c>
      <c r="I4479" s="0">
        <v>29.99</v>
      </c>
      <c r="J4479" s="0">
        <v>25</v>
      </c>
    </row>
    <row r="4480" spans="1:10" customHeight="0">
      <c r="A4480" s="0">
        <f>HYPERLINK("https://dl.dropboxusercontent.com/scl/fi/1nf4fy7yw0ojqttkgbvan/103390-af.jpg?rlkey=gqes397bejj0le2w6sqkihflm&amp;dl=0","Click to download Image")</f>
      </c>
      <c r="B4480" s="0">
        <f>HYPERLINK("https://dl.dropboxusercontent.com/scl/fi/pqjtig7y0u554m9l06erz/10-18-size-chartsmens-relaxed.jpg?rlkey=evlwf4ovjaxqlnptavz7ep0f7&amp;dl=0","Click to download SizeChart")</f>
      </c>
      <c r="C4480" s="0" t="inlineStr">
        <is>
          <t>Luca Men's Midweight Fleece Sweatshirt</t>
        </is>
      </c>
      <c r="D4480" s="0" t="inlineStr">
        <is>
          <t>'103390</t>
        </is>
      </c>
      <c r="E4480" s="0" t="inlineStr">
        <is>
          <t>LUCA:103390C-L</t>
        </is>
      </c>
      <c r="F4480" s="0" t="inlineStr">
        <is>
          <t>'000000000000</t>
        </is>
      </c>
      <c r="G4480" s="0" t="inlineStr">
        <is>
          <t>MENS</t>
        </is>
      </c>
      <c r="H4480" s="0" t="inlineStr">
        <is>
          <t>L</t>
        </is>
      </c>
      <c r="I4480" s="0">
        <v>29.99</v>
      </c>
      <c r="J4480" s="0">
        <v>31</v>
      </c>
    </row>
    <row r="4481" spans="1:10" customHeight="0">
      <c r="A4481" s="0">
        <f>HYPERLINK("https://dl.dropboxusercontent.com/scl/fi/1nf4fy7yw0ojqttkgbvan/103390-af.jpg?rlkey=gqes397bejj0le2w6sqkihflm&amp;dl=0","Click to download Image")</f>
      </c>
      <c r="B4481" s="0">
        <f>HYPERLINK("https://dl.dropboxusercontent.com/scl/fi/pqjtig7y0u554m9l06erz/10-18-size-chartsmens-relaxed.jpg?rlkey=evlwf4ovjaxqlnptavz7ep0f7&amp;dl=0","Click to download SizeChart")</f>
      </c>
      <c r="C4481" s="0" t="inlineStr">
        <is>
          <t>Luca Men's Midweight Fleece Sweatshirt</t>
        </is>
      </c>
      <c r="D4481" s="0" t="inlineStr">
        <is>
          <t>'103390</t>
        </is>
      </c>
      <c r="E4481" s="0" t="inlineStr">
        <is>
          <t>LUCA:103390D-XL</t>
        </is>
      </c>
      <c r="F4481" s="0" t="inlineStr">
        <is>
          <t>'000000000000</t>
        </is>
      </c>
      <c r="G4481" s="0" t="inlineStr">
        <is>
          <t>MENS</t>
        </is>
      </c>
      <c r="H4481" s="0" t="inlineStr">
        <is>
          <t>XL</t>
        </is>
      </c>
      <c r="I4481" s="0">
        <v>29.99</v>
      </c>
      <c r="J4481" s="0">
        <v>36</v>
      </c>
    </row>
    <row r="4482" spans="1:10" customHeight="0">
      <c r="A4482" s="0">
        <f>HYPERLINK("https://dl.dropboxusercontent.com/scl/fi/1nf4fy7yw0ojqttkgbvan/103390-af.jpg?rlkey=gqes397bejj0le2w6sqkihflm&amp;dl=0","Click to download Image")</f>
      </c>
      <c r="B4482" s="0">
        <f>HYPERLINK("https://dl.dropboxusercontent.com/scl/fi/pqjtig7y0u554m9l06erz/10-18-size-chartsmens-relaxed.jpg?rlkey=evlwf4ovjaxqlnptavz7ep0f7&amp;dl=0","Click to download SizeChart")</f>
      </c>
      <c r="C4482" s="0" t="inlineStr">
        <is>
          <t>Luca Men's Midweight Fleece Sweatshirt</t>
        </is>
      </c>
      <c r="D4482" s="0" t="inlineStr">
        <is>
          <t>'103390</t>
        </is>
      </c>
      <c r="E4482" s="0" t="inlineStr">
        <is>
          <t>LUCA:103390E-2XL</t>
        </is>
      </c>
      <c r="F4482" s="0" t="inlineStr">
        <is>
          <t>'000000000000</t>
        </is>
      </c>
      <c r="G4482" s="0" t="inlineStr">
        <is>
          <t>MENS</t>
        </is>
      </c>
      <c r="H4482" s="0" t="inlineStr">
        <is>
          <t>2XL</t>
        </is>
      </c>
      <c r="I4482" s="0">
        <v>31.99</v>
      </c>
      <c r="J4482" s="0">
        <v>25</v>
      </c>
    </row>
    <row r="4483" spans="1:10" customHeight="0">
      <c r="A4483" s="0">
        <f>HYPERLINK("https://dl.dropboxusercontent.com/scl/fi/1nf4fy7yw0ojqttkgbvan/103390-af.jpg?rlkey=gqes397bejj0le2w6sqkihflm&amp;dl=0","Click to download Image")</f>
      </c>
      <c r="B4483" s="0">
        <f>HYPERLINK("https://dl.dropboxusercontent.com/scl/fi/pqjtig7y0u554m9l06erz/10-18-size-chartsmens-relaxed.jpg?rlkey=evlwf4ovjaxqlnptavz7ep0f7&amp;dl=0","Click to download SizeChart")</f>
      </c>
      <c r="C4483" s="0" t="inlineStr">
        <is>
          <t>Luca Men's Midweight Fleece Sweatshirt</t>
        </is>
      </c>
      <c r="D4483" s="0" t="inlineStr">
        <is>
          <t>'103390</t>
        </is>
      </c>
      <c r="E4483" s="0" t="inlineStr">
        <is>
          <t>LUCA:103390F-3XL</t>
        </is>
      </c>
      <c r="F4483" s="0" t="inlineStr">
        <is>
          <t>'000000000000</t>
        </is>
      </c>
      <c r="G4483" s="0" t="inlineStr">
        <is>
          <t>MENS</t>
        </is>
      </c>
      <c r="H4483" s="0" t="inlineStr">
        <is>
          <t>3XL</t>
        </is>
      </c>
      <c r="I4483" s="0">
        <v>31.99</v>
      </c>
      <c r="J4483" s="0">
        <v>7</v>
      </c>
    </row>
    <row r="4484" spans="1:10" customHeight="0">
      <c r="A4484" s="0">
        <f>HYPERLINK("https://dl.dropboxusercontent.com/scl/fi/0we615nuhmo13nzvpkbax/103387-af.jpg?rlkey=latrfekprwzhb5fnq4jeofz0e&amp;dl=0","Click to download Image")</f>
      </c>
      <c r="B4484" s="0">
        <f>HYPERLINK("https://dl.dropboxusercontent.com/scl/fi/pqjtig7y0u554m9l06erz/10-18-size-chartsmens-relaxed.jpg?rlkey=evlwf4ovjaxqlnptavz7ep0f7&amp;dl=0","Click to download SizeChart")</f>
      </c>
      <c r="C4484" s="0" t="inlineStr">
        <is>
          <t>Luca Men's Midweight Fleece Sweatshirt</t>
        </is>
      </c>
      <c r="D4484" s="0" t="inlineStr">
        <is>
          <t>'103387</t>
        </is>
      </c>
      <c r="E4484" s="0" t="inlineStr">
        <is>
          <t>LUCA:103387A-S</t>
        </is>
      </c>
      <c r="F4484" s="0" t="inlineStr">
        <is>
          <t>'000000000000</t>
        </is>
      </c>
      <c r="G4484" s="0" t="inlineStr">
        <is>
          <t>MENS</t>
        </is>
      </c>
      <c r="H4484" s="0" t="inlineStr">
        <is>
          <t>S</t>
        </is>
      </c>
      <c r="I4484" s="0">
        <v>29.99</v>
      </c>
      <c r="J4484" s="0">
        <v>19</v>
      </c>
    </row>
    <row r="4485" spans="1:10" customHeight="0">
      <c r="A4485" s="0">
        <f>HYPERLINK("https://dl.dropboxusercontent.com/scl/fi/0we615nuhmo13nzvpkbax/103387-af.jpg?rlkey=latrfekprwzhb5fnq4jeofz0e&amp;dl=0","Click to download Image")</f>
      </c>
      <c r="B4485" s="0">
        <f>HYPERLINK("https://dl.dropboxusercontent.com/scl/fi/pqjtig7y0u554m9l06erz/10-18-size-chartsmens-relaxed.jpg?rlkey=evlwf4ovjaxqlnptavz7ep0f7&amp;dl=0","Click to download SizeChart")</f>
      </c>
      <c r="C4485" s="0" t="inlineStr">
        <is>
          <t>Luca Men's Midweight Fleece Sweatshirt</t>
        </is>
      </c>
      <c r="D4485" s="0" t="inlineStr">
        <is>
          <t>'103387</t>
        </is>
      </c>
      <c r="E4485" s="0" t="inlineStr">
        <is>
          <t>LUCA:103387B-M</t>
        </is>
      </c>
      <c r="F4485" s="0" t="inlineStr">
        <is>
          <t>'000000000000</t>
        </is>
      </c>
      <c r="G4485" s="0" t="inlineStr">
        <is>
          <t>MENS</t>
        </is>
      </c>
      <c r="H4485" s="0" t="inlineStr">
        <is>
          <t>M</t>
        </is>
      </c>
      <c r="I4485" s="0">
        <v>29.99</v>
      </c>
      <c r="J4485" s="0">
        <v>37</v>
      </c>
    </row>
    <row r="4486" spans="1:10" customHeight="0">
      <c r="A4486" s="0">
        <f>HYPERLINK("https://dl.dropboxusercontent.com/scl/fi/0we615nuhmo13nzvpkbax/103387-af.jpg?rlkey=latrfekprwzhb5fnq4jeofz0e&amp;dl=0","Click to download Image")</f>
      </c>
      <c r="B4486" s="0">
        <f>HYPERLINK("https://dl.dropboxusercontent.com/scl/fi/pqjtig7y0u554m9l06erz/10-18-size-chartsmens-relaxed.jpg?rlkey=evlwf4ovjaxqlnptavz7ep0f7&amp;dl=0","Click to download SizeChart")</f>
      </c>
      <c r="C4486" s="0" t="inlineStr">
        <is>
          <t>Luca Men's Midweight Fleece Sweatshirt</t>
        </is>
      </c>
      <c r="D4486" s="0" t="inlineStr">
        <is>
          <t>'103387</t>
        </is>
      </c>
      <c r="E4486" s="0" t="inlineStr">
        <is>
          <t>LUCA:103387C-L</t>
        </is>
      </c>
      <c r="F4486" s="0" t="inlineStr">
        <is>
          <t>'000000000000</t>
        </is>
      </c>
      <c r="G4486" s="0" t="inlineStr">
        <is>
          <t>MENS</t>
        </is>
      </c>
      <c r="H4486" s="0" t="inlineStr">
        <is>
          <t>L</t>
        </is>
      </c>
      <c r="I4486" s="0">
        <v>29.99</v>
      </c>
      <c r="J4486" s="0">
        <v>58</v>
      </c>
    </row>
    <row r="4487" spans="1:10" customHeight="0">
      <c r="A4487" s="0">
        <f>HYPERLINK("https://dl.dropboxusercontent.com/scl/fi/0we615nuhmo13nzvpkbax/103387-af.jpg?rlkey=latrfekprwzhb5fnq4jeofz0e&amp;dl=0","Click to download Image")</f>
      </c>
      <c r="B4487" s="0">
        <f>HYPERLINK("https://dl.dropboxusercontent.com/scl/fi/pqjtig7y0u554m9l06erz/10-18-size-chartsmens-relaxed.jpg?rlkey=evlwf4ovjaxqlnptavz7ep0f7&amp;dl=0","Click to download SizeChart")</f>
      </c>
      <c r="C4487" s="0" t="inlineStr">
        <is>
          <t>Luca Men's Midweight Fleece Sweatshirt</t>
        </is>
      </c>
      <c r="D4487" s="0" t="inlineStr">
        <is>
          <t>'103387</t>
        </is>
      </c>
      <c r="E4487" s="0" t="inlineStr">
        <is>
          <t>LUCA:103387D-XL</t>
        </is>
      </c>
      <c r="F4487" s="0" t="inlineStr">
        <is>
          <t>'000000000000</t>
        </is>
      </c>
      <c r="G4487" s="0" t="inlineStr">
        <is>
          <t>MENS</t>
        </is>
      </c>
      <c r="H4487" s="0" t="inlineStr">
        <is>
          <t>XL</t>
        </is>
      </c>
      <c r="I4487" s="0">
        <v>29.99</v>
      </c>
      <c r="J4487" s="0">
        <v>57</v>
      </c>
    </row>
    <row r="4488" spans="1:10" customHeight="0">
      <c r="A4488" s="0">
        <f>HYPERLINK("https://dl.dropboxusercontent.com/scl/fi/0we615nuhmo13nzvpkbax/103387-af.jpg?rlkey=latrfekprwzhb5fnq4jeofz0e&amp;dl=0","Click to download Image")</f>
      </c>
      <c r="B4488" s="0">
        <f>HYPERLINK("https://dl.dropboxusercontent.com/scl/fi/pqjtig7y0u554m9l06erz/10-18-size-chartsmens-relaxed.jpg?rlkey=evlwf4ovjaxqlnptavz7ep0f7&amp;dl=0","Click to download SizeChart")</f>
      </c>
      <c r="C4488" s="0" t="inlineStr">
        <is>
          <t>Luca Men's Midweight Fleece Sweatshirt</t>
        </is>
      </c>
      <c r="D4488" s="0" t="inlineStr">
        <is>
          <t>'103387</t>
        </is>
      </c>
      <c r="E4488" s="0" t="inlineStr">
        <is>
          <t>LUCA:103387E-2XL</t>
        </is>
      </c>
      <c r="F4488" s="0" t="inlineStr">
        <is>
          <t>'000000000000</t>
        </is>
      </c>
      <c r="G4488" s="0" t="inlineStr">
        <is>
          <t>MENS</t>
        </is>
      </c>
      <c r="H4488" s="0" t="inlineStr">
        <is>
          <t>2XL</t>
        </is>
      </c>
      <c r="I4488" s="0">
        <v>31.99</v>
      </c>
      <c r="J4488" s="0">
        <v>36</v>
      </c>
    </row>
    <row r="4489" spans="1:10" customHeight="0">
      <c r="A4489" s="0">
        <f>HYPERLINK("https://dl.dropboxusercontent.com/scl/fi/0we615nuhmo13nzvpkbax/103387-af.jpg?rlkey=latrfekprwzhb5fnq4jeofz0e&amp;dl=0","Click to download Image")</f>
      </c>
      <c r="B4489" s="0">
        <f>HYPERLINK("https://dl.dropboxusercontent.com/scl/fi/pqjtig7y0u554m9l06erz/10-18-size-chartsmens-relaxed.jpg?rlkey=evlwf4ovjaxqlnptavz7ep0f7&amp;dl=0","Click to download SizeChart")</f>
      </c>
      <c r="C4489" s="0" t="inlineStr">
        <is>
          <t>Luca Men's Midweight Fleece Sweatshirt</t>
        </is>
      </c>
      <c r="D4489" s="0" t="inlineStr">
        <is>
          <t>'103387</t>
        </is>
      </c>
      <c r="E4489" s="0" t="inlineStr">
        <is>
          <t>LUCA:103387F-3XL</t>
        </is>
      </c>
      <c r="F4489" s="0" t="inlineStr">
        <is>
          <t>'000000000000</t>
        </is>
      </c>
      <c r="G4489" s="0" t="inlineStr">
        <is>
          <t>MENS</t>
        </is>
      </c>
      <c r="H4489" s="0" t="inlineStr">
        <is>
          <t>3XL</t>
        </is>
      </c>
      <c r="I4489" s="0">
        <v>31.99</v>
      </c>
      <c r="J4489" s="0">
        <v>18</v>
      </c>
    </row>
    <row r="4490" spans="1:10" customHeight="0">
      <c r="A4490" s="0">
        <f>HYPERLINK("https://dl.dropboxusercontent.com/scl/fi/k1cj00bbti0uznqsy65dx/103388-af.jpg?rlkey=zkhefa4qhhemty2ydplt5p097&amp;dl=0","Click to download Image")</f>
      </c>
      <c r="B4490" s="0">
        <f>HYPERLINK("https://dl.dropboxusercontent.com/scl/fi/pqjtig7y0u554m9l06erz/10-18-size-chartsmens-relaxed.jpg?rlkey=evlwf4ovjaxqlnptavz7ep0f7&amp;dl=0","Click to download SizeChart")</f>
      </c>
      <c r="C4490" s="0" t="inlineStr">
        <is>
          <t>Luca Men's Midweight Fleece Sweatshirt</t>
        </is>
      </c>
      <c r="D4490" s="0" t="inlineStr">
        <is>
          <t>'103388</t>
        </is>
      </c>
      <c r="E4490" s="0" t="inlineStr">
        <is>
          <t>LUCA:103388A-S</t>
        </is>
      </c>
      <c r="F4490" s="0" t="inlineStr">
        <is>
          <t>'000000000000</t>
        </is>
      </c>
      <c r="G4490" s="0" t="inlineStr">
        <is>
          <t>MENS</t>
        </is>
      </c>
      <c r="H4490" s="0" t="inlineStr">
        <is>
          <t>S</t>
        </is>
      </c>
      <c r="I4490" s="0">
        <v>29.99</v>
      </c>
      <c r="J4490" s="0">
        <v>16</v>
      </c>
    </row>
    <row r="4491" spans="1:10" customHeight="0">
      <c r="A4491" s="0">
        <f>HYPERLINK("https://dl.dropboxusercontent.com/scl/fi/k1cj00bbti0uznqsy65dx/103388-af.jpg?rlkey=zkhefa4qhhemty2ydplt5p097&amp;dl=0","Click to download Image")</f>
      </c>
      <c r="B4491" s="0">
        <f>HYPERLINK("https://dl.dropboxusercontent.com/scl/fi/pqjtig7y0u554m9l06erz/10-18-size-chartsmens-relaxed.jpg?rlkey=evlwf4ovjaxqlnptavz7ep0f7&amp;dl=0","Click to download SizeChart")</f>
      </c>
      <c r="C4491" s="0" t="inlineStr">
        <is>
          <t>Luca Men's Midweight Fleece Sweatshirt</t>
        </is>
      </c>
      <c r="D4491" s="0" t="inlineStr">
        <is>
          <t>'103388</t>
        </is>
      </c>
      <c r="E4491" s="0" t="inlineStr">
        <is>
          <t>LUCA:103388B-M</t>
        </is>
      </c>
      <c r="F4491" s="0" t="inlineStr">
        <is>
          <t>'000000000000</t>
        </is>
      </c>
      <c r="G4491" s="0" t="inlineStr">
        <is>
          <t>MENS</t>
        </is>
      </c>
      <c r="H4491" s="0" t="inlineStr">
        <is>
          <t>M</t>
        </is>
      </c>
      <c r="I4491" s="0">
        <v>29.99</v>
      </c>
      <c r="J4491" s="0">
        <v>31</v>
      </c>
    </row>
    <row r="4492" spans="1:10" customHeight="0">
      <c r="A4492" s="0">
        <f>HYPERLINK("https://dl.dropboxusercontent.com/scl/fi/k1cj00bbti0uznqsy65dx/103388-af.jpg?rlkey=zkhefa4qhhemty2ydplt5p097&amp;dl=0","Click to download Image")</f>
      </c>
      <c r="B4492" s="0">
        <f>HYPERLINK("https://dl.dropboxusercontent.com/scl/fi/pqjtig7y0u554m9l06erz/10-18-size-chartsmens-relaxed.jpg?rlkey=evlwf4ovjaxqlnptavz7ep0f7&amp;dl=0","Click to download SizeChart")</f>
      </c>
      <c r="C4492" s="0" t="inlineStr">
        <is>
          <t>Luca Men's Midweight Fleece Sweatshirt</t>
        </is>
      </c>
      <c r="D4492" s="0" t="inlineStr">
        <is>
          <t>'103388</t>
        </is>
      </c>
      <c r="E4492" s="0" t="inlineStr">
        <is>
          <t>LUCA:103388C-L</t>
        </is>
      </c>
      <c r="F4492" s="0" t="inlineStr">
        <is>
          <t>'000000000000</t>
        </is>
      </c>
      <c r="G4492" s="0" t="inlineStr">
        <is>
          <t>MENS</t>
        </is>
      </c>
      <c r="H4492" s="0" t="inlineStr">
        <is>
          <t>L</t>
        </is>
      </c>
      <c r="I4492" s="0">
        <v>29.99</v>
      </c>
      <c r="J4492" s="0">
        <v>55</v>
      </c>
    </row>
    <row r="4493" spans="1:10" customHeight="0">
      <c r="A4493" s="0">
        <f>HYPERLINK("https://dl.dropboxusercontent.com/scl/fi/k1cj00bbti0uznqsy65dx/103388-af.jpg?rlkey=zkhefa4qhhemty2ydplt5p097&amp;dl=0","Click to download Image")</f>
      </c>
      <c r="B4493" s="0">
        <f>HYPERLINK("https://dl.dropboxusercontent.com/scl/fi/pqjtig7y0u554m9l06erz/10-18-size-chartsmens-relaxed.jpg?rlkey=evlwf4ovjaxqlnptavz7ep0f7&amp;dl=0","Click to download SizeChart")</f>
      </c>
      <c r="C4493" s="0" t="inlineStr">
        <is>
          <t>Luca Men's Midweight Fleece Sweatshirt</t>
        </is>
      </c>
      <c r="D4493" s="0" t="inlineStr">
        <is>
          <t>'103388</t>
        </is>
      </c>
      <c r="E4493" s="0" t="inlineStr">
        <is>
          <t>LUCA:103388D-XL</t>
        </is>
      </c>
      <c r="F4493" s="0" t="inlineStr">
        <is>
          <t>'000000000000</t>
        </is>
      </c>
      <c r="G4493" s="0" t="inlineStr">
        <is>
          <t>MENS</t>
        </is>
      </c>
      <c r="H4493" s="0" t="inlineStr">
        <is>
          <t>XL</t>
        </is>
      </c>
      <c r="I4493" s="0">
        <v>29.99</v>
      </c>
      <c r="J4493" s="0">
        <v>55</v>
      </c>
    </row>
    <row r="4494" spans="1:10" customHeight="0">
      <c r="A4494" s="0">
        <f>HYPERLINK("https://dl.dropboxusercontent.com/scl/fi/k1cj00bbti0uznqsy65dx/103388-af.jpg?rlkey=zkhefa4qhhemty2ydplt5p097&amp;dl=0","Click to download Image")</f>
      </c>
      <c r="B4494" s="0">
        <f>HYPERLINK("https://dl.dropboxusercontent.com/scl/fi/pqjtig7y0u554m9l06erz/10-18-size-chartsmens-relaxed.jpg?rlkey=evlwf4ovjaxqlnptavz7ep0f7&amp;dl=0","Click to download SizeChart")</f>
      </c>
      <c r="C4494" s="0" t="inlineStr">
        <is>
          <t>Luca Men's Midweight Fleece Sweatshirt</t>
        </is>
      </c>
      <c r="D4494" s="0" t="inlineStr">
        <is>
          <t>'103388</t>
        </is>
      </c>
      <c r="E4494" s="0" t="inlineStr">
        <is>
          <t>LUCA:103388E-2XL</t>
        </is>
      </c>
      <c r="F4494" s="0" t="inlineStr">
        <is>
          <t>'000000000000</t>
        </is>
      </c>
      <c r="G4494" s="0" t="inlineStr">
        <is>
          <t>MENS</t>
        </is>
      </c>
      <c r="H4494" s="0" t="inlineStr">
        <is>
          <t>2XL</t>
        </is>
      </c>
      <c r="I4494" s="0">
        <v>31.99</v>
      </c>
      <c r="J4494" s="0">
        <v>36</v>
      </c>
    </row>
    <row r="4495" spans="1:10" customHeight="0">
      <c r="A4495" s="0">
        <f>HYPERLINK("https://dl.dropboxusercontent.com/scl/fi/k1cj00bbti0uznqsy65dx/103388-af.jpg?rlkey=zkhefa4qhhemty2ydplt5p097&amp;dl=0","Click to download Image")</f>
      </c>
      <c r="B4495" s="0">
        <f>HYPERLINK("https://dl.dropboxusercontent.com/scl/fi/pqjtig7y0u554m9l06erz/10-18-size-chartsmens-relaxed.jpg?rlkey=evlwf4ovjaxqlnptavz7ep0f7&amp;dl=0","Click to download SizeChart")</f>
      </c>
      <c r="C4495" s="0" t="inlineStr">
        <is>
          <t>Luca Men's Midweight Fleece Sweatshirt</t>
        </is>
      </c>
      <c r="D4495" s="0" t="inlineStr">
        <is>
          <t>'103388</t>
        </is>
      </c>
      <c r="E4495" s="0" t="inlineStr">
        <is>
          <t>LUCA:103388F-3XL</t>
        </is>
      </c>
      <c r="F4495" s="0" t="inlineStr">
        <is>
          <t>'000000000000</t>
        </is>
      </c>
      <c r="G4495" s="0" t="inlineStr">
        <is>
          <t>MENS</t>
        </is>
      </c>
      <c r="H4495" s="0" t="inlineStr">
        <is>
          <t>3XL</t>
        </is>
      </c>
      <c r="I4495" s="0">
        <v>31.99</v>
      </c>
      <c r="J4495" s="0">
        <v>16</v>
      </c>
    </row>
    <row r="4496" spans="1:10" customHeight="0">
      <c r="A4496" s="0">
        <f>HYPERLINK("https://dl.dropboxusercontent.com/scl/fi/c1rptfbhf6xgu9cuve65v/103378-af.jpg?rlkey=mu4k8tysb6h0viyebpmj0x3r6&amp;dl=0","Click to download Image")</f>
      </c>
      <c r="B4496" s="0">
        <f>HYPERLINK("https://dl.dropboxusercontent.com/scl/fi/pqjtig7y0u554m9l06erz/10-18-size-chartsmens-relaxed.jpg?rlkey=evlwf4ovjaxqlnptavz7ep0f7&amp;dl=0","Click to download SizeChart")</f>
      </c>
      <c r="C4496" s="0" t="inlineStr">
        <is>
          <t>Luca Men's Midweight Fleece Sweatshirt</t>
        </is>
      </c>
      <c r="D4496" s="0" t="inlineStr">
        <is>
          <t>'103378</t>
        </is>
      </c>
      <c r="E4496" s="0" t="inlineStr">
        <is>
          <t>LUCA:103378A-S</t>
        </is>
      </c>
      <c r="F4496" s="0" t="inlineStr">
        <is>
          <t>'000000000000</t>
        </is>
      </c>
      <c r="G4496" s="0" t="inlineStr">
        <is>
          <t>MENS</t>
        </is>
      </c>
      <c r="H4496" s="0" t="inlineStr">
        <is>
          <t>S</t>
        </is>
      </c>
      <c r="I4496" s="0">
        <v>29.99</v>
      </c>
      <c r="J4496" s="0">
        <v>10</v>
      </c>
    </row>
    <row r="4497" spans="1:10" customHeight="0">
      <c r="A4497" s="0">
        <f>HYPERLINK("https://dl.dropboxusercontent.com/scl/fi/c1rptfbhf6xgu9cuve65v/103378-af.jpg?rlkey=mu4k8tysb6h0viyebpmj0x3r6&amp;dl=0","Click to download Image")</f>
      </c>
      <c r="B4497" s="0">
        <f>HYPERLINK("https://dl.dropboxusercontent.com/scl/fi/pqjtig7y0u554m9l06erz/10-18-size-chartsmens-relaxed.jpg?rlkey=evlwf4ovjaxqlnptavz7ep0f7&amp;dl=0","Click to download SizeChart")</f>
      </c>
      <c r="C4497" s="0" t="inlineStr">
        <is>
          <t>Luca Men's Midweight Fleece Sweatshirt</t>
        </is>
      </c>
      <c r="D4497" s="0" t="inlineStr">
        <is>
          <t>'103378</t>
        </is>
      </c>
      <c r="E4497" s="0" t="inlineStr">
        <is>
          <t>LUCA:103378B-M</t>
        </is>
      </c>
      <c r="F4497" s="0" t="inlineStr">
        <is>
          <t>'000000000000</t>
        </is>
      </c>
      <c r="G4497" s="0" t="inlineStr">
        <is>
          <t>MENS</t>
        </is>
      </c>
      <c r="H4497" s="0" t="inlineStr">
        <is>
          <t>M</t>
        </is>
      </c>
      <c r="I4497" s="0">
        <v>29.99</v>
      </c>
      <c r="J4497" s="0">
        <v>21</v>
      </c>
    </row>
    <row r="4498" spans="1:10" customHeight="0">
      <c r="A4498" s="0">
        <f>HYPERLINK("https://dl.dropboxusercontent.com/scl/fi/c1rptfbhf6xgu9cuve65v/103378-af.jpg?rlkey=mu4k8tysb6h0viyebpmj0x3r6&amp;dl=0","Click to download Image")</f>
      </c>
      <c r="B4498" s="0">
        <f>HYPERLINK("https://dl.dropboxusercontent.com/scl/fi/pqjtig7y0u554m9l06erz/10-18-size-chartsmens-relaxed.jpg?rlkey=evlwf4ovjaxqlnptavz7ep0f7&amp;dl=0","Click to download SizeChart")</f>
      </c>
      <c r="C4498" s="0" t="inlineStr">
        <is>
          <t>Luca Men's Midweight Fleece Sweatshirt</t>
        </is>
      </c>
      <c r="D4498" s="0" t="inlineStr">
        <is>
          <t>'103378</t>
        </is>
      </c>
      <c r="E4498" s="0" t="inlineStr">
        <is>
          <t>LUCA:103378C-L</t>
        </is>
      </c>
      <c r="F4498" s="0" t="inlineStr">
        <is>
          <t>'000000000000</t>
        </is>
      </c>
      <c r="G4498" s="0" t="inlineStr">
        <is>
          <t>MENS</t>
        </is>
      </c>
      <c r="H4498" s="0" t="inlineStr">
        <is>
          <t>L</t>
        </is>
      </c>
      <c r="I4498" s="0">
        <v>29.99</v>
      </c>
      <c r="J4498" s="0">
        <v>33</v>
      </c>
    </row>
    <row r="4499" spans="1:10" customHeight="0">
      <c r="A4499" s="0">
        <f>HYPERLINK("https://dl.dropboxusercontent.com/scl/fi/c1rptfbhf6xgu9cuve65v/103378-af.jpg?rlkey=mu4k8tysb6h0viyebpmj0x3r6&amp;dl=0","Click to download Image")</f>
      </c>
      <c r="B4499" s="0">
        <f>HYPERLINK("https://dl.dropboxusercontent.com/scl/fi/pqjtig7y0u554m9l06erz/10-18-size-chartsmens-relaxed.jpg?rlkey=evlwf4ovjaxqlnptavz7ep0f7&amp;dl=0","Click to download SizeChart")</f>
      </c>
      <c r="C4499" s="0" t="inlineStr">
        <is>
          <t>Luca Men's Midweight Fleece Sweatshirt</t>
        </is>
      </c>
      <c r="D4499" s="0" t="inlineStr">
        <is>
          <t>'103378</t>
        </is>
      </c>
      <c r="E4499" s="0" t="inlineStr">
        <is>
          <t>LUCA:103378D-XL</t>
        </is>
      </c>
      <c r="F4499" s="0" t="inlineStr">
        <is>
          <t>'000000000000</t>
        </is>
      </c>
      <c r="G4499" s="0" t="inlineStr">
        <is>
          <t>MENS</t>
        </is>
      </c>
      <c r="H4499" s="0" t="inlineStr">
        <is>
          <t>XL</t>
        </is>
      </c>
      <c r="I4499" s="0">
        <v>29.99</v>
      </c>
      <c r="J4499" s="0">
        <v>34</v>
      </c>
    </row>
    <row r="4500" spans="1:10" customHeight="0">
      <c r="A4500" s="0">
        <f>HYPERLINK("https://dl.dropboxusercontent.com/scl/fi/c1rptfbhf6xgu9cuve65v/103378-af.jpg?rlkey=mu4k8tysb6h0viyebpmj0x3r6&amp;dl=0","Click to download Image")</f>
      </c>
      <c r="B4500" s="0">
        <f>HYPERLINK("https://dl.dropboxusercontent.com/scl/fi/pqjtig7y0u554m9l06erz/10-18-size-chartsmens-relaxed.jpg?rlkey=evlwf4ovjaxqlnptavz7ep0f7&amp;dl=0","Click to download SizeChart")</f>
      </c>
      <c r="C4500" s="0" t="inlineStr">
        <is>
          <t>Luca Men's Midweight Fleece Sweatshirt</t>
        </is>
      </c>
      <c r="D4500" s="0" t="inlineStr">
        <is>
          <t>'103378</t>
        </is>
      </c>
      <c r="E4500" s="0" t="inlineStr">
        <is>
          <t>LUCA:103378E-2XL</t>
        </is>
      </c>
      <c r="F4500" s="0" t="inlineStr">
        <is>
          <t>'000000000000</t>
        </is>
      </c>
      <c r="G4500" s="0" t="inlineStr">
        <is>
          <t>MENS</t>
        </is>
      </c>
      <c r="H4500" s="0" t="inlineStr">
        <is>
          <t>2XL</t>
        </is>
      </c>
      <c r="I4500" s="0">
        <v>31.99</v>
      </c>
      <c r="J4500" s="0">
        <v>23</v>
      </c>
    </row>
    <row r="4501" spans="1:10" customHeight="0">
      <c r="A4501" s="0">
        <f>HYPERLINK("https://dl.dropboxusercontent.com/scl/fi/c1rptfbhf6xgu9cuve65v/103378-af.jpg?rlkey=mu4k8tysb6h0viyebpmj0x3r6&amp;dl=0","Click to download Image")</f>
      </c>
      <c r="B4501" s="0">
        <f>HYPERLINK("https://dl.dropboxusercontent.com/scl/fi/pqjtig7y0u554m9l06erz/10-18-size-chartsmens-relaxed.jpg?rlkey=evlwf4ovjaxqlnptavz7ep0f7&amp;dl=0","Click to download SizeChart")</f>
      </c>
      <c r="C4501" s="0" t="inlineStr">
        <is>
          <t>Luca Men's Midweight Fleece Sweatshirt</t>
        </is>
      </c>
      <c r="D4501" s="0" t="inlineStr">
        <is>
          <t>'103378</t>
        </is>
      </c>
      <c r="E4501" s="0" t="inlineStr">
        <is>
          <t>LUCA:103378F-3XL</t>
        </is>
      </c>
      <c r="F4501" s="0" t="inlineStr">
        <is>
          <t>'000000000000</t>
        </is>
      </c>
      <c r="G4501" s="0" t="inlineStr">
        <is>
          <t>MENS</t>
        </is>
      </c>
      <c r="H4501" s="0" t="inlineStr">
        <is>
          <t>3XL</t>
        </is>
      </c>
      <c r="I4501" s="0">
        <v>31.99</v>
      </c>
      <c r="J4501" s="0">
        <v>12</v>
      </c>
    </row>
    <row r="4502" spans="1:10" customHeight="0">
      <c r="A4502" s="0">
        <f>HYPERLINK("https://dl.dropboxusercontent.com/scl/fi/25ogxfrksxf9y4gup34v5/103377-af.jpg?rlkey=ym7nczwor3lk9i6x48v2kwkup&amp;dl=0","Click to download Image")</f>
      </c>
      <c r="B4502" s="0">
        <f>HYPERLINK("https://dl.dropboxusercontent.com/scl/fi/pqjtig7y0u554m9l06erz/10-18-size-chartsmens-relaxed.jpg?rlkey=evlwf4ovjaxqlnptavz7ep0f7&amp;dl=0","Click to download SizeChart")</f>
      </c>
      <c r="C4502" s="0" t="inlineStr">
        <is>
          <t>Luca Men's Midweight Fleece Sweatshirt</t>
        </is>
      </c>
      <c r="D4502" s="0" t="inlineStr">
        <is>
          <t>'103377</t>
        </is>
      </c>
      <c r="E4502" s="0" t="inlineStr">
        <is>
          <t>LUCA:103377A-S</t>
        </is>
      </c>
      <c r="F4502" s="0" t="inlineStr">
        <is>
          <t>'000000000000</t>
        </is>
      </c>
      <c r="G4502" s="0" t="inlineStr">
        <is>
          <t>MENS</t>
        </is>
      </c>
      <c r="H4502" s="0" t="inlineStr">
        <is>
          <t>S</t>
        </is>
      </c>
      <c r="I4502" s="0">
        <v>29.99</v>
      </c>
      <c r="J4502" s="0">
        <v>10</v>
      </c>
    </row>
    <row r="4503" spans="1:10" customHeight="0">
      <c r="A4503" s="0">
        <f>HYPERLINK("https://dl.dropboxusercontent.com/scl/fi/25ogxfrksxf9y4gup34v5/103377-af.jpg?rlkey=ym7nczwor3lk9i6x48v2kwkup&amp;dl=0","Click to download Image")</f>
      </c>
      <c r="B4503" s="0">
        <f>HYPERLINK("https://dl.dropboxusercontent.com/scl/fi/pqjtig7y0u554m9l06erz/10-18-size-chartsmens-relaxed.jpg?rlkey=evlwf4ovjaxqlnptavz7ep0f7&amp;dl=0","Click to download SizeChart")</f>
      </c>
      <c r="C4503" s="0" t="inlineStr">
        <is>
          <t>Luca Men's Midweight Fleece Sweatshirt</t>
        </is>
      </c>
      <c r="D4503" s="0" t="inlineStr">
        <is>
          <t>'103377</t>
        </is>
      </c>
      <c r="E4503" s="0" t="inlineStr">
        <is>
          <t>LUCA:103377B-M</t>
        </is>
      </c>
      <c r="F4503" s="0" t="inlineStr">
        <is>
          <t>'000000000000</t>
        </is>
      </c>
      <c r="G4503" s="0" t="inlineStr">
        <is>
          <t>MENS</t>
        </is>
      </c>
      <c r="H4503" s="0" t="inlineStr">
        <is>
          <t>M</t>
        </is>
      </c>
      <c r="I4503" s="0">
        <v>29.99</v>
      </c>
      <c r="J4503" s="0">
        <v>20</v>
      </c>
    </row>
    <row r="4504" spans="1:10" customHeight="0">
      <c r="A4504" s="0">
        <f>HYPERLINK("https://dl.dropboxusercontent.com/scl/fi/25ogxfrksxf9y4gup34v5/103377-af.jpg?rlkey=ym7nczwor3lk9i6x48v2kwkup&amp;dl=0","Click to download Image")</f>
      </c>
      <c r="B4504" s="0">
        <f>HYPERLINK("https://dl.dropboxusercontent.com/scl/fi/pqjtig7y0u554m9l06erz/10-18-size-chartsmens-relaxed.jpg?rlkey=evlwf4ovjaxqlnptavz7ep0f7&amp;dl=0","Click to download SizeChart")</f>
      </c>
      <c r="C4504" s="0" t="inlineStr">
        <is>
          <t>Luca Men's Midweight Fleece Sweatshirt</t>
        </is>
      </c>
      <c r="D4504" s="0" t="inlineStr">
        <is>
          <t>'103377</t>
        </is>
      </c>
      <c r="E4504" s="0" t="inlineStr">
        <is>
          <t>LUCA:103377C-L</t>
        </is>
      </c>
      <c r="F4504" s="0" t="inlineStr">
        <is>
          <t>'000000000000</t>
        </is>
      </c>
      <c r="G4504" s="0" t="inlineStr">
        <is>
          <t>MENS</t>
        </is>
      </c>
      <c r="H4504" s="0" t="inlineStr">
        <is>
          <t>L</t>
        </is>
      </c>
      <c r="I4504" s="0">
        <v>29.99</v>
      </c>
      <c r="J4504" s="0">
        <v>25</v>
      </c>
    </row>
    <row r="4505" spans="1:10" customHeight="0">
      <c r="A4505" s="0">
        <f>HYPERLINK("https://dl.dropboxusercontent.com/scl/fi/25ogxfrksxf9y4gup34v5/103377-af.jpg?rlkey=ym7nczwor3lk9i6x48v2kwkup&amp;dl=0","Click to download Image")</f>
      </c>
      <c r="B4505" s="0">
        <f>HYPERLINK("https://dl.dropboxusercontent.com/scl/fi/pqjtig7y0u554m9l06erz/10-18-size-chartsmens-relaxed.jpg?rlkey=evlwf4ovjaxqlnptavz7ep0f7&amp;dl=0","Click to download SizeChart")</f>
      </c>
      <c r="C4505" s="0" t="inlineStr">
        <is>
          <t>Luca Men's Midweight Fleece Sweatshirt</t>
        </is>
      </c>
      <c r="D4505" s="0" t="inlineStr">
        <is>
          <t>'103377</t>
        </is>
      </c>
      <c r="E4505" s="0" t="inlineStr">
        <is>
          <t>LUCA:103377D-XL</t>
        </is>
      </c>
      <c r="F4505" s="0" t="inlineStr">
        <is>
          <t>'000000000000</t>
        </is>
      </c>
      <c r="G4505" s="0" t="inlineStr">
        <is>
          <t>MENS</t>
        </is>
      </c>
      <c r="H4505" s="0" t="inlineStr">
        <is>
          <t>XL</t>
        </is>
      </c>
      <c r="I4505" s="0">
        <v>29.99</v>
      </c>
      <c r="J4505" s="0">
        <v>27</v>
      </c>
    </row>
    <row r="4506" spans="1:10" customHeight="0">
      <c r="A4506" s="0">
        <f>HYPERLINK("https://dl.dropboxusercontent.com/scl/fi/25ogxfrksxf9y4gup34v5/103377-af.jpg?rlkey=ym7nczwor3lk9i6x48v2kwkup&amp;dl=0","Click to download Image")</f>
      </c>
      <c r="B4506" s="0">
        <f>HYPERLINK("https://dl.dropboxusercontent.com/scl/fi/pqjtig7y0u554m9l06erz/10-18-size-chartsmens-relaxed.jpg?rlkey=evlwf4ovjaxqlnptavz7ep0f7&amp;dl=0","Click to download SizeChart")</f>
      </c>
      <c r="C4506" s="0" t="inlineStr">
        <is>
          <t>Luca Men's Midweight Fleece Sweatshirt</t>
        </is>
      </c>
      <c r="D4506" s="0" t="inlineStr">
        <is>
          <t>'103377</t>
        </is>
      </c>
      <c r="E4506" s="0" t="inlineStr">
        <is>
          <t>LUCA:103377E-2XL</t>
        </is>
      </c>
      <c r="F4506" s="0" t="inlineStr">
        <is>
          <t>'000000000000</t>
        </is>
      </c>
      <c r="G4506" s="0" t="inlineStr">
        <is>
          <t>MENS</t>
        </is>
      </c>
      <c r="H4506" s="0" t="inlineStr">
        <is>
          <t>2XL</t>
        </is>
      </c>
      <c r="I4506" s="0">
        <v>31.99</v>
      </c>
      <c r="J4506" s="0">
        <v>12</v>
      </c>
    </row>
    <row r="4507" spans="1:10" customHeight="0">
      <c r="A4507" s="0">
        <f>HYPERLINK("https://dl.dropboxusercontent.com/scl/fi/25ogxfrksxf9y4gup34v5/103377-af.jpg?rlkey=ym7nczwor3lk9i6x48v2kwkup&amp;dl=0","Click to download Image")</f>
      </c>
      <c r="B4507" s="0">
        <f>HYPERLINK("https://dl.dropboxusercontent.com/scl/fi/pqjtig7y0u554m9l06erz/10-18-size-chartsmens-relaxed.jpg?rlkey=evlwf4ovjaxqlnptavz7ep0f7&amp;dl=0","Click to download SizeChart")</f>
      </c>
      <c r="C4507" s="0" t="inlineStr">
        <is>
          <t>Luca Men's Midweight Fleece Sweatshirt</t>
        </is>
      </c>
      <c r="D4507" s="0" t="inlineStr">
        <is>
          <t>'103377</t>
        </is>
      </c>
      <c r="E4507" s="0" t="inlineStr">
        <is>
          <t>LUCA:103377F-3XL</t>
        </is>
      </c>
      <c r="F4507" s="0" t="inlineStr">
        <is>
          <t>'000000000000</t>
        </is>
      </c>
      <c r="G4507" s="0" t="inlineStr">
        <is>
          <t>MENS</t>
        </is>
      </c>
      <c r="H4507" s="0" t="inlineStr">
        <is>
          <t>3XL</t>
        </is>
      </c>
      <c r="I4507" s="0">
        <v>31.99</v>
      </c>
      <c r="J4507" s="0">
        <v>8</v>
      </c>
    </row>
    <row r="4508" spans="1:10" customHeight="0">
      <c r="A4508" s="0">
        <f>HYPERLINK("https://dl.dropboxusercontent.com/scl/fi/8jqz0mua4jplo7mtf62p9/103376-af.jpg?rlkey=30vai2wqkcsek3yfq9a0qmvz8&amp;dl=0","Click to download Image")</f>
      </c>
      <c r="B4508" s="0">
        <f>HYPERLINK("https://dl.dropboxusercontent.com/scl/fi/pqjtig7y0u554m9l06erz/10-18-size-chartsmens-relaxed.jpg?rlkey=evlwf4ovjaxqlnptavz7ep0f7&amp;dl=0","Click to download SizeChart")</f>
      </c>
      <c r="C4508" s="0" t="inlineStr">
        <is>
          <t>Luca Men's Midweight Fleece Sweatshirt</t>
        </is>
      </c>
      <c r="D4508" s="0" t="inlineStr">
        <is>
          <t>'103376</t>
        </is>
      </c>
      <c r="E4508" s="0" t="inlineStr">
        <is>
          <t>LUCA:103376A-S</t>
        </is>
      </c>
      <c r="F4508" s="0" t="inlineStr">
        <is>
          <t>'000000000000</t>
        </is>
      </c>
      <c r="G4508" s="0" t="inlineStr">
        <is>
          <t>MENS</t>
        </is>
      </c>
      <c r="H4508" s="0" t="inlineStr">
        <is>
          <t>S</t>
        </is>
      </c>
      <c r="I4508" s="0">
        <v>29.99</v>
      </c>
      <c r="J4508" s="0">
        <v>0</v>
      </c>
    </row>
    <row r="4509" spans="1:10" customHeight="0">
      <c r="A4509" s="0">
        <f>HYPERLINK("https://dl.dropboxusercontent.com/scl/fi/8jqz0mua4jplo7mtf62p9/103376-af.jpg?rlkey=30vai2wqkcsek3yfq9a0qmvz8&amp;dl=0","Click to download Image")</f>
      </c>
      <c r="B4509" s="0">
        <f>HYPERLINK("https://dl.dropboxusercontent.com/scl/fi/pqjtig7y0u554m9l06erz/10-18-size-chartsmens-relaxed.jpg?rlkey=evlwf4ovjaxqlnptavz7ep0f7&amp;dl=0","Click to download SizeChart")</f>
      </c>
      <c r="C4509" s="0" t="inlineStr">
        <is>
          <t>Luca Men's Midweight Fleece Sweatshirt</t>
        </is>
      </c>
      <c r="D4509" s="0" t="inlineStr">
        <is>
          <t>'103376</t>
        </is>
      </c>
      <c r="E4509" s="0" t="inlineStr">
        <is>
          <t>LUCA:103376B-M</t>
        </is>
      </c>
      <c r="F4509" s="0" t="inlineStr">
        <is>
          <t>'000000000000</t>
        </is>
      </c>
      <c r="G4509" s="0" t="inlineStr">
        <is>
          <t>MENS</t>
        </is>
      </c>
      <c r="H4509" s="0" t="inlineStr">
        <is>
          <t>M</t>
        </is>
      </c>
      <c r="I4509" s="0">
        <v>29.99</v>
      </c>
      <c r="J4509" s="0">
        <v>0</v>
      </c>
    </row>
    <row r="4510" spans="1:10" customHeight="0">
      <c r="A4510" s="0">
        <f>HYPERLINK("https://dl.dropboxusercontent.com/scl/fi/8jqz0mua4jplo7mtf62p9/103376-af.jpg?rlkey=30vai2wqkcsek3yfq9a0qmvz8&amp;dl=0","Click to download Image")</f>
      </c>
      <c r="B4510" s="0">
        <f>HYPERLINK("https://dl.dropboxusercontent.com/scl/fi/pqjtig7y0u554m9l06erz/10-18-size-chartsmens-relaxed.jpg?rlkey=evlwf4ovjaxqlnptavz7ep0f7&amp;dl=0","Click to download SizeChart")</f>
      </c>
      <c r="C4510" s="0" t="inlineStr">
        <is>
          <t>Luca Men's Midweight Fleece Sweatshirt</t>
        </is>
      </c>
      <c r="D4510" s="0" t="inlineStr">
        <is>
          <t>'103376</t>
        </is>
      </c>
      <c r="E4510" s="0" t="inlineStr">
        <is>
          <t>LUCA:103376C-L</t>
        </is>
      </c>
      <c r="F4510" s="0" t="inlineStr">
        <is>
          <t>'000000000000</t>
        </is>
      </c>
      <c r="G4510" s="0" t="inlineStr">
        <is>
          <t>MENS</t>
        </is>
      </c>
      <c r="H4510" s="0" t="inlineStr">
        <is>
          <t>L</t>
        </is>
      </c>
      <c r="I4510" s="0">
        <v>29.99</v>
      </c>
      <c r="J4510" s="0">
        <v>1</v>
      </c>
    </row>
    <row r="4511" spans="1:10" customHeight="0">
      <c r="A4511" s="0">
        <f>HYPERLINK("https://dl.dropboxusercontent.com/scl/fi/8jqz0mua4jplo7mtf62p9/103376-af.jpg?rlkey=30vai2wqkcsek3yfq9a0qmvz8&amp;dl=0","Click to download Image")</f>
      </c>
      <c r="B4511" s="0">
        <f>HYPERLINK("https://dl.dropboxusercontent.com/scl/fi/pqjtig7y0u554m9l06erz/10-18-size-chartsmens-relaxed.jpg?rlkey=evlwf4ovjaxqlnptavz7ep0f7&amp;dl=0","Click to download SizeChart")</f>
      </c>
      <c r="C4511" s="0" t="inlineStr">
        <is>
          <t>Luca Men's Midweight Fleece Sweatshirt</t>
        </is>
      </c>
      <c r="D4511" s="0" t="inlineStr">
        <is>
          <t>'103376</t>
        </is>
      </c>
      <c r="E4511" s="0" t="inlineStr">
        <is>
          <t>LUCA:103376D-XL</t>
        </is>
      </c>
      <c r="F4511" s="0" t="inlineStr">
        <is>
          <t>'000000000000</t>
        </is>
      </c>
      <c r="G4511" s="0" t="inlineStr">
        <is>
          <t>MENS</t>
        </is>
      </c>
      <c r="H4511" s="0" t="inlineStr">
        <is>
          <t>XL</t>
        </is>
      </c>
      <c r="I4511" s="0">
        <v>29.99</v>
      </c>
      <c r="J4511" s="0">
        <v>9</v>
      </c>
    </row>
    <row r="4512" spans="1:10" customHeight="0">
      <c r="A4512" s="0">
        <f>HYPERLINK("https://dl.dropboxusercontent.com/scl/fi/8jqz0mua4jplo7mtf62p9/103376-af.jpg?rlkey=30vai2wqkcsek3yfq9a0qmvz8&amp;dl=0","Click to download Image")</f>
      </c>
      <c r="B4512" s="0">
        <f>HYPERLINK("https://dl.dropboxusercontent.com/scl/fi/pqjtig7y0u554m9l06erz/10-18-size-chartsmens-relaxed.jpg?rlkey=evlwf4ovjaxqlnptavz7ep0f7&amp;dl=0","Click to download SizeChart")</f>
      </c>
      <c r="C4512" s="0" t="inlineStr">
        <is>
          <t>Luca Men's Midweight Fleece Sweatshirt</t>
        </is>
      </c>
      <c r="D4512" s="0" t="inlineStr">
        <is>
          <t>'103376</t>
        </is>
      </c>
      <c r="E4512" s="0" t="inlineStr">
        <is>
          <t>LUCA:103376E-2XL</t>
        </is>
      </c>
      <c r="F4512" s="0" t="inlineStr">
        <is>
          <t>'000000000000</t>
        </is>
      </c>
      <c r="G4512" s="0" t="inlineStr">
        <is>
          <t>MENS</t>
        </is>
      </c>
      <c r="H4512" s="0" t="inlineStr">
        <is>
          <t>2XL</t>
        </is>
      </c>
      <c r="I4512" s="0">
        <v>31.99</v>
      </c>
      <c r="J4512" s="0">
        <v>16</v>
      </c>
    </row>
    <row r="4513" spans="1:10" customHeight="0">
      <c r="A4513" s="0">
        <f>HYPERLINK("https://dl.dropboxusercontent.com/scl/fi/8jqz0mua4jplo7mtf62p9/103376-af.jpg?rlkey=30vai2wqkcsek3yfq9a0qmvz8&amp;dl=0","Click to download Image")</f>
      </c>
      <c r="B4513" s="0">
        <f>HYPERLINK("https://dl.dropboxusercontent.com/scl/fi/pqjtig7y0u554m9l06erz/10-18-size-chartsmens-relaxed.jpg?rlkey=evlwf4ovjaxqlnptavz7ep0f7&amp;dl=0","Click to download SizeChart")</f>
      </c>
      <c r="C4513" s="0" t="inlineStr">
        <is>
          <t>Luca Men's Midweight Fleece Sweatshirt</t>
        </is>
      </c>
      <c r="D4513" s="0" t="inlineStr">
        <is>
          <t>'103376</t>
        </is>
      </c>
      <c r="E4513" s="0" t="inlineStr">
        <is>
          <t>LUCA:103376F-3XL</t>
        </is>
      </c>
      <c r="F4513" s="0" t="inlineStr">
        <is>
          <t>'000000000000</t>
        </is>
      </c>
      <c r="G4513" s="0" t="inlineStr">
        <is>
          <t>MENS</t>
        </is>
      </c>
      <c r="H4513" s="0" t="inlineStr">
        <is>
          <t>3XL</t>
        </is>
      </c>
      <c r="I4513" s="0">
        <v>31.99</v>
      </c>
      <c r="J4513" s="0">
        <v>8</v>
      </c>
    </row>
    <row r="4514" spans="1:10" customHeight="0">
      <c r="A4514" s="0">
        <f>HYPERLINK("https://dl.dropboxusercontent.com/scl/fi/d2vop3j7lacawp6zlmnui/macie-af.jpg?rlkey=dakjt1mg26kfznv2wz7zpesgk&amp;dl=0","Click to download Image")</f>
      </c>
      <c r="C4514" s="0" t="inlineStr">
        <is>
          <t>Macie Breast Cancer T-Shirt</t>
        </is>
      </c>
      <c r="D4514" s="0" t="inlineStr">
        <is>
          <t>'100116</t>
        </is>
      </c>
      <c r="E4514" s="0" t="inlineStr">
        <is>
          <t>THINK PINK:100116A-S</t>
        </is>
      </c>
      <c r="F4514" s="0" t="inlineStr">
        <is>
          <t>'800100116010</t>
        </is>
      </c>
      <c r="G4514" s="0" t="inlineStr">
        <is>
          <t>WOMENS</t>
        </is>
      </c>
      <c r="H4514" s="0" t="inlineStr">
        <is>
          <t>S</t>
        </is>
      </c>
      <c r="I4514" s="0">
        <v>15.99</v>
      </c>
      <c r="J4514" s="0">
        <v>46</v>
      </c>
    </row>
    <row r="4515" spans="1:10" customHeight="0">
      <c r="A4515" s="0">
        <f>HYPERLINK("https://dl.dropboxusercontent.com/scl/fi/d2vop3j7lacawp6zlmnui/macie-af.jpg?rlkey=dakjt1mg26kfznv2wz7zpesgk&amp;dl=0","Click to download Image")</f>
      </c>
      <c r="C4515" s="0" t="inlineStr">
        <is>
          <t>Macie Breast Cancer T-Shirt</t>
        </is>
      </c>
      <c r="D4515" s="0" t="inlineStr">
        <is>
          <t>'100116</t>
        </is>
      </c>
      <c r="E4515" s="0" t="inlineStr">
        <is>
          <t>THINK PINK:100116B-M</t>
        </is>
      </c>
      <c r="F4515" s="0" t="inlineStr">
        <is>
          <t>'800100116027</t>
        </is>
      </c>
      <c r="G4515" s="0" t="inlineStr">
        <is>
          <t>WOMENS</t>
        </is>
      </c>
      <c r="H4515" s="0" t="inlineStr">
        <is>
          <t>M</t>
        </is>
      </c>
      <c r="I4515" s="0">
        <v>15.99</v>
      </c>
      <c r="J4515" s="0">
        <v>23</v>
      </c>
    </row>
    <row r="4516" spans="1:10" customHeight="0">
      <c r="A4516" s="0">
        <f>HYPERLINK("https://dl.dropboxusercontent.com/scl/fi/d2vop3j7lacawp6zlmnui/macie-af.jpg?rlkey=dakjt1mg26kfznv2wz7zpesgk&amp;dl=0","Click to download Image")</f>
      </c>
      <c r="C4516" s="0" t="inlineStr">
        <is>
          <t>Macie Breast Cancer T-Shirt</t>
        </is>
      </c>
      <c r="D4516" s="0" t="inlineStr">
        <is>
          <t>'100116</t>
        </is>
      </c>
      <c r="E4516" s="0" t="inlineStr">
        <is>
          <t>THINK PINK:100116C-L</t>
        </is>
      </c>
      <c r="F4516" s="0" t="inlineStr">
        <is>
          <t>'800100116034</t>
        </is>
      </c>
      <c r="G4516" s="0" t="inlineStr">
        <is>
          <t>WOMENS</t>
        </is>
      </c>
      <c r="H4516" s="0" t="inlineStr">
        <is>
          <t>L</t>
        </is>
      </c>
      <c r="I4516" s="0">
        <v>15.99</v>
      </c>
      <c r="J4516" s="0">
        <v>0</v>
      </c>
    </row>
    <row r="4517" spans="1:10" customHeight="0">
      <c r="A4517" s="0">
        <f>HYPERLINK("https://dl.dropboxusercontent.com/scl/fi/xoba2cwpkc1kfnds19zbe/96448af84625.png?rlkey=xrvfrp2csdp2za7qg20gapmai&amp;dl=0","Click to download Image")</f>
      </c>
      <c r="B4517" s="0">
        <f>HYPERLINK("https://dl.dropboxusercontent.com/scl/fi/flrqhq3eoh9t06o3haoq6/size-chart-ladies-l.jpg?rlkey=qvxhkozyngs2gwez4lgmt1r3g&amp;dl=0","Click to download SizeChart")</f>
      </c>
      <c r="C4517" s="0" t="inlineStr">
        <is>
          <t>Ciara Breast Cancer Legging</t>
        </is>
      </c>
      <c r="D4517" s="0" t="inlineStr">
        <is>
          <t>'100118</t>
        </is>
      </c>
      <c r="E4517" s="0" t="inlineStr">
        <is>
          <t>THINK PINK:100118A-S</t>
        </is>
      </c>
      <c r="F4517" s="0" t="inlineStr">
        <is>
          <t>'800100118014</t>
        </is>
      </c>
      <c r="G4517" s="0" t="inlineStr">
        <is>
          <t>WOMENS</t>
        </is>
      </c>
      <c r="H4517" s="0" t="inlineStr">
        <is>
          <t>S</t>
        </is>
      </c>
      <c r="I4517" s="0">
        <v>38.99</v>
      </c>
      <c r="J4517" s="0">
        <v>49</v>
      </c>
    </row>
    <row r="4518" spans="1:10" customHeight="0">
      <c r="A4518" s="0">
        <f>HYPERLINK("https://dl.dropboxusercontent.com/scl/fi/xoba2cwpkc1kfnds19zbe/96448af84625.png?rlkey=xrvfrp2csdp2za7qg20gapmai&amp;dl=0","Click to download Image")</f>
      </c>
      <c r="B4518" s="0">
        <f>HYPERLINK("https://dl.dropboxusercontent.com/scl/fi/flrqhq3eoh9t06o3haoq6/size-chart-ladies-l.jpg?rlkey=qvxhkozyngs2gwez4lgmt1r3g&amp;dl=0","Click to download SizeChart")</f>
      </c>
      <c r="C4518" s="0" t="inlineStr">
        <is>
          <t>Ciara Breast Cancer Legging</t>
        </is>
      </c>
      <c r="D4518" s="0" t="inlineStr">
        <is>
          <t>'100118</t>
        </is>
      </c>
      <c r="E4518" s="0" t="inlineStr">
        <is>
          <t>THINK PINK:100118B-M</t>
        </is>
      </c>
      <c r="F4518" s="0" t="inlineStr">
        <is>
          <t>'800100118021</t>
        </is>
      </c>
      <c r="G4518" s="0" t="inlineStr">
        <is>
          <t>WOMENS</t>
        </is>
      </c>
      <c r="H4518" s="0" t="inlineStr">
        <is>
          <t>M</t>
        </is>
      </c>
      <c r="I4518" s="0">
        <v>38.99</v>
      </c>
      <c r="J4518" s="0">
        <v>53</v>
      </c>
    </row>
    <row r="4519" spans="1:10" customHeight="0">
      <c r="A4519" s="0">
        <f>HYPERLINK("https://dl.dropboxusercontent.com/scl/fi/xoba2cwpkc1kfnds19zbe/96448af84625.png?rlkey=xrvfrp2csdp2za7qg20gapmai&amp;dl=0","Click to download Image")</f>
      </c>
      <c r="B4519" s="0">
        <f>HYPERLINK("https://dl.dropboxusercontent.com/scl/fi/flrqhq3eoh9t06o3haoq6/size-chart-ladies-l.jpg?rlkey=qvxhkozyngs2gwez4lgmt1r3g&amp;dl=0","Click to download SizeChart")</f>
      </c>
      <c r="C4519" s="0" t="inlineStr">
        <is>
          <t>Ciara Breast Cancer Legging</t>
        </is>
      </c>
      <c r="D4519" s="0" t="inlineStr">
        <is>
          <t>'100118</t>
        </is>
      </c>
      <c r="E4519" s="0" t="inlineStr">
        <is>
          <t>THINK PINK:100118C-L</t>
        </is>
      </c>
      <c r="F4519" s="0" t="inlineStr">
        <is>
          <t>'800100118038</t>
        </is>
      </c>
      <c r="G4519" s="0" t="inlineStr">
        <is>
          <t>WOMENS</t>
        </is>
      </c>
      <c r="H4519" s="0" t="inlineStr">
        <is>
          <t>L</t>
        </is>
      </c>
      <c r="I4519" s="0">
        <v>38.99</v>
      </c>
      <c r="J4519" s="0">
        <v>46</v>
      </c>
    </row>
    <row r="4520" spans="1:10" customHeight="0">
      <c r="A4520" s="0">
        <f>HYPERLINK("https://dl.dropboxusercontent.com/scl/fi/twgsxb5dj6ph4wg4go57k/95900af12705.jpg?rlkey=00i1gpxoxfbws61ij1ammz210&amp;dl=0","Click to download Image")</f>
      </c>
      <c r="C4520" s="0" t="inlineStr">
        <is>
          <t>Renee Breast Cancer Sweatpants</t>
        </is>
      </c>
      <c r="D4520" s="0" t="inlineStr">
        <is>
          <t>'100113</t>
        </is>
      </c>
      <c r="E4520" s="0" t="inlineStr">
        <is>
          <t>THINK PINK:100113A-S</t>
        </is>
      </c>
      <c r="F4520" s="0" t="inlineStr">
        <is>
          <t>'800100113019</t>
        </is>
      </c>
      <c r="G4520" s="0" t="inlineStr">
        <is>
          <t>WOMENS</t>
        </is>
      </c>
      <c r="H4520" s="0" t="inlineStr">
        <is>
          <t>S</t>
        </is>
      </c>
      <c r="I4520" s="0">
        <v>27.99</v>
      </c>
      <c r="J4520" s="0">
        <v>50</v>
      </c>
    </row>
    <row r="4521" spans="1:10" customHeight="0">
      <c r="A4521" s="0">
        <f>HYPERLINK("https://dl.dropboxusercontent.com/scl/fi/twgsxb5dj6ph4wg4go57k/95900af12705.jpg?rlkey=00i1gpxoxfbws61ij1ammz210&amp;dl=0","Click to download Image")</f>
      </c>
      <c r="C4521" s="0" t="inlineStr">
        <is>
          <t>Renee Breast Cancer Sweatpants</t>
        </is>
      </c>
      <c r="D4521" s="0" t="inlineStr">
        <is>
          <t>'100113</t>
        </is>
      </c>
      <c r="E4521" s="0" t="inlineStr">
        <is>
          <t>THINK PINK:100113B-M</t>
        </is>
      </c>
      <c r="F4521" s="0" t="inlineStr">
        <is>
          <t>'800100113026</t>
        </is>
      </c>
      <c r="G4521" s="0" t="inlineStr">
        <is>
          <t>WOMENS</t>
        </is>
      </c>
      <c r="H4521" s="0" t="inlineStr">
        <is>
          <t>M</t>
        </is>
      </c>
      <c r="I4521" s="0">
        <v>27.99</v>
      </c>
      <c r="J4521" s="0">
        <v>48</v>
      </c>
    </row>
    <row r="4522" spans="1:10" customHeight="0">
      <c r="A4522" s="0">
        <f>HYPERLINK("https://dl.dropboxusercontent.com/scl/fi/twgsxb5dj6ph4wg4go57k/95900af12705.jpg?rlkey=00i1gpxoxfbws61ij1ammz210&amp;dl=0","Click to download Image")</f>
      </c>
      <c r="C4522" s="0" t="inlineStr">
        <is>
          <t>Renee Breast Cancer Sweatpants</t>
        </is>
      </c>
      <c r="D4522" s="0" t="inlineStr">
        <is>
          <t>'100113</t>
        </is>
      </c>
      <c r="E4522" s="0" t="inlineStr">
        <is>
          <t>THINK PINK:100113C-L</t>
        </is>
      </c>
      <c r="F4522" s="0" t="inlineStr">
        <is>
          <t>'800100113033</t>
        </is>
      </c>
      <c r="G4522" s="0" t="inlineStr">
        <is>
          <t>WOMENS</t>
        </is>
      </c>
      <c r="H4522" s="0" t="inlineStr">
        <is>
          <t>L</t>
        </is>
      </c>
      <c r="I4522" s="0">
        <v>27.99</v>
      </c>
      <c r="J4522" s="0">
        <v>46</v>
      </c>
    </row>
    <row r="4523" spans="1:10" customHeight="0">
      <c r="A4523" s="0">
        <f>HYPERLINK("https://dl.dropboxusercontent.com/scl/fi/fxlltn9dr1luqousnz6v7/101292af.jpg?rlkey=0qp3eizesfyawsaiqoriwgck2&amp;dl=0","Click to download Image")</f>
      </c>
      <c r="C4523" s="0" t="inlineStr">
        <is>
          <t>Todd Men's Long Sleeve</t>
        </is>
      </c>
      <c r="D4523" s="0" t="inlineStr">
        <is>
          <t>'101292</t>
        </is>
      </c>
      <c r="E4523" s="0" t="inlineStr">
        <is>
          <t>TODD:101292A-S</t>
        </is>
      </c>
      <c r="F4523" s="0" t="inlineStr">
        <is>
          <t>'000000000000</t>
        </is>
      </c>
      <c r="G4523" s="0" t="inlineStr">
        <is>
          <t>MENS</t>
        </is>
      </c>
      <c r="H4523" s="0" t="inlineStr">
        <is>
          <t>S</t>
        </is>
      </c>
      <c r="I4523" s="0">
        <v>16.99</v>
      </c>
      <c r="J4523" s="0">
        <v>0</v>
      </c>
    </row>
    <row r="4524" spans="1:10" customHeight="0">
      <c r="A4524" s="0">
        <f>HYPERLINK("https://dl.dropboxusercontent.com/scl/fi/fxlltn9dr1luqousnz6v7/101292af.jpg?rlkey=0qp3eizesfyawsaiqoriwgck2&amp;dl=0","Click to download Image")</f>
      </c>
      <c r="C4524" s="0" t="inlineStr">
        <is>
          <t>Todd Men's Long Sleeve</t>
        </is>
      </c>
      <c r="D4524" s="0" t="inlineStr">
        <is>
          <t>'101292</t>
        </is>
      </c>
      <c r="E4524" s="0" t="inlineStr">
        <is>
          <t>TODD:101292B-M</t>
        </is>
      </c>
      <c r="F4524" s="0" t="inlineStr">
        <is>
          <t>'000000000000</t>
        </is>
      </c>
      <c r="G4524" s="0" t="inlineStr">
        <is>
          <t>MENS</t>
        </is>
      </c>
      <c r="H4524" s="0" t="inlineStr">
        <is>
          <t>M</t>
        </is>
      </c>
      <c r="I4524" s="0">
        <v>16.99</v>
      </c>
      <c r="J4524" s="0">
        <v>5</v>
      </c>
    </row>
    <row r="4525" spans="1:10" customHeight="0">
      <c r="A4525" s="0">
        <f>HYPERLINK("https://dl.dropboxusercontent.com/scl/fi/fxlltn9dr1luqousnz6v7/101292af.jpg?rlkey=0qp3eizesfyawsaiqoriwgck2&amp;dl=0","Click to download Image")</f>
      </c>
      <c r="C4525" s="0" t="inlineStr">
        <is>
          <t>Todd Men's Long Sleeve</t>
        </is>
      </c>
      <c r="D4525" s="0" t="inlineStr">
        <is>
          <t>'101292</t>
        </is>
      </c>
      <c r="E4525" s="0" t="inlineStr">
        <is>
          <t>TODD:101292C-L</t>
        </is>
      </c>
      <c r="F4525" s="0" t="inlineStr">
        <is>
          <t>'000000000000</t>
        </is>
      </c>
      <c r="G4525" s="0" t="inlineStr">
        <is>
          <t>MENS</t>
        </is>
      </c>
      <c r="H4525" s="0" t="inlineStr">
        <is>
          <t>L</t>
        </is>
      </c>
      <c r="I4525" s="0">
        <v>16.99</v>
      </c>
      <c r="J4525" s="0">
        <v>0</v>
      </c>
    </row>
    <row r="4526" spans="1:10" customHeight="0">
      <c r="A4526" s="0">
        <f>HYPERLINK("https://dl.dropboxusercontent.com/scl/fi/fxlltn9dr1luqousnz6v7/101292af.jpg?rlkey=0qp3eizesfyawsaiqoriwgck2&amp;dl=0","Click to download Image")</f>
      </c>
      <c r="C4526" s="0" t="inlineStr">
        <is>
          <t>Todd Men's Long Sleeve</t>
        </is>
      </c>
      <c r="D4526" s="0" t="inlineStr">
        <is>
          <t>'101292</t>
        </is>
      </c>
      <c r="E4526" s="0" t="inlineStr">
        <is>
          <t>TODD:101292D-XL</t>
        </is>
      </c>
      <c r="F4526" s="0" t="inlineStr">
        <is>
          <t>'000000000000</t>
        </is>
      </c>
      <c r="G4526" s="0" t="inlineStr">
        <is>
          <t>MENS</t>
        </is>
      </c>
      <c r="H4526" s="0" t="inlineStr">
        <is>
          <t>XL</t>
        </is>
      </c>
      <c r="I4526" s="0">
        <v>16.99</v>
      </c>
      <c r="J4526" s="0">
        <v>0</v>
      </c>
    </row>
    <row r="4527" spans="1:10" customHeight="0">
      <c r="A4527" s="0">
        <f>HYPERLINK("https://dl.dropboxusercontent.com/scl/fi/fxlltn9dr1luqousnz6v7/101292af.jpg?rlkey=0qp3eizesfyawsaiqoriwgck2&amp;dl=0","Click to download Image")</f>
      </c>
      <c r="C4527" s="0" t="inlineStr">
        <is>
          <t>Todd Men's Long Sleeve</t>
        </is>
      </c>
      <c r="D4527" s="0" t="inlineStr">
        <is>
          <t>'101292</t>
        </is>
      </c>
      <c r="E4527" s="0" t="inlineStr">
        <is>
          <t>TODD:101292E-2XL</t>
        </is>
      </c>
      <c r="F4527" s="0" t="inlineStr">
        <is>
          <t>'000000000000</t>
        </is>
      </c>
      <c r="G4527" s="0" t="inlineStr">
        <is>
          <t>MENS</t>
        </is>
      </c>
      <c r="H4527" s="0" t="inlineStr">
        <is>
          <t>2XL</t>
        </is>
      </c>
      <c r="I4527" s="0">
        <v>16.99</v>
      </c>
      <c r="J4527" s="0">
        <v>0</v>
      </c>
    </row>
    <row r="4528" spans="1:10" customHeight="0">
      <c r="A4528" s="0">
        <f>HYPERLINK("https://dl.dropboxusercontent.com/scl/fi/fxlltn9dr1luqousnz6v7/101292af.jpg?rlkey=0qp3eizesfyawsaiqoriwgck2&amp;dl=0","Click to download Image")</f>
      </c>
      <c r="C4528" s="0" t="inlineStr">
        <is>
          <t>Todd Men's Long Sleeve</t>
        </is>
      </c>
      <c r="D4528" s="0" t="inlineStr">
        <is>
          <t>'101292</t>
        </is>
      </c>
      <c r="E4528" s="0" t="inlineStr">
        <is>
          <t>TODD:101292F-3XL</t>
        </is>
      </c>
      <c r="F4528" s="0" t="inlineStr">
        <is>
          <t>'000000000000</t>
        </is>
      </c>
      <c r="G4528" s="0" t="inlineStr">
        <is>
          <t>MENS</t>
        </is>
      </c>
      <c r="H4528" s="0" t="inlineStr">
        <is>
          <t>3XL</t>
        </is>
      </c>
      <c r="I4528" s="0">
        <v>16.99</v>
      </c>
      <c r="J4528" s="0">
        <v>4</v>
      </c>
    </row>
    <row r="4529" spans="1:10" customHeight="0">
      <c r="A4529" s="0">
        <f>HYPERLINK("https://dl.dropboxusercontent.com/scl/fi/8wjp6wcyl91fk6y8sdcov/101293af.jpg?rlkey=qw8u7jq7dwgfu19viohfsgkjv&amp;dl=0","Click to download Image")</f>
      </c>
      <c r="C4529" s="0" t="inlineStr">
        <is>
          <t>Todd Men's Long Sleeve</t>
        </is>
      </c>
      <c r="D4529" s="0" t="inlineStr">
        <is>
          <t>'101293</t>
        </is>
      </c>
      <c r="E4529" s="0" t="inlineStr">
        <is>
          <t>TODD:101293A-S</t>
        </is>
      </c>
      <c r="F4529" s="0" t="inlineStr">
        <is>
          <t>'000000000000</t>
        </is>
      </c>
      <c r="G4529" s="0" t="inlineStr">
        <is>
          <t>MENS</t>
        </is>
      </c>
      <c r="H4529" s="0" t="inlineStr">
        <is>
          <t>S</t>
        </is>
      </c>
      <c r="I4529" s="0">
        <v>16.99</v>
      </c>
      <c r="J4529" s="0">
        <v>27</v>
      </c>
    </row>
    <row r="4530" spans="1:10" customHeight="0">
      <c r="A4530" s="0">
        <f>HYPERLINK("https://dl.dropboxusercontent.com/scl/fi/8wjp6wcyl91fk6y8sdcov/101293af.jpg?rlkey=qw8u7jq7dwgfu19viohfsgkjv&amp;dl=0","Click to download Image")</f>
      </c>
      <c r="C4530" s="0" t="inlineStr">
        <is>
          <t>Todd Men's Long Sleeve</t>
        </is>
      </c>
      <c r="D4530" s="0" t="inlineStr">
        <is>
          <t>'101293</t>
        </is>
      </c>
      <c r="E4530" s="0" t="inlineStr">
        <is>
          <t>TODD:101293B-M</t>
        </is>
      </c>
      <c r="F4530" s="0" t="inlineStr">
        <is>
          <t>'000000000000</t>
        </is>
      </c>
      <c r="G4530" s="0" t="inlineStr">
        <is>
          <t>MENS</t>
        </is>
      </c>
      <c r="H4530" s="0" t="inlineStr">
        <is>
          <t>M</t>
        </is>
      </c>
      <c r="I4530" s="0">
        <v>16.99</v>
      </c>
      <c r="J4530" s="0">
        <v>50</v>
      </c>
    </row>
    <row r="4531" spans="1:10" customHeight="0">
      <c r="A4531" s="0">
        <f>HYPERLINK("https://dl.dropboxusercontent.com/scl/fi/8wjp6wcyl91fk6y8sdcov/101293af.jpg?rlkey=qw8u7jq7dwgfu19viohfsgkjv&amp;dl=0","Click to download Image")</f>
      </c>
      <c r="C4531" s="0" t="inlineStr">
        <is>
          <t>Todd Men's Long Sleeve</t>
        </is>
      </c>
      <c r="D4531" s="0" t="inlineStr">
        <is>
          <t>'101293</t>
        </is>
      </c>
      <c r="E4531" s="0" t="inlineStr">
        <is>
          <t>TODD:101293C-L</t>
        </is>
      </c>
      <c r="F4531" s="0" t="inlineStr">
        <is>
          <t>'000000000000</t>
        </is>
      </c>
      <c r="G4531" s="0" t="inlineStr">
        <is>
          <t>MENS</t>
        </is>
      </c>
      <c r="H4531" s="0" t="inlineStr">
        <is>
          <t>L</t>
        </is>
      </c>
      <c r="I4531" s="0">
        <v>16.99</v>
      </c>
      <c r="J4531" s="0">
        <v>60</v>
      </c>
    </row>
    <row r="4532" spans="1:10" customHeight="0">
      <c r="A4532" s="0">
        <f>HYPERLINK("https://dl.dropboxusercontent.com/scl/fi/8wjp6wcyl91fk6y8sdcov/101293af.jpg?rlkey=qw8u7jq7dwgfu19viohfsgkjv&amp;dl=0","Click to download Image")</f>
      </c>
      <c r="C4532" s="0" t="inlineStr">
        <is>
          <t>Todd Men's Long Sleeve</t>
        </is>
      </c>
      <c r="D4532" s="0" t="inlineStr">
        <is>
          <t>'101293</t>
        </is>
      </c>
      <c r="E4532" s="0" t="inlineStr">
        <is>
          <t>TODD:101293D-XL</t>
        </is>
      </c>
      <c r="F4532" s="0" t="inlineStr">
        <is>
          <t>'000000000000</t>
        </is>
      </c>
      <c r="G4532" s="0" t="inlineStr">
        <is>
          <t>MENS</t>
        </is>
      </c>
      <c r="H4532" s="0" t="inlineStr">
        <is>
          <t>XL</t>
        </is>
      </c>
      <c r="I4532" s="0">
        <v>16.99</v>
      </c>
      <c r="J4532" s="0">
        <v>85</v>
      </c>
    </row>
    <row r="4533" spans="1:10" customHeight="0">
      <c r="A4533" s="0">
        <f>HYPERLINK("https://dl.dropboxusercontent.com/scl/fi/8wjp6wcyl91fk6y8sdcov/101293af.jpg?rlkey=qw8u7jq7dwgfu19viohfsgkjv&amp;dl=0","Click to download Image")</f>
      </c>
      <c r="C4533" s="0" t="inlineStr">
        <is>
          <t>Todd Men's Long Sleeve</t>
        </is>
      </c>
      <c r="D4533" s="0" t="inlineStr">
        <is>
          <t>'101293</t>
        </is>
      </c>
      <c r="E4533" s="0" t="inlineStr">
        <is>
          <t>TODD:101293E-2XL</t>
        </is>
      </c>
      <c r="F4533" s="0" t="inlineStr">
        <is>
          <t>'000000000000</t>
        </is>
      </c>
      <c r="G4533" s="0" t="inlineStr">
        <is>
          <t>MENS</t>
        </is>
      </c>
      <c r="H4533" s="0" t="inlineStr">
        <is>
          <t>2XL</t>
        </is>
      </c>
      <c r="I4533" s="0">
        <v>16.99</v>
      </c>
      <c r="J4533" s="0">
        <v>36</v>
      </c>
    </row>
    <row r="4534" spans="1:10" customHeight="0">
      <c r="A4534" s="0">
        <f>HYPERLINK("https://dl.dropboxusercontent.com/scl/fi/8wjp6wcyl91fk6y8sdcov/101293af.jpg?rlkey=qw8u7jq7dwgfu19viohfsgkjv&amp;dl=0","Click to download Image")</f>
      </c>
      <c r="C4534" s="0" t="inlineStr">
        <is>
          <t>Todd Men's Long Sleeve</t>
        </is>
      </c>
      <c r="D4534" s="0" t="inlineStr">
        <is>
          <t>'101293</t>
        </is>
      </c>
      <c r="E4534" s="0" t="inlineStr">
        <is>
          <t>TODD:101293F-3XL</t>
        </is>
      </c>
      <c r="F4534" s="0" t="inlineStr">
        <is>
          <t>'000000000000</t>
        </is>
      </c>
      <c r="G4534" s="0" t="inlineStr">
        <is>
          <t>MENS</t>
        </is>
      </c>
      <c r="H4534" s="0" t="inlineStr">
        <is>
          <t>3XL</t>
        </is>
      </c>
      <c r="I4534" s="0">
        <v>16.99</v>
      </c>
      <c r="J4534" s="0">
        <v>40</v>
      </c>
    </row>
    <row r="4535" spans="1:10" customHeight="0">
      <c r="A4535" s="0">
        <f>HYPERLINK("https://dl.dropboxusercontent.com/scl/fi/tx07623kw2jnt92hv45ip/103368-af.jpg?rlkey=rzwwql2pizi3ea1wsd0ufnmji&amp;dl=0","Click to download Image")</f>
      </c>
      <c r="B4535" s="0">
        <f>HYPERLINK("https://dl.dropboxusercontent.com/scl/fi/evoidjsbkusvnhz7g1t02/10-18-size-chartsmens-relaxed.jpg?rlkey=7pyjs2z45j3fq38pg4bc1k2jp&amp;dl=0","Click to download SizeChart")</f>
      </c>
      <c r="C4535" s="0" t="inlineStr">
        <is>
          <t>Decker Men's Midweight Hoodie</t>
        </is>
      </c>
      <c r="D4535" s="0" t="inlineStr">
        <is>
          <t>'103368</t>
        </is>
      </c>
      <c r="E4535" s="0" t="inlineStr">
        <is>
          <t>DECKER:103368A-S</t>
        </is>
      </c>
      <c r="F4535" s="0" t="inlineStr">
        <is>
          <t>'000000000000</t>
        </is>
      </c>
      <c r="G4535" s="0" t="inlineStr">
        <is>
          <t>MENS</t>
        </is>
      </c>
      <c r="H4535" s="0" t="inlineStr">
        <is>
          <t>S</t>
        </is>
      </c>
      <c r="I4535" s="0">
        <v>29.99</v>
      </c>
      <c r="J4535" s="0">
        <v>0</v>
      </c>
    </row>
    <row r="4536" spans="1:10" customHeight="0">
      <c r="A4536" s="0">
        <f>HYPERLINK("https://dl.dropboxusercontent.com/scl/fi/tx07623kw2jnt92hv45ip/103368-af.jpg?rlkey=rzwwql2pizi3ea1wsd0ufnmji&amp;dl=0","Click to download Image")</f>
      </c>
      <c r="B4536" s="0">
        <f>HYPERLINK("https://dl.dropboxusercontent.com/scl/fi/evoidjsbkusvnhz7g1t02/10-18-size-chartsmens-relaxed.jpg?rlkey=7pyjs2z45j3fq38pg4bc1k2jp&amp;dl=0","Click to download SizeChart")</f>
      </c>
      <c r="C4536" s="0" t="inlineStr">
        <is>
          <t>Decker Men's Midweight Hoodie</t>
        </is>
      </c>
      <c r="D4536" s="0" t="inlineStr">
        <is>
          <t>'103368</t>
        </is>
      </c>
      <c r="E4536" s="0" t="inlineStr">
        <is>
          <t>DECKER:103368B-M</t>
        </is>
      </c>
      <c r="F4536" s="0" t="inlineStr">
        <is>
          <t>'000000000000</t>
        </is>
      </c>
      <c r="G4536" s="0" t="inlineStr">
        <is>
          <t>MENS</t>
        </is>
      </c>
      <c r="H4536" s="0" t="inlineStr">
        <is>
          <t>M</t>
        </is>
      </c>
      <c r="I4536" s="0">
        <v>29.99</v>
      </c>
      <c r="J4536" s="0">
        <v>5</v>
      </c>
    </row>
    <row r="4537" spans="1:10" customHeight="0">
      <c r="A4537" s="0">
        <f>HYPERLINK("https://dl.dropboxusercontent.com/scl/fi/tx07623kw2jnt92hv45ip/103368-af.jpg?rlkey=rzwwql2pizi3ea1wsd0ufnmji&amp;dl=0","Click to download Image")</f>
      </c>
      <c r="B4537" s="0">
        <f>HYPERLINK("https://dl.dropboxusercontent.com/scl/fi/evoidjsbkusvnhz7g1t02/10-18-size-chartsmens-relaxed.jpg?rlkey=7pyjs2z45j3fq38pg4bc1k2jp&amp;dl=0","Click to download SizeChart")</f>
      </c>
      <c r="C4537" s="0" t="inlineStr">
        <is>
          <t>Decker Men's Midweight Hoodie</t>
        </is>
      </c>
      <c r="D4537" s="0" t="inlineStr">
        <is>
          <t>'103368</t>
        </is>
      </c>
      <c r="E4537" s="0" t="inlineStr">
        <is>
          <t>DECKER:103368C-L</t>
        </is>
      </c>
      <c r="F4537" s="0" t="inlineStr">
        <is>
          <t>'000000000000</t>
        </is>
      </c>
      <c r="G4537" s="0" t="inlineStr">
        <is>
          <t>MENS</t>
        </is>
      </c>
      <c r="H4537" s="0" t="inlineStr">
        <is>
          <t>L</t>
        </is>
      </c>
      <c r="I4537" s="0">
        <v>29.99</v>
      </c>
      <c r="J4537" s="0">
        <v>19</v>
      </c>
    </row>
    <row r="4538" spans="1:10" customHeight="0">
      <c r="A4538" s="0">
        <f>HYPERLINK("https://dl.dropboxusercontent.com/scl/fi/tx07623kw2jnt92hv45ip/103368-af.jpg?rlkey=rzwwql2pizi3ea1wsd0ufnmji&amp;dl=0","Click to download Image")</f>
      </c>
      <c r="B4538" s="0">
        <f>HYPERLINK("https://dl.dropboxusercontent.com/scl/fi/evoidjsbkusvnhz7g1t02/10-18-size-chartsmens-relaxed.jpg?rlkey=7pyjs2z45j3fq38pg4bc1k2jp&amp;dl=0","Click to download SizeChart")</f>
      </c>
      <c r="C4538" s="0" t="inlineStr">
        <is>
          <t>Decker Men's Midweight Hoodie</t>
        </is>
      </c>
      <c r="D4538" s="0" t="inlineStr">
        <is>
          <t>'103368</t>
        </is>
      </c>
      <c r="E4538" s="0" t="inlineStr">
        <is>
          <t>DECKER:103368D-XL</t>
        </is>
      </c>
      <c r="F4538" s="0" t="inlineStr">
        <is>
          <t>'000000000000</t>
        </is>
      </c>
      <c r="G4538" s="0" t="inlineStr">
        <is>
          <t>MENS</t>
        </is>
      </c>
      <c r="H4538" s="0" t="inlineStr">
        <is>
          <t>XL</t>
        </is>
      </c>
      <c r="I4538" s="0">
        <v>29.99</v>
      </c>
      <c r="J4538" s="0">
        <v>25</v>
      </c>
    </row>
    <row r="4539" spans="1:10" customHeight="0">
      <c r="A4539" s="0">
        <f>HYPERLINK("https://dl.dropboxusercontent.com/scl/fi/tx07623kw2jnt92hv45ip/103368-af.jpg?rlkey=rzwwql2pizi3ea1wsd0ufnmji&amp;dl=0","Click to download Image")</f>
      </c>
      <c r="B4539" s="0">
        <f>HYPERLINK("https://dl.dropboxusercontent.com/scl/fi/evoidjsbkusvnhz7g1t02/10-18-size-chartsmens-relaxed.jpg?rlkey=7pyjs2z45j3fq38pg4bc1k2jp&amp;dl=0","Click to download SizeChart")</f>
      </c>
      <c r="C4539" s="0" t="inlineStr">
        <is>
          <t>Decker Men's Midweight Hoodie</t>
        </is>
      </c>
      <c r="D4539" s="0" t="inlineStr">
        <is>
          <t>'103368</t>
        </is>
      </c>
      <c r="E4539" s="0" t="inlineStr">
        <is>
          <t>DECKER:103368E-2XL</t>
        </is>
      </c>
      <c r="F4539" s="0" t="inlineStr">
        <is>
          <t>'000000000000</t>
        </is>
      </c>
      <c r="G4539" s="0" t="inlineStr">
        <is>
          <t>MENS</t>
        </is>
      </c>
      <c r="H4539" s="0" t="inlineStr">
        <is>
          <t>2XL</t>
        </is>
      </c>
      <c r="I4539" s="0">
        <v>31.99</v>
      </c>
      <c r="J4539" s="0">
        <v>18</v>
      </c>
    </row>
    <row r="4540" spans="1:10" customHeight="0">
      <c r="A4540" s="0">
        <f>HYPERLINK("https://dl.dropboxusercontent.com/scl/fi/tx07623kw2jnt92hv45ip/103368-af.jpg?rlkey=rzwwql2pizi3ea1wsd0ufnmji&amp;dl=0","Click to download Image")</f>
      </c>
      <c r="B4540" s="0">
        <f>HYPERLINK("https://dl.dropboxusercontent.com/scl/fi/evoidjsbkusvnhz7g1t02/10-18-size-chartsmens-relaxed.jpg?rlkey=7pyjs2z45j3fq38pg4bc1k2jp&amp;dl=0","Click to download SizeChart")</f>
      </c>
      <c r="C4540" s="0" t="inlineStr">
        <is>
          <t>Decker Men's Midweight Hoodie</t>
        </is>
      </c>
      <c r="D4540" s="0" t="inlineStr">
        <is>
          <t>'103368</t>
        </is>
      </c>
      <c r="E4540" s="0" t="inlineStr">
        <is>
          <t>DECKER:103368F-3XL</t>
        </is>
      </c>
      <c r="F4540" s="0" t="inlineStr">
        <is>
          <t>'000000000000</t>
        </is>
      </c>
      <c r="G4540" s="0" t="inlineStr">
        <is>
          <t>MENS</t>
        </is>
      </c>
      <c r="H4540" s="0" t="inlineStr">
        <is>
          <t>3XL</t>
        </is>
      </c>
      <c r="I4540" s="0">
        <v>31.99</v>
      </c>
      <c r="J4540" s="0">
        <v>7</v>
      </c>
    </row>
    <row r="4541" spans="1:10" customHeight="0">
      <c r="A4541" s="0">
        <f>HYPERLINK("https://dl.dropboxusercontent.com/scl/fi/yoa7ruxs87z383xkyyaav/103394-af.jpg?rlkey=ebe3moslny67dhrzlscuz51kc&amp;dl=0","Click to download Image")</f>
      </c>
      <c r="B4541" s="0">
        <f>HYPERLINK("https://dl.dropboxusercontent.com/scl/fi/evoidjsbkusvnhz7g1t02/10-18-size-chartsmens-relaxed.jpg?rlkey=7pyjs2z45j3fq38pg4bc1k2jp&amp;dl=0","Click to download SizeChart")</f>
      </c>
      <c r="C4541" s="0" t="inlineStr">
        <is>
          <t>Decker Men's Midweight Hoodie</t>
        </is>
      </c>
      <c r="D4541" s="0" t="inlineStr">
        <is>
          <t>'103394</t>
        </is>
      </c>
      <c r="E4541" s="0" t="inlineStr">
        <is>
          <t>DECKER:103394A-S</t>
        </is>
      </c>
      <c r="F4541" s="0" t="inlineStr">
        <is>
          <t>'000000000000</t>
        </is>
      </c>
      <c r="G4541" s="0" t="inlineStr">
        <is>
          <t>MENS</t>
        </is>
      </c>
      <c r="H4541" s="0" t="inlineStr">
        <is>
          <t>S</t>
        </is>
      </c>
      <c r="I4541" s="0">
        <v>29.99</v>
      </c>
      <c r="J4541" s="0">
        <v>10</v>
      </c>
    </row>
    <row r="4542" spans="1:10" customHeight="0">
      <c r="A4542" s="0">
        <f>HYPERLINK("https://dl.dropboxusercontent.com/scl/fi/yoa7ruxs87z383xkyyaav/103394-af.jpg?rlkey=ebe3moslny67dhrzlscuz51kc&amp;dl=0","Click to download Image")</f>
      </c>
      <c r="B4542" s="0">
        <f>HYPERLINK("https://dl.dropboxusercontent.com/scl/fi/evoidjsbkusvnhz7g1t02/10-18-size-chartsmens-relaxed.jpg?rlkey=7pyjs2z45j3fq38pg4bc1k2jp&amp;dl=0","Click to download SizeChart")</f>
      </c>
      <c r="C4542" s="0" t="inlineStr">
        <is>
          <t>Decker Men's Midweight Hoodie</t>
        </is>
      </c>
      <c r="D4542" s="0" t="inlineStr">
        <is>
          <t>'103394</t>
        </is>
      </c>
      <c r="E4542" s="0" t="inlineStr">
        <is>
          <t>DECKER:103394B-M</t>
        </is>
      </c>
      <c r="F4542" s="0" t="inlineStr">
        <is>
          <t>'000000000000</t>
        </is>
      </c>
      <c r="G4542" s="0" t="inlineStr">
        <is>
          <t>MENS</t>
        </is>
      </c>
      <c r="H4542" s="0" t="inlineStr">
        <is>
          <t>M</t>
        </is>
      </c>
      <c r="I4542" s="0">
        <v>29.99</v>
      </c>
      <c r="J4542" s="0">
        <v>16</v>
      </c>
    </row>
    <row r="4543" spans="1:10" customHeight="0">
      <c r="A4543" s="0">
        <f>HYPERLINK("https://dl.dropboxusercontent.com/scl/fi/yoa7ruxs87z383xkyyaav/103394-af.jpg?rlkey=ebe3moslny67dhrzlscuz51kc&amp;dl=0","Click to download Image")</f>
      </c>
      <c r="B4543" s="0">
        <f>HYPERLINK("https://dl.dropboxusercontent.com/scl/fi/evoidjsbkusvnhz7g1t02/10-18-size-chartsmens-relaxed.jpg?rlkey=7pyjs2z45j3fq38pg4bc1k2jp&amp;dl=0","Click to download SizeChart")</f>
      </c>
      <c r="C4543" s="0" t="inlineStr">
        <is>
          <t>Decker Men's Midweight Hoodie</t>
        </is>
      </c>
      <c r="D4543" s="0" t="inlineStr">
        <is>
          <t>'103394</t>
        </is>
      </c>
      <c r="E4543" s="0" t="inlineStr">
        <is>
          <t>DECKER:103394C-L</t>
        </is>
      </c>
      <c r="F4543" s="0" t="inlineStr">
        <is>
          <t>'000000000000</t>
        </is>
      </c>
      <c r="G4543" s="0" t="inlineStr">
        <is>
          <t>MENS</t>
        </is>
      </c>
      <c r="H4543" s="0" t="inlineStr">
        <is>
          <t>L</t>
        </is>
      </c>
      <c r="I4543" s="0">
        <v>29.99</v>
      </c>
      <c r="J4543" s="0">
        <v>8</v>
      </c>
    </row>
    <row r="4544" spans="1:10" customHeight="0">
      <c r="A4544" s="0">
        <f>HYPERLINK("https://dl.dropboxusercontent.com/scl/fi/yoa7ruxs87z383xkyyaav/103394-af.jpg?rlkey=ebe3moslny67dhrzlscuz51kc&amp;dl=0","Click to download Image")</f>
      </c>
      <c r="B4544" s="0">
        <f>HYPERLINK("https://dl.dropboxusercontent.com/scl/fi/evoidjsbkusvnhz7g1t02/10-18-size-chartsmens-relaxed.jpg?rlkey=7pyjs2z45j3fq38pg4bc1k2jp&amp;dl=0","Click to download SizeChart")</f>
      </c>
      <c r="C4544" s="0" t="inlineStr">
        <is>
          <t>Decker Men's Midweight Hoodie</t>
        </is>
      </c>
      <c r="D4544" s="0" t="inlineStr">
        <is>
          <t>'103394</t>
        </is>
      </c>
      <c r="E4544" s="0" t="inlineStr">
        <is>
          <t>DECKER:103394D-XL</t>
        </is>
      </c>
      <c r="F4544" s="0" t="inlineStr">
        <is>
          <t>'000000000000</t>
        </is>
      </c>
      <c r="G4544" s="0" t="inlineStr">
        <is>
          <t>MENS</t>
        </is>
      </c>
      <c r="H4544" s="0" t="inlineStr">
        <is>
          <t>XL</t>
        </is>
      </c>
      <c r="I4544" s="0">
        <v>29.99</v>
      </c>
      <c r="J4544" s="0">
        <v>6</v>
      </c>
    </row>
    <row r="4545" spans="1:10" customHeight="0">
      <c r="A4545" s="0">
        <f>HYPERLINK("https://dl.dropboxusercontent.com/scl/fi/yoa7ruxs87z383xkyyaav/103394-af.jpg?rlkey=ebe3moslny67dhrzlscuz51kc&amp;dl=0","Click to download Image")</f>
      </c>
      <c r="B4545" s="0">
        <f>HYPERLINK("https://dl.dropboxusercontent.com/scl/fi/evoidjsbkusvnhz7g1t02/10-18-size-chartsmens-relaxed.jpg?rlkey=7pyjs2z45j3fq38pg4bc1k2jp&amp;dl=0","Click to download SizeChart")</f>
      </c>
      <c r="C4545" s="0" t="inlineStr">
        <is>
          <t>Decker Men's Midweight Hoodie</t>
        </is>
      </c>
      <c r="D4545" s="0" t="inlineStr">
        <is>
          <t>'103394</t>
        </is>
      </c>
      <c r="E4545" s="0" t="inlineStr">
        <is>
          <t>DECKER:103394E-2XL</t>
        </is>
      </c>
      <c r="F4545" s="0" t="inlineStr">
        <is>
          <t>'000000000000</t>
        </is>
      </c>
      <c r="G4545" s="0" t="inlineStr">
        <is>
          <t>MENS</t>
        </is>
      </c>
      <c r="H4545" s="0" t="inlineStr">
        <is>
          <t>2XL</t>
        </is>
      </c>
      <c r="I4545" s="0">
        <v>31.99</v>
      </c>
      <c r="J4545" s="0">
        <v>7</v>
      </c>
    </row>
    <row r="4546" spans="1:10" customHeight="0">
      <c r="A4546" s="0">
        <f>HYPERLINK("https://dl.dropboxusercontent.com/scl/fi/yoa7ruxs87z383xkyyaav/103394-af.jpg?rlkey=ebe3moslny67dhrzlscuz51kc&amp;dl=0","Click to download Image")</f>
      </c>
      <c r="B4546" s="0">
        <f>HYPERLINK("https://dl.dropboxusercontent.com/scl/fi/evoidjsbkusvnhz7g1t02/10-18-size-chartsmens-relaxed.jpg?rlkey=7pyjs2z45j3fq38pg4bc1k2jp&amp;dl=0","Click to download SizeChart")</f>
      </c>
      <c r="C4546" s="0" t="inlineStr">
        <is>
          <t>Decker Men's Midweight Hoodie</t>
        </is>
      </c>
      <c r="D4546" s="0" t="inlineStr">
        <is>
          <t>'103394</t>
        </is>
      </c>
      <c r="E4546" s="0" t="inlineStr">
        <is>
          <t>DECKER:103394F-3XL</t>
        </is>
      </c>
      <c r="F4546" s="0" t="inlineStr">
        <is>
          <t>'000000000000</t>
        </is>
      </c>
      <c r="G4546" s="0" t="inlineStr">
        <is>
          <t>MENS</t>
        </is>
      </c>
      <c r="H4546" s="0" t="inlineStr">
        <is>
          <t>3XL</t>
        </is>
      </c>
      <c r="I4546" s="0">
        <v>31.99</v>
      </c>
      <c r="J4546" s="0">
        <v>9</v>
      </c>
    </row>
    <row r="4547" spans="1:10" customHeight="0">
      <c r="A4547" s="0">
        <f>HYPERLINK("https://dl.dropboxusercontent.com/scl/fi/lsadkeuuq7kkvy7pq71ux/99451af.jpg?rlkey=0si4d217w1722n25jc1eeglgg&amp;dl=0","Click to download Image")</f>
      </c>
      <c r="B4547" s="0">
        <f>HYPERLINK("https://dl.dropboxusercontent.com/scl/fi/dvpqulnc9745fp2tp7eu6/10-18-size-chartsmens-relaxed.jpg?rlkey=cv1uclng6w0qvge89xonpxdog&amp;dl=0","Click to download SizeChart")</f>
      </c>
      <c r="C4547" s="0" t="inlineStr">
        <is>
          <t>Lewis Men's Midweight Crewneck</t>
        </is>
      </c>
      <c r="D4547" s="0" t="inlineStr">
        <is>
          <t>'99451</t>
        </is>
      </c>
      <c r="E4547" s="0" t="inlineStr">
        <is>
          <t>LEWIS:99451A-S</t>
        </is>
      </c>
      <c r="F4547" s="0" t="inlineStr">
        <is>
          <t>'000000000000</t>
        </is>
      </c>
      <c r="G4547" s="0" t="inlineStr">
        <is>
          <t>MENS</t>
        </is>
      </c>
      <c r="H4547" s="0" t="inlineStr">
        <is>
          <t>S</t>
        </is>
      </c>
      <c r="I4547" s="0">
        <v>49.99</v>
      </c>
      <c r="J4547" s="0">
        <v>5</v>
      </c>
    </row>
    <row r="4548" spans="1:10" customHeight="0">
      <c r="A4548" s="0">
        <f>HYPERLINK("https://dl.dropboxusercontent.com/scl/fi/lsadkeuuq7kkvy7pq71ux/99451af.jpg?rlkey=0si4d217w1722n25jc1eeglgg&amp;dl=0","Click to download Image")</f>
      </c>
      <c r="B4548" s="0">
        <f>HYPERLINK("https://dl.dropboxusercontent.com/scl/fi/dvpqulnc9745fp2tp7eu6/10-18-size-chartsmens-relaxed.jpg?rlkey=cv1uclng6w0qvge89xonpxdog&amp;dl=0","Click to download SizeChart")</f>
      </c>
      <c r="C4548" s="0" t="inlineStr">
        <is>
          <t>Lewis Men's Midweight Crewneck</t>
        </is>
      </c>
      <c r="D4548" s="0" t="inlineStr">
        <is>
          <t>'99451</t>
        </is>
      </c>
      <c r="E4548" s="0" t="inlineStr">
        <is>
          <t>LEWIS:99451B-M</t>
        </is>
      </c>
      <c r="F4548" s="0" t="inlineStr">
        <is>
          <t>'000000000000</t>
        </is>
      </c>
      <c r="G4548" s="0" t="inlineStr">
        <is>
          <t>MENS</t>
        </is>
      </c>
      <c r="H4548" s="0" t="inlineStr">
        <is>
          <t>M</t>
        </is>
      </c>
      <c r="I4548" s="0">
        <v>49.99</v>
      </c>
      <c r="J4548" s="0">
        <v>0</v>
      </c>
    </row>
    <row r="4549" spans="1:10" customHeight="0">
      <c r="A4549" s="0">
        <f>HYPERLINK("https://dl.dropboxusercontent.com/scl/fi/lsadkeuuq7kkvy7pq71ux/99451af.jpg?rlkey=0si4d217w1722n25jc1eeglgg&amp;dl=0","Click to download Image")</f>
      </c>
      <c r="B4549" s="0">
        <f>HYPERLINK("https://dl.dropboxusercontent.com/scl/fi/dvpqulnc9745fp2tp7eu6/10-18-size-chartsmens-relaxed.jpg?rlkey=cv1uclng6w0qvge89xonpxdog&amp;dl=0","Click to download SizeChart")</f>
      </c>
      <c r="C4549" s="0" t="inlineStr">
        <is>
          <t>Lewis Men's Midweight Crewneck</t>
        </is>
      </c>
      <c r="D4549" s="0" t="inlineStr">
        <is>
          <t>'99451</t>
        </is>
      </c>
      <c r="E4549" s="0" t="inlineStr">
        <is>
          <t>LEWIS:99451C-L</t>
        </is>
      </c>
      <c r="F4549" s="0" t="inlineStr">
        <is>
          <t>'000000000000</t>
        </is>
      </c>
      <c r="G4549" s="0" t="inlineStr">
        <is>
          <t>MENS</t>
        </is>
      </c>
      <c r="H4549" s="0" t="inlineStr">
        <is>
          <t>L</t>
        </is>
      </c>
      <c r="I4549" s="0">
        <v>49.99</v>
      </c>
      <c r="J4549" s="0">
        <v>0</v>
      </c>
    </row>
    <row r="4550" spans="1:10" customHeight="0">
      <c r="A4550" s="0">
        <f>HYPERLINK("https://dl.dropboxusercontent.com/scl/fi/lsadkeuuq7kkvy7pq71ux/99451af.jpg?rlkey=0si4d217w1722n25jc1eeglgg&amp;dl=0","Click to download Image")</f>
      </c>
      <c r="B4550" s="0">
        <f>HYPERLINK("https://dl.dropboxusercontent.com/scl/fi/dvpqulnc9745fp2tp7eu6/10-18-size-chartsmens-relaxed.jpg?rlkey=cv1uclng6w0qvge89xonpxdog&amp;dl=0","Click to download SizeChart")</f>
      </c>
      <c r="C4550" s="0" t="inlineStr">
        <is>
          <t>Lewis Men's Midweight Crewneck</t>
        </is>
      </c>
      <c r="D4550" s="0" t="inlineStr">
        <is>
          <t>'99451</t>
        </is>
      </c>
      <c r="E4550" s="0" t="inlineStr">
        <is>
          <t>LEWIS:99451D-XL</t>
        </is>
      </c>
      <c r="F4550" s="0" t="inlineStr">
        <is>
          <t>'000000000000</t>
        </is>
      </c>
      <c r="G4550" s="0" t="inlineStr">
        <is>
          <t>MENS</t>
        </is>
      </c>
      <c r="H4550" s="0" t="inlineStr">
        <is>
          <t>XL</t>
        </is>
      </c>
      <c r="I4550" s="0">
        <v>49.99</v>
      </c>
      <c r="J4550" s="0">
        <v>0</v>
      </c>
    </row>
    <row r="4551" spans="1:10" customHeight="0">
      <c r="A4551" s="0">
        <f>HYPERLINK("https://dl.dropboxusercontent.com/scl/fi/lsadkeuuq7kkvy7pq71ux/99451af.jpg?rlkey=0si4d217w1722n25jc1eeglgg&amp;dl=0","Click to download Image")</f>
      </c>
      <c r="B4551" s="0">
        <f>HYPERLINK("https://dl.dropboxusercontent.com/scl/fi/dvpqulnc9745fp2tp7eu6/10-18-size-chartsmens-relaxed.jpg?rlkey=cv1uclng6w0qvge89xonpxdog&amp;dl=0","Click to download SizeChart")</f>
      </c>
      <c r="C4551" s="0" t="inlineStr">
        <is>
          <t>Lewis Men's Midweight Crewneck</t>
        </is>
      </c>
      <c r="D4551" s="0" t="inlineStr">
        <is>
          <t>'99451</t>
        </is>
      </c>
      <c r="E4551" s="0" t="inlineStr">
        <is>
          <t>LEWIS:99451E-2XL</t>
        </is>
      </c>
      <c r="F4551" s="0" t="inlineStr">
        <is>
          <t>'000000000000</t>
        </is>
      </c>
      <c r="G4551" s="0" t="inlineStr">
        <is>
          <t>MENS</t>
        </is>
      </c>
      <c r="H4551" s="0" t="inlineStr">
        <is>
          <t>2XL</t>
        </is>
      </c>
      <c r="I4551" s="0">
        <v>51.99</v>
      </c>
      <c r="J4551" s="0">
        <v>0</v>
      </c>
    </row>
    <row r="4552" spans="1:10" customHeight="0">
      <c r="A4552" s="0">
        <f>HYPERLINK("https://dl.dropboxusercontent.com/scl/fi/lsadkeuuq7kkvy7pq71ux/99451af.jpg?rlkey=0si4d217w1722n25jc1eeglgg&amp;dl=0","Click to download Image")</f>
      </c>
      <c r="B4552" s="0">
        <f>HYPERLINK("https://dl.dropboxusercontent.com/scl/fi/dvpqulnc9745fp2tp7eu6/10-18-size-chartsmens-relaxed.jpg?rlkey=cv1uclng6w0qvge89xonpxdog&amp;dl=0","Click to download SizeChart")</f>
      </c>
      <c r="C4552" s="0" t="inlineStr">
        <is>
          <t>Lewis Men's Midweight Crewneck</t>
        </is>
      </c>
      <c r="D4552" s="0" t="inlineStr">
        <is>
          <t>'99451</t>
        </is>
      </c>
      <c r="E4552" s="0" t="inlineStr">
        <is>
          <t>LEWIS:99451F-3XL</t>
        </is>
      </c>
      <c r="F4552" s="0" t="inlineStr">
        <is>
          <t>'000000000000</t>
        </is>
      </c>
      <c r="G4552" s="0" t="inlineStr">
        <is>
          <t>MENS</t>
        </is>
      </c>
      <c r="H4552" s="0" t="inlineStr">
        <is>
          <t>3XL</t>
        </is>
      </c>
      <c r="I4552" s="0">
        <v>51.99</v>
      </c>
      <c r="J4552" s="0">
        <v>5</v>
      </c>
    </row>
    <row r="4553" spans="1:10" customHeight="0">
      <c r="A4553" s="0">
        <f>HYPERLINK("https://dl.dropboxusercontent.com/scl/fi/j6k8zcev4y6tyrmg00saq/101386-af.jpg?rlkey=ymfs8w313fzffyxzbiv8w5zph&amp;dl=0","Click to download Image")</f>
      </c>
      <c r="C4553" s="0" t="inlineStr">
        <is>
          <t>Mitchell Men's Cap</t>
        </is>
      </c>
      <c r="D4553" s="0" t="inlineStr">
        <is>
          <t>'101386</t>
        </is>
      </c>
      <c r="E4553" s="0" t="inlineStr">
        <is>
          <t>MITCHELL:101386</t>
        </is>
      </c>
      <c r="F4553" s="0" t="inlineStr">
        <is>
          <t>'000000000000</t>
        </is>
      </c>
      <c r="G4553" s="0" t="inlineStr">
        <is>
          <t>MENS</t>
        </is>
      </c>
      <c r="H4553" s="0" t="inlineStr">
        <is>
          <t>STANDARD MENS</t>
        </is>
      </c>
      <c r="I4553" s="0">
        <v>14.99</v>
      </c>
      <c r="J4553" s="0">
        <v>21</v>
      </c>
    </row>
    <row r="4554" spans="1:10" customHeight="0">
      <c r="A4554" s="0">
        <f>HYPERLINK("https://dl.dropboxusercontent.com/scl/fi/m54v8w1c8z75bhe9s715b/101387-af.jpg?rlkey=cx0v7ul9pdkht1yi8r2rjaidg&amp;dl=0","Click to download Image")</f>
      </c>
      <c r="C4554" s="0" t="inlineStr">
        <is>
          <t>Mitchell Men's Cap</t>
        </is>
      </c>
      <c r="D4554" s="0" t="inlineStr">
        <is>
          <t>'101387</t>
        </is>
      </c>
      <c r="E4554" s="0" t="inlineStr">
        <is>
          <t>MITCHELL:101387</t>
        </is>
      </c>
      <c r="F4554" s="0" t="inlineStr">
        <is>
          <t>'000000000000</t>
        </is>
      </c>
      <c r="G4554" s="0" t="inlineStr">
        <is>
          <t>MENS</t>
        </is>
      </c>
      <c r="H4554" s="0" t="inlineStr">
        <is>
          <t>STANDARD MENS</t>
        </is>
      </c>
      <c r="I4554" s="0">
        <v>14.99</v>
      </c>
      <c r="J4554" s="0">
        <v>15</v>
      </c>
    </row>
    <row r="4555" spans="1:10" customHeight="0">
      <c r="A4555" s="0">
        <f>HYPERLINK("https://dl.dropboxusercontent.com/scl/fi/ti0p4n29r5761kp0xfp4f/98368af.jpg?rlkey=lo0sqp5eeb0iziklclnonefm9&amp;dl=0","Click to download Image")</f>
      </c>
      <c r="B4555" s="0">
        <f>HYPERLINK("https://dl.dropboxusercontent.com/scl/fi/0aam9c9r5ofgzjpmvf5dd/10-18-size-chartsmens-relaxed.jpg?rlkey=yknn21guz8g4qr1y1i3alxi82&amp;dl=0","Click to download SizeChart")</f>
      </c>
      <c r="C4555" s="0" t="inlineStr">
        <is>
          <t>Lucas Men's Hoodie</t>
        </is>
      </c>
      <c r="D4555" s="0" t="inlineStr">
        <is>
          <t>'98368</t>
        </is>
      </c>
      <c r="E4555" s="0" t="inlineStr">
        <is>
          <t>LUCAS:98368A-S</t>
        </is>
      </c>
      <c r="F4555" s="0" t="inlineStr">
        <is>
          <t>'000000000000</t>
        </is>
      </c>
      <c r="G4555" s="0" t="inlineStr">
        <is>
          <t>MENS</t>
        </is>
      </c>
      <c r="H4555" s="0" t="inlineStr">
        <is>
          <t>S</t>
        </is>
      </c>
      <c r="I4555" s="0">
        <v>39.99</v>
      </c>
      <c r="J4555" s="0">
        <v>45</v>
      </c>
    </row>
    <row r="4556" spans="1:10" customHeight="0">
      <c r="A4556" s="0">
        <f>HYPERLINK("https://dl.dropboxusercontent.com/scl/fi/ti0p4n29r5761kp0xfp4f/98368af.jpg?rlkey=lo0sqp5eeb0iziklclnonefm9&amp;dl=0","Click to download Image")</f>
      </c>
      <c r="B4556" s="0">
        <f>HYPERLINK("https://dl.dropboxusercontent.com/scl/fi/0aam9c9r5ofgzjpmvf5dd/10-18-size-chartsmens-relaxed.jpg?rlkey=yknn21guz8g4qr1y1i3alxi82&amp;dl=0","Click to download SizeChart")</f>
      </c>
      <c r="C4556" s="0" t="inlineStr">
        <is>
          <t>Lucas Men's Hoodie</t>
        </is>
      </c>
      <c r="D4556" s="0" t="inlineStr">
        <is>
          <t>'98368</t>
        </is>
      </c>
      <c r="E4556" s="0" t="inlineStr">
        <is>
          <t>LUCAS:98368B-M</t>
        </is>
      </c>
      <c r="F4556" s="0" t="inlineStr">
        <is>
          <t>'000000000000</t>
        </is>
      </c>
      <c r="G4556" s="0" t="inlineStr">
        <is>
          <t>MENS</t>
        </is>
      </c>
      <c r="H4556" s="0" t="inlineStr">
        <is>
          <t>M</t>
        </is>
      </c>
      <c r="I4556" s="0">
        <v>39.99</v>
      </c>
      <c r="J4556" s="0">
        <v>32</v>
      </c>
    </row>
    <row r="4557" spans="1:10" customHeight="0">
      <c r="A4557" s="0">
        <f>HYPERLINK("https://dl.dropboxusercontent.com/scl/fi/ti0p4n29r5761kp0xfp4f/98368af.jpg?rlkey=lo0sqp5eeb0iziklclnonefm9&amp;dl=0","Click to download Image")</f>
      </c>
      <c r="B4557" s="0">
        <f>HYPERLINK("https://dl.dropboxusercontent.com/scl/fi/0aam9c9r5ofgzjpmvf5dd/10-18-size-chartsmens-relaxed.jpg?rlkey=yknn21guz8g4qr1y1i3alxi82&amp;dl=0","Click to download SizeChart")</f>
      </c>
      <c r="C4557" s="0" t="inlineStr">
        <is>
          <t>Lucas Men's Hoodie</t>
        </is>
      </c>
      <c r="D4557" s="0" t="inlineStr">
        <is>
          <t>'98368</t>
        </is>
      </c>
      <c r="E4557" s="0" t="inlineStr">
        <is>
          <t>LUCAS:98368C-L</t>
        </is>
      </c>
      <c r="F4557" s="0" t="inlineStr">
        <is>
          <t>'000000000000</t>
        </is>
      </c>
      <c r="G4557" s="0" t="inlineStr">
        <is>
          <t>MENS</t>
        </is>
      </c>
      <c r="H4557" s="0" t="inlineStr">
        <is>
          <t>L</t>
        </is>
      </c>
      <c r="I4557" s="0">
        <v>39.99</v>
      </c>
      <c r="J4557" s="0">
        <v>0</v>
      </c>
    </row>
    <row r="4558" spans="1:10" customHeight="0">
      <c r="A4558" s="0">
        <f>HYPERLINK("https://dl.dropboxusercontent.com/scl/fi/ti0p4n29r5761kp0xfp4f/98368af.jpg?rlkey=lo0sqp5eeb0iziklclnonefm9&amp;dl=0","Click to download Image")</f>
      </c>
      <c r="B4558" s="0">
        <f>HYPERLINK("https://dl.dropboxusercontent.com/scl/fi/0aam9c9r5ofgzjpmvf5dd/10-18-size-chartsmens-relaxed.jpg?rlkey=yknn21guz8g4qr1y1i3alxi82&amp;dl=0","Click to download SizeChart")</f>
      </c>
      <c r="C4558" s="0" t="inlineStr">
        <is>
          <t>Lucas Men's Hoodie</t>
        </is>
      </c>
      <c r="D4558" s="0" t="inlineStr">
        <is>
          <t>'98368</t>
        </is>
      </c>
      <c r="E4558" s="0" t="inlineStr">
        <is>
          <t>LUCAS:98368D-XL</t>
        </is>
      </c>
      <c r="F4558" s="0" t="inlineStr">
        <is>
          <t>'000000000000</t>
        </is>
      </c>
      <c r="G4558" s="0" t="inlineStr">
        <is>
          <t>MENS</t>
        </is>
      </c>
      <c r="H4558" s="0" t="inlineStr">
        <is>
          <t>XL</t>
        </is>
      </c>
      <c r="I4558" s="0">
        <v>39.99</v>
      </c>
      <c r="J4558" s="0">
        <v>0</v>
      </c>
    </row>
    <row r="4559" spans="1:10" customHeight="0">
      <c r="A4559" s="0">
        <f>HYPERLINK("https://dl.dropboxusercontent.com/scl/fi/ti0p4n29r5761kp0xfp4f/98368af.jpg?rlkey=lo0sqp5eeb0iziklclnonefm9&amp;dl=0","Click to download Image")</f>
      </c>
      <c r="B4559" s="0">
        <f>HYPERLINK("https://dl.dropboxusercontent.com/scl/fi/0aam9c9r5ofgzjpmvf5dd/10-18-size-chartsmens-relaxed.jpg?rlkey=yknn21guz8g4qr1y1i3alxi82&amp;dl=0","Click to download SizeChart")</f>
      </c>
      <c r="C4559" s="0" t="inlineStr">
        <is>
          <t>Lucas Men's Hoodie</t>
        </is>
      </c>
      <c r="D4559" s="0" t="inlineStr">
        <is>
          <t>'98368</t>
        </is>
      </c>
      <c r="E4559" s="0" t="inlineStr">
        <is>
          <t>LUCAS:98368E-2XL</t>
        </is>
      </c>
      <c r="F4559" s="0" t="inlineStr">
        <is>
          <t>'000000000000</t>
        </is>
      </c>
      <c r="G4559" s="0" t="inlineStr">
        <is>
          <t>MENS</t>
        </is>
      </c>
      <c r="H4559" s="0" t="inlineStr">
        <is>
          <t>2XL</t>
        </is>
      </c>
      <c r="I4559" s="0">
        <v>41.99</v>
      </c>
      <c r="J4559" s="0">
        <v>0</v>
      </c>
    </row>
    <row r="4560" spans="1:10" customHeight="0">
      <c r="A4560" s="0">
        <f>HYPERLINK("https://dl.dropboxusercontent.com/scl/fi/ti0p4n29r5761kp0xfp4f/98368af.jpg?rlkey=lo0sqp5eeb0iziklclnonefm9&amp;dl=0","Click to download Image")</f>
      </c>
      <c r="B4560" s="0">
        <f>HYPERLINK("https://dl.dropboxusercontent.com/scl/fi/0aam9c9r5ofgzjpmvf5dd/10-18-size-chartsmens-relaxed.jpg?rlkey=yknn21guz8g4qr1y1i3alxi82&amp;dl=0","Click to download SizeChart")</f>
      </c>
      <c r="C4560" s="0" t="inlineStr">
        <is>
          <t>Lucas Men's Hoodie</t>
        </is>
      </c>
      <c r="D4560" s="0" t="inlineStr">
        <is>
          <t>'98368</t>
        </is>
      </c>
      <c r="E4560" s="0" t="inlineStr">
        <is>
          <t>LUCAS:98368F-3XL</t>
        </is>
      </c>
      <c r="F4560" s="0" t="inlineStr">
        <is>
          <t>'000000000000</t>
        </is>
      </c>
      <c r="G4560" s="0" t="inlineStr">
        <is>
          <t>MENS</t>
        </is>
      </c>
      <c r="H4560" s="0" t="inlineStr">
        <is>
          <t>3XL</t>
        </is>
      </c>
      <c r="I4560" s="0">
        <v>41.99</v>
      </c>
      <c r="J4560" s="0">
        <v>1</v>
      </c>
    </row>
    <row r="4561" spans="1:10" customHeight="0">
      <c r="A4561" s="0">
        <f>HYPERLINK("https://dl.dropboxusercontent.com/scl/fi/qbioehn9j81pvy827ibwu/98865-f25476.jpg?rlkey=psx8ben747zkx5if0kcd5et0s&amp;dl=0","Click to download Image")</f>
      </c>
      <c r="B4561" s="0">
        <f>HYPERLINK("https://dl.dropboxusercontent.com/scl/fi/guyzuzfs12p4b5j7hx6io/mens-d.jpg?rlkey=zebk59hbams0kny9o07xaj6st&amp;dl=0","Click to download SizeChart")</f>
      </c>
      <c r="C4561" s="0" t="inlineStr">
        <is>
          <t>Jason Men's Midweight Fleece Sweatshirt</t>
        </is>
      </c>
      <c r="D4561" s="0" t="inlineStr">
        <is>
          <t>'98865</t>
        </is>
      </c>
      <c r="E4561" s="0" t="inlineStr">
        <is>
          <t>JASON:98865A-S</t>
        </is>
      </c>
      <c r="F4561" s="0" t="inlineStr">
        <is>
          <t>'000000000000</t>
        </is>
      </c>
      <c r="G4561" s="0" t="inlineStr">
        <is>
          <t>MENS</t>
        </is>
      </c>
      <c r="H4561" s="0" t="inlineStr">
        <is>
          <t>S</t>
        </is>
      </c>
      <c r="I4561" s="0">
        <v>39.99</v>
      </c>
      <c r="J4561" s="0">
        <v>34</v>
      </c>
    </row>
    <row r="4562" spans="1:10" customHeight="0">
      <c r="A4562" s="0">
        <f>HYPERLINK("https://dl.dropboxusercontent.com/scl/fi/qbioehn9j81pvy827ibwu/98865-f25476.jpg?rlkey=psx8ben747zkx5if0kcd5et0s&amp;dl=0","Click to download Image")</f>
      </c>
      <c r="B4562" s="0">
        <f>HYPERLINK("https://dl.dropboxusercontent.com/scl/fi/guyzuzfs12p4b5j7hx6io/mens-d.jpg?rlkey=zebk59hbams0kny9o07xaj6st&amp;dl=0","Click to download SizeChart")</f>
      </c>
      <c r="C4562" s="0" t="inlineStr">
        <is>
          <t>Jason Men's Midweight Fleece Sweatshirt</t>
        </is>
      </c>
      <c r="D4562" s="0" t="inlineStr">
        <is>
          <t>'98865</t>
        </is>
      </c>
      <c r="E4562" s="0" t="inlineStr">
        <is>
          <t>JASON:98865B-M</t>
        </is>
      </c>
      <c r="F4562" s="0" t="inlineStr">
        <is>
          <t>'000000000000</t>
        </is>
      </c>
      <c r="G4562" s="0" t="inlineStr">
        <is>
          <t>MENS</t>
        </is>
      </c>
      <c r="H4562" s="0" t="inlineStr">
        <is>
          <t>M</t>
        </is>
      </c>
      <c r="I4562" s="0">
        <v>39.99</v>
      </c>
      <c r="J4562" s="0">
        <v>25</v>
      </c>
    </row>
    <row r="4563" spans="1:10" customHeight="0">
      <c r="A4563" s="0">
        <f>HYPERLINK("https://dl.dropboxusercontent.com/scl/fi/qbioehn9j81pvy827ibwu/98865-f25476.jpg?rlkey=psx8ben747zkx5if0kcd5et0s&amp;dl=0","Click to download Image")</f>
      </c>
      <c r="B4563" s="0">
        <f>HYPERLINK("https://dl.dropboxusercontent.com/scl/fi/guyzuzfs12p4b5j7hx6io/mens-d.jpg?rlkey=zebk59hbams0kny9o07xaj6st&amp;dl=0","Click to download SizeChart")</f>
      </c>
      <c r="C4563" s="0" t="inlineStr">
        <is>
          <t>Jason Men's Midweight Fleece Sweatshirt</t>
        </is>
      </c>
      <c r="D4563" s="0" t="inlineStr">
        <is>
          <t>'98865</t>
        </is>
      </c>
      <c r="E4563" s="0" t="inlineStr">
        <is>
          <t>JASON:98865C-L</t>
        </is>
      </c>
      <c r="F4563" s="0" t="inlineStr">
        <is>
          <t>'000000000000</t>
        </is>
      </c>
      <c r="G4563" s="0" t="inlineStr">
        <is>
          <t>MENS</t>
        </is>
      </c>
      <c r="H4563" s="0" t="inlineStr">
        <is>
          <t>L</t>
        </is>
      </c>
      <c r="I4563" s="0">
        <v>39.99</v>
      </c>
      <c r="J4563" s="0">
        <v>39</v>
      </c>
    </row>
    <row r="4564" spans="1:10" customHeight="0">
      <c r="A4564" s="0">
        <f>HYPERLINK("https://dl.dropboxusercontent.com/scl/fi/qbioehn9j81pvy827ibwu/98865-f25476.jpg?rlkey=psx8ben747zkx5if0kcd5et0s&amp;dl=0","Click to download Image")</f>
      </c>
      <c r="B4564" s="0">
        <f>HYPERLINK("https://dl.dropboxusercontent.com/scl/fi/guyzuzfs12p4b5j7hx6io/mens-d.jpg?rlkey=zebk59hbams0kny9o07xaj6st&amp;dl=0","Click to download SizeChart")</f>
      </c>
      <c r="C4564" s="0" t="inlineStr">
        <is>
          <t>Jason Men's Midweight Fleece Sweatshirt</t>
        </is>
      </c>
      <c r="D4564" s="0" t="inlineStr">
        <is>
          <t>'98865</t>
        </is>
      </c>
      <c r="E4564" s="0" t="inlineStr">
        <is>
          <t>JASON:98865D-XL</t>
        </is>
      </c>
      <c r="F4564" s="0" t="inlineStr">
        <is>
          <t>'000000000000</t>
        </is>
      </c>
      <c r="G4564" s="0" t="inlineStr">
        <is>
          <t>MENS</t>
        </is>
      </c>
      <c r="H4564" s="0" t="inlineStr">
        <is>
          <t>XL</t>
        </is>
      </c>
      <c r="I4564" s="0">
        <v>39.99</v>
      </c>
      <c r="J4564" s="0">
        <v>27</v>
      </c>
    </row>
    <row r="4565" spans="1:10" customHeight="0">
      <c r="A4565" s="0">
        <f>HYPERLINK("https://dl.dropboxusercontent.com/scl/fi/qbioehn9j81pvy827ibwu/98865-f25476.jpg?rlkey=psx8ben747zkx5if0kcd5et0s&amp;dl=0","Click to download Image")</f>
      </c>
      <c r="B4565" s="0">
        <f>HYPERLINK("https://dl.dropboxusercontent.com/scl/fi/guyzuzfs12p4b5j7hx6io/mens-d.jpg?rlkey=zebk59hbams0kny9o07xaj6st&amp;dl=0","Click to download SizeChart")</f>
      </c>
      <c r="C4565" s="0" t="inlineStr">
        <is>
          <t>Jason Men's Midweight Fleece Sweatshirt</t>
        </is>
      </c>
      <c r="D4565" s="0" t="inlineStr">
        <is>
          <t>'98865</t>
        </is>
      </c>
      <c r="E4565" s="0" t="inlineStr">
        <is>
          <t>JASON:98865E-2XL</t>
        </is>
      </c>
      <c r="F4565" s="0" t="inlineStr">
        <is>
          <t>'000000000000</t>
        </is>
      </c>
      <c r="G4565" s="0" t="inlineStr">
        <is>
          <t>MENS</t>
        </is>
      </c>
      <c r="H4565" s="0" t="inlineStr">
        <is>
          <t>2XL</t>
        </is>
      </c>
      <c r="I4565" s="0">
        <v>41.99</v>
      </c>
      <c r="J4565" s="0">
        <v>22</v>
      </c>
    </row>
    <row r="4566" spans="1:10" customHeight="0">
      <c r="A4566" s="0">
        <f>HYPERLINK("https://dl.dropboxusercontent.com/scl/fi/qbioehn9j81pvy827ibwu/98865-f25476.jpg?rlkey=psx8ben747zkx5if0kcd5et0s&amp;dl=0","Click to download Image")</f>
      </c>
      <c r="B4566" s="0">
        <f>HYPERLINK("https://dl.dropboxusercontent.com/scl/fi/guyzuzfs12p4b5j7hx6io/mens-d.jpg?rlkey=zebk59hbams0kny9o07xaj6st&amp;dl=0","Click to download SizeChart")</f>
      </c>
      <c r="C4566" s="0" t="inlineStr">
        <is>
          <t>Jason Men's Midweight Fleece Sweatshirt</t>
        </is>
      </c>
      <c r="D4566" s="0" t="inlineStr">
        <is>
          <t>'98865</t>
        </is>
      </c>
      <c r="E4566" s="0" t="inlineStr">
        <is>
          <t>JASON:98865F-3XL</t>
        </is>
      </c>
      <c r="F4566" s="0" t="inlineStr">
        <is>
          <t>'000000000000</t>
        </is>
      </c>
      <c r="G4566" s="0" t="inlineStr">
        <is>
          <t>MENS</t>
        </is>
      </c>
      <c r="H4566" s="0" t="inlineStr">
        <is>
          <t>3XL</t>
        </is>
      </c>
      <c r="I4566" s="0">
        <v>41.99</v>
      </c>
      <c r="J4566" s="0">
        <v>26</v>
      </c>
    </row>
    <row r="4567" spans="1:10" customHeight="0">
      <c r="A4567" s="0">
        <f>HYPERLINK("https://dl.dropboxusercontent.com/scl/fi/17edmplg2nii3dl69f1ep/125667af67803.jpg?rlkey=7qdi5pwku02x8y8z1tpaib4m0&amp;dl=0","Click to download Image")</f>
      </c>
      <c r="C4567" s="0" t="inlineStr">
        <is>
          <t>Peter Men's Football Cap</t>
        </is>
      </c>
      <c r="D4567" s="0" t="inlineStr">
        <is>
          <t>'125667</t>
        </is>
      </c>
      <c r="E4567" s="0" t="inlineStr">
        <is>
          <t>UWY A PETER:125667</t>
        </is>
      </c>
      <c r="F4567" s="0" t="inlineStr">
        <is>
          <t>'712125667005</t>
        </is>
      </c>
      <c r="G4567" s="0" t="inlineStr">
        <is>
          <t>MENS</t>
        </is>
      </c>
      <c r="H4567" s="0" t="inlineStr">
        <is>
          <t>STANDARD MENS</t>
        </is>
      </c>
      <c r="I4567" s="0">
        <v>18.99</v>
      </c>
      <c r="J4567" s="0">
        <v>60</v>
      </c>
    </row>
    <row r="4568" spans="1:10" customHeight="0">
      <c r="A4568" s="0">
        <f>HYPERLINK("https://dl.dropboxusercontent.com/scl/fi/axq9ou0c9wzdj3voyzc1d/125670af52108.jpg?rlkey=yyw18eeodlzcbgkjpowjk5gkj&amp;dl=0","Click to download Image")</f>
      </c>
      <c r="C4568" s="0" t="inlineStr">
        <is>
          <t>Kade Men's Realtree Camo Cap</t>
        </is>
      </c>
      <c r="D4568" s="0" t="inlineStr">
        <is>
          <t>'125670</t>
        </is>
      </c>
      <c r="E4568" s="0" t="inlineStr">
        <is>
          <t>WY KADE A CO:125670</t>
        </is>
      </c>
      <c r="F4568" s="0" t="inlineStr">
        <is>
          <t>'712125670005</t>
        </is>
      </c>
      <c r="G4568" s="0" t="inlineStr">
        <is>
          <t>MENS</t>
        </is>
      </c>
      <c r="H4568" s="0" t="inlineStr">
        <is>
          <t>STANDARD MENS</t>
        </is>
      </c>
      <c r="I4568" s="0">
        <v>21.99</v>
      </c>
      <c r="J4568" s="0">
        <v>60</v>
      </c>
    </row>
    <row r="4569" spans="1:10" customHeight="0">
      <c r="A4569" s="0">
        <f>HYPERLINK("https://dl.dropboxusercontent.com/scl/fi/i9uacnr3o79awmntq1z65/125673af86709.jpg?rlkey=0jk4pq9j822lugqc1q6wsbd28&amp;dl=0","Click to download Image")</f>
      </c>
      <c r="C4569" s="0" t="inlineStr">
        <is>
          <t>Vance Men's Cap</t>
        </is>
      </c>
      <c r="D4569" s="0" t="inlineStr">
        <is>
          <t>'125673</t>
        </is>
      </c>
      <c r="E4569" s="0" t="inlineStr">
        <is>
          <t>UWY VANCE A BN:125673</t>
        </is>
      </c>
      <c r="F4569" s="0" t="inlineStr">
        <is>
          <t>'712125673006</t>
        </is>
      </c>
      <c r="G4569" s="0" t="inlineStr">
        <is>
          <t>MENS</t>
        </is>
      </c>
      <c r="H4569" s="0" t="inlineStr">
        <is>
          <t>STANDARD MENS</t>
        </is>
      </c>
      <c r="I4569" s="0">
        <v>18.99</v>
      </c>
      <c r="J4569" s="0">
        <v>46</v>
      </c>
    </row>
    <row r="4570" spans="1:10" customHeight="0">
      <c r="A4570" s="0">
        <f>HYPERLINK("https://dl.dropboxusercontent.com/scl/fi/n5ub3v8eblk54ajvhxh68/short-sleeve-t-shirt-purple-l.jpg?rlkey=z4ccndvsqvvqz2jud33d9qmqg&amp;dl=0","Click to download Image")</f>
      </c>
      <c r="C4570" s="0" t="inlineStr">
        <is>
          <t>Mario Men's T-Shirt</t>
        </is>
      </c>
      <c r="D4570" s="0" t="inlineStr">
        <is>
          <t>'115338</t>
        </is>
      </c>
      <c r="E4570" s="0" t="inlineStr">
        <is>
          <t>UNI MARIO PE:115338A-S</t>
        </is>
      </c>
      <c r="F4570" s="0" t="inlineStr">
        <is>
          <t>'000000000000</t>
        </is>
      </c>
      <c r="G4570" s="0" t="inlineStr">
        <is>
          <t>MENS</t>
        </is>
      </c>
      <c r="H4570" s="0" t="inlineStr">
        <is>
          <t>S</t>
        </is>
      </c>
      <c r="I4570" s="0">
        <v>12.99</v>
      </c>
      <c r="J4570" s="0">
        <v>0</v>
      </c>
    </row>
    <row r="4571" spans="1:10" customHeight="0">
      <c r="A4571" s="0">
        <f>HYPERLINK("https://dl.dropboxusercontent.com/scl/fi/n5ub3v8eblk54ajvhxh68/short-sleeve-t-shirt-purple-l.jpg?rlkey=z4ccndvsqvvqz2jud33d9qmqg&amp;dl=0","Click to download Image")</f>
      </c>
      <c r="C4571" s="0" t="inlineStr">
        <is>
          <t>Mario Men's T-Shirt</t>
        </is>
      </c>
      <c r="D4571" s="0" t="inlineStr">
        <is>
          <t>'115338</t>
        </is>
      </c>
      <c r="E4571" s="0" t="inlineStr">
        <is>
          <t>UNI MARIO PE:115338B-M</t>
        </is>
      </c>
      <c r="F4571" s="0" t="inlineStr">
        <is>
          <t>'000000000000</t>
        </is>
      </c>
      <c r="G4571" s="0" t="inlineStr">
        <is>
          <t>MENS</t>
        </is>
      </c>
      <c r="H4571" s="0" t="inlineStr">
        <is>
          <t>M</t>
        </is>
      </c>
      <c r="I4571" s="0">
        <v>12.99</v>
      </c>
      <c r="J4571" s="0">
        <v>0</v>
      </c>
    </row>
    <row r="4572" spans="1:10" customHeight="0">
      <c r="A4572" s="0">
        <f>HYPERLINK("https://dl.dropboxusercontent.com/scl/fi/n5ub3v8eblk54ajvhxh68/short-sleeve-t-shirt-purple-l.jpg?rlkey=z4ccndvsqvvqz2jud33d9qmqg&amp;dl=0","Click to download Image")</f>
      </c>
      <c r="C4572" s="0" t="inlineStr">
        <is>
          <t>Mario Men's T-Shirt</t>
        </is>
      </c>
      <c r="D4572" s="0" t="inlineStr">
        <is>
          <t>'115338</t>
        </is>
      </c>
      <c r="E4572" s="0" t="inlineStr">
        <is>
          <t>UNI MARIO PE:115338C-L</t>
        </is>
      </c>
      <c r="F4572" s="0" t="inlineStr">
        <is>
          <t>'000000000000</t>
        </is>
      </c>
      <c r="G4572" s="0" t="inlineStr">
        <is>
          <t>MENS</t>
        </is>
      </c>
      <c r="H4572" s="0" t="inlineStr">
        <is>
          <t>L</t>
        </is>
      </c>
      <c r="I4572" s="0">
        <v>12.99</v>
      </c>
      <c r="J4572" s="0">
        <v>0</v>
      </c>
    </row>
    <row r="4573" spans="1:10" customHeight="0">
      <c r="A4573" s="0">
        <f>HYPERLINK("https://dl.dropboxusercontent.com/scl/fi/n5ub3v8eblk54ajvhxh68/short-sleeve-t-shirt-purple-l.jpg?rlkey=z4ccndvsqvvqz2jud33d9qmqg&amp;dl=0","Click to download Image")</f>
      </c>
      <c r="C4573" s="0" t="inlineStr">
        <is>
          <t>Mario Men's T-Shirt</t>
        </is>
      </c>
      <c r="D4573" s="0" t="inlineStr">
        <is>
          <t>'115338</t>
        </is>
      </c>
      <c r="E4573" s="0" t="inlineStr">
        <is>
          <t>UNI MARIO PE:115338D-XL</t>
        </is>
      </c>
      <c r="F4573" s="0" t="inlineStr">
        <is>
          <t>'000000000000</t>
        </is>
      </c>
      <c r="G4573" s="0" t="inlineStr">
        <is>
          <t>MENS</t>
        </is>
      </c>
      <c r="H4573" s="0" t="inlineStr">
        <is>
          <t>XL</t>
        </is>
      </c>
      <c r="I4573" s="0">
        <v>12.99</v>
      </c>
      <c r="J4573" s="0">
        <v>2</v>
      </c>
    </row>
    <row r="4574" spans="1:10" customHeight="0">
      <c r="A4574" s="0">
        <f>HYPERLINK("https://dl.dropboxusercontent.com/scl/fi/n5ub3v8eblk54ajvhxh68/short-sleeve-t-shirt-purple-l.jpg?rlkey=z4ccndvsqvvqz2jud33d9qmqg&amp;dl=0","Click to download Image")</f>
      </c>
      <c r="C4574" s="0" t="inlineStr">
        <is>
          <t>Mario Men's T-Shirt</t>
        </is>
      </c>
      <c r="D4574" s="0" t="inlineStr">
        <is>
          <t>'115338</t>
        </is>
      </c>
      <c r="E4574" s="0" t="inlineStr">
        <is>
          <t>UNI MARIO PE:115338E-2XL</t>
        </is>
      </c>
      <c r="F4574" s="0" t="inlineStr">
        <is>
          <t>'000000000000</t>
        </is>
      </c>
      <c r="G4574" s="0" t="inlineStr">
        <is>
          <t>MENS</t>
        </is>
      </c>
      <c r="H4574" s="0" t="inlineStr">
        <is>
          <t>2XL</t>
        </is>
      </c>
      <c r="I4574" s="0">
        <v>14.99</v>
      </c>
      <c r="J4574" s="0">
        <v>6</v>
      </c>
    </row>
    <row r="4575" spans="1:10" customHeight="0">
      <c r="A4575" s="0">
        <f>HYPERLINK("https://dl.dropboxusercontent.com/scl/fi/n5ub3v8eblk54ajvhxh68/short-sleeve-t-shirt-purple-l.jpg?rlkey=z4ccndvsqvvqz2jud33d9qmqg&amp;dl=0","Click to download Image")</f>
      </c>
      <c r="C4575" s="0" t="inlineStr">
        <is>
          <t>Mario Men's T-Shirt</t>
        </is>
      </c>
      <c r="D4575" s="0" t="inlineStr">
        <is>
          <t>'115338</t>
        </is>
      </c>
      <c r="E4575" s="0" t="inlineStr">
        <is>
          <t>UNI MARIO PE:115338F-3XL</t>
        </is>
      </c>
      <c r="F4575" s="0" t="inlineStr">
        <is>
          <t>'000000000000</t>
        </is>
      </c>
      <c r="G4575" s="0" t="inlineStr">
        <is>
          <t>MENS</t>
        </is>
      </c>
      <c r="H4575" s="0" t="inlineStr">
        <is>
          <t>3XL</t>
        </is>
      </c>
      <c r="I4575" s="0">
        <v>14.99</v>
      </c>
      <c r="J4575" s="0">
        <v>7</v>
      </c>
    </row>
    <row r="4576" spans="1:10" customHeight="0">
      <c r="A4576" s="0">
        <f>HYPERLINK("https://dl.dropboxusercontent.com/scl/fi/if7xtpjv4ccochrkobc6m/107199af17050.jpg?rlkey=fu4ygg82clbosdrjujrc352wb&amp;dl=0","Click to download Image")</f>
      </c>
      <c r="C4576" s="0" t="inlineStr">
        <is>
          <t>Montana Men's Cap</t>
        </is>
      </c>
      <c r="D4576" s="0" t="inlineStr">
        <is>
          <t>'107199</t>
        </is>
      </c>
      <c r="E4576" s="0" t="inlineStr">
        <is>
          <t>WYOMING MONTANA:107199</t>
        </is>
      </c>
      <c r="F4576" s="0" t="inlineStr">
        <is>
          <t>'000000000000</t>
        </is>
      </c>
      <c r="G4576" s="0" t="inlineStr">
        <is>
          <t>MENS</t>
        </is>
      </c>
      <c r="H4576" s="0" t="inlineStr">
        <is>
          <t>STANDARD MENS</t>
        </is>
      </c>
      <c r="I4576" s="0">
        <v>18.99</v>
      </c>
      <c r="J4576" s="0">
        <v>96</v>
      </c>
    </row>
    <row r="4577" spans="1:10" customHeight="0">
      <c r="A4577" s="0">
        <f>HYPERLINK("https://dl.dropboxusercontent.com/scl/fi/kscxw8kq20kek5d5365i5/107202af50415.jpg?rlkey=6znjb80garcnhzljne68itj97&amp;dl=0","Click to download Image")</f>
      </c>
      <c r="C4577" s="0" t="inlineStr">
        <is>
          <t>Jori Women's Realtree Camo Cap</t>
        </is>
      </c>
      <c r="D4577" s="0" t="inlineStr">
        <is>
          <t>'107202</t>
        </is>
      </c>
      <c r="E4577" s="0" t="inlineStr">
        <is>
          <t>WYOMING JORI:107202</t>
        </is>
      </c>
      <c r="F4577" s="0" t="inlineStr">
        <is>
          <t>'000000000000</t>
        </is>
      </c>
      <c r="G4577" s="0" t="inlineStr">
        <is>
          <t>WOMENS</t>
        </is>
      </c>
      <c r="H4577" s="0" t="inlineStr">
        <is>
          <t>WOMENS</t>
        </is>
      </c>
      <c r="I4577" s="0">
        <v>21.99</v>
      </c>
      <c r="J4577" s="0">
        <v>84</v>
      </c>
    </row>
    <row r="4578" spans="1:10" customHeight="0">
      <c r="A4578" s="0">
        <f>HYPERLINK("https://dl.dropboxusercontent.com/scl/fi/d7vujr1dhvpjj06yngrpr/107198af25339.jpg?rlkey=apt99k03k85sgeroqck5uywlo&amp;dl=0","Click to download Image")</f>
      </c>
      <c r="C4578" s="0" t="inlineStr">
        <is>
          <t>Castle Men's Cap</t>
        </is>
      </c>
      <c r="D4578" s="0" t="inlineStr">
        <is>
          <t>'107198</t>
        </is>
      </c>
      <c r="E4578" s="0" t="inlineStr">
        <is>
          <t>WYOMING CASTLE:107198</t>
        </is>
      </c>
      <c r="F4578" s="0" t="inlineStr">
        <is>
          <t>'000000000000</t>
        </is>
      </c>
      <c r="G4578" s="0" t="inlineStr">
        <is>
          <t>MENS</t>
        </is>
      </c>
      <c r="H4578" s="0" t="inlineStr">
        <is>
          <t>STANDARD MENS</t>
        </is>
      </c>
      <c r="I4578" s="0">
        <v>18.99</v>
      </c>
      <c r="J4578" s="0">
        <v>12</v>
      </c>
    </row>
    <row r="4579" spans="1:10" customHeight="0">
      <c r="A4579" s="0">
        <f>HYPERLINK("https://dl.dropboxusercontent.com/scl/fi/zhguve9fwav19x36srpsg/95869af.jpg?rlkey=dul8rpafxmmglo4t9abimvflh&amp;dl=0","Click to download Image")</f>
      </c>
      <c r="B4579" s="0">
        <f>HYPERLINK("https://dl.dropboxusercontent.com/scl/fi/syugdafozueuhlt9yru18/neon-size-chartsmagen.jpg?rlkey=ithyi6vir7kwdwk477k85afdx&amp;dl=0","Click to download SizeChart")</f>
      </c>
      <c r="C4579" s="0" t="inlineStr">
        <is>
          <t>Magen Women's Tank</t>
        </is>
      </c>
      <c r="D4579" s="0" t="inlineStr">
        <is>
          <t>'95869</t>
        </is>
      </c>
      <c r="E4579" s="0" t="inlineStr">
        <is>
          <t>MAGEN:95869A-S</t>
        </is>
      </c>
      <c r="F4579" s="0" t="inlineStr">
        <is>
          <t>'000000000000</t>
        </is>
      </c>
      <c r="G4579" s="0" t="inlineStr">
        <is>
          <t>WOMENS</t>
        </is>
      </c>
      <c r="H4579" s="0" t="inlineStr">
        <is>
          <t>S</t>
        </is>
      </c>
      <c r="I4579" s="0">
        <v>12.99</v>
      </c>
      <c r="J4579" s="0">
        <v>45</v>
      </c>
    </row>
    <row r="4580" spans="1:10" customHeight="0">
      <c r="A4580" s="0">
        <f>HYPERLINK("https://dl.dropboxusercontent.com/scl/fi/zhguve9fwav19x36srpsg/95869af.jpg?rlkey=dul8rpafxmmglo4t9abimvflh&amp;dl=0","Click to download Image")</f>
      </c>
      <c r="B4580" s="0">
        <f>HYPERLINK("https://dl.dropboxusercontent.com/scl/fi/syugdafozueuhlt9yru18/neon-size-chartsmagen.jpg?rlkey=ithyi6vir7kwdwk477k85afdx&amp;dl=0","Click to download SizeChart")</f>
      </c>
      <c r="C4580" s="0" t="inlineStr">
        <is>
          <t>Magen Women's Tank</t>
        </is>
      </c>
      <c r="D4580" s="0" t="inlineStr">
        <is>
          <t>'95869</t>
        </is>
      </c>
      <c r="E4580" s="0" t="inlineStr">
        <is>
          <t>MAGEN:95869B-M</t>
        </is>
      </c>
      <c r="F4580" s="0" t="inlineStr">
        <is>
          <t>'000000000000</t>
        </is>
      </c>
      <c r="G4580" s="0" t="inlineStr">
        <is>
          <t>WOMENS</t>
        </is>
      </c>
      <c r="H4580" s="0" t="inlineStr">
        <is>
          <t>M</t>
        </is>
      </c>
      <c r="I4580" s="0">
        <v>12.99</v>
      </c>
      <c r="J4580" s="0">
        <v>55</v>
      </c>
    </row>
    <row r="4581" spans="1:10" customHeight="0">
      <c r="A4581" s="0">
        <f>HYPERLINK("https://dl.dropboxusercontent.com/scl/fi/zhguve9fwav19x36srpsg/95869af.jpg?rlkey=dul8rpafxmmglo4t9abimvflh&amp;dl=0","Click to download Image")</f>
      </c>
      <c r="B4581" s="0">
        <f>HYPERLINK("https://dl.dropboxusercontent.com/scl/fi/syugdafozueuhlt9yru18/neon-size-chartsmagen.jpg?rlkey=ithyi6vir7kwdwk477k85afdx&amp;dl=0","Click to download SizeChart")</f>
      </c>
      <c r="C4581" s="0" t="inlineStr">
        <is>
          <t>Magen Women's Tank</t>
        </is>
      </c>
      <c r="D4581" s="0" t="inlineStr">
        <is>
          <t>'95869</t>
        </is>
      </c>
      <c r="E4581" s="0" t="inlineStr">
        <is>
          <t>MAGEN:95869C-L</t>
        </is>
      </c>
      <c r="F4581" s="0" t="inlineStr">
        <is>
          <t>'000000000000</t>
        </is>
      </c>
      <c r="G4581" s="0" t="inlineStr">
        <is>
          <t>WOMENS</t>
        </is>
      </c>
      <c r="H4581" s="0" t="inlineStr">
        <is>
          <t>L</t>
        </is>
      </c>
      <c r="I4581" s="0">
        <v>12.99</v>
      </c>
      <c r="J4581" s="0">
        <v>117</v>
      </c>
    </row>
    <row r="4582" spans="1:10" customHeight="0">
      <c r="A4582" s="0">
        <f>HYPERLINK("https://dl.dropboxusercontent.com/scl/fi/zhguve9fwav19x36srpsg/95869af.jpg?rlkey=dul8rpafxmmglo4t9abimvflh&amp;dl=0","Click to download Image")</f>
      </c>
      <c r="B4582" s="0">
        <f>HYPERLINK("https://dl.dropboxusercontent.com/scl/fi/syugdafozueuhlt9yru18/neon-size-chartsmagen.jpg?rlkey=ithyi6vir7kwdwk477k85afdx&amp;dl=0","Click to download SizeChart")</f>
      </c>
      <c r="C4582" s="0" t="inlineStr">
        <is>
          <t>Magen Women's Tank</t>
        </is>
      </c>
      <c r="D4582" s="0" t="inlineStr">
        <is>
          <t>'95869</t>
        </is>
      </c>
      <c r="E4582" s="0" t="inlineStr">
        <is>
          <t>MAGEN:95869D-XL</t>
        </is>
      </c>
      <c r="F4582" s="0" t="inlineStr">
        <is>
          <t>'000000000000</t>
        </is>
      </c>
      <c r="G4582" s="0" t="inlineStr">
        <is>
          <t>WOMENS</t>
        </is>
      </c>
      <c r="H4582" s="0" t="inlineStr">
        <is>
          <t>XL</t>
        </is>
      </c>
      <c r="I4582" s="0">
        <v>12.99</v>
      </c>
      <c r="J4582" s="0">
        <v>120</v>
      </c>
    </row>
    <row r="4583" spans="1:10" customHeight="0">
      <c r="A4583" s="0">
        <f>HYPERLINK("https://dl.dropboxusercontent.com/scl/fi/zhguve9fwav19x36srpsg/95869af.jpg?rlkey=dul8rpafxmmglo4t9abimvflh&amp;dl=0","Click to download Image")</f>
      </c>
      <c r="B4583" s="0">
        <f>HYPERLINK("https://dl.dropboxusercontent.com/scl/fi/syugdafozueuhlt9yru18/neon-size-chartsmagen.jpg?rlkey=ithyi6vir7kwdwk477k85afdx&amp;dl=0","Click to download SizeChart")</f>
      </c>
      <c r="C4583" s="0" t="inlineStr">
        <is>
          <t>Magen Women's Tank</t>
        </is>
      </c>
      <c r="D4583" s="0" t="inlineStr">
        <is>
          <t>'95869</t>
        </is>
      </c>
      <c r="E4583" s="0" t="inlineStr">
        <is>
          <t>MAGEN:95869E-2X</t>
        </is>
      </c>
      <c r="F4583" s="0" t="inlineStr">
        <is>
          <t>'000000000000</t>
        </is>
      </c>
      <c r="G4583" s="0" t="inlineStr">
        <is>
          <t>WOMENS</t>
        </is>
      </c>
      <c r="H4583" s="0" t="inlineStr">
        <is>
          <t>2XL</t>
        </is>
      </c>
      <c r="I4583" s="0">
        <v>14.99</v>
      </c>
      <c r="J4583" s="0">
        <v>44</v>
      </c>
    </row>
    <row r="4584" spans="1:10" customHeight="0">
      <c r="A4584" s="0">
        <f>HYPERLINK("https://dl.dropboxusercontent.com/scl/fi/npsyicy0o0x8co57jbht9/107201af02782.jpg?rlkey=ur9tgyor4f6o1c9zvzwofr8d4&amp;dl=0","Click to download Image")</f>
      </c>
      <c r="C4584" s="0" t="inlineStr">
        <is>
          <t>Andrea Women's Laser Cut Cap</t>
        </is>
      </c>
      <c r="D4584" s="0" t="inlineStr">
        <is>
          <t>'107201</t>
        </is>
      </c>
      <c r="E4584" s="0" t="inlineStr">
        <is>
          <t>WYOMING ANDREA:107201</t>
        </is>
      </c>
      <c r="F4584" s="0" t="inlineStr">
        <is>
          <t>'700107201019</t>
        </is>
      </c>
      <c r="G4584" s="0" t="inlineStr">
        <is>
          <t>WOMENS</t>
        </is>
      </c>
      <c r="H4584" s="0" t="inlineStr">
        <is>
          <t>WOMENS</t>
        </is>
      </c>
      <c r="I4584" s="0">
        <v>21.99</v>
      </c>
      <c r="J4584" s="0">
        <v>83</v>
      </c>
    </row>
    <row r="4585" spans="1:10" customHeight="0">
      <c r="A4585" s="0">
        <f>HYPERLINK("https://dl.dropboxusercontent.com/scl/fi/f4ybeg1wf803j8p0bedvl/104401-af.jpg?rlkey=a8t0sb1telgp3tk73t9lmv7x3&amp;dl=0","Click to download Image")</f>
      </c>
      <c r="C4585" s="0" t="inlineStr">
        <is>
          <t>Andrea Women's Laser Cut Cap</t>
        </is>
      </c>
      <c r="D4585" s="0" t="inlineStr">
        <is>
          <t>'104401</t>
        </is>
      </c>
      <c r="E4585" s="0" t="inlineStr">
        <is>
          <t>ANDREA:104401</t>
        </is>
      </c>
      <c r="F4585" s="0" t="inlineStr">
        <is>
          <t>'000000000000</t>
        </is>
      </c>
      <c r="G4585" s="0" t="inlineStr">
        <is>
          <t>WOMENS</t>
        </is>
      </c>
      <c r="H4585" s="0" t="inlineStr">
        <is>
          <t>WOMENS</t>
        </is>
      </c>
      <c r="I4585" s="0">
        <v>21.99</v>
      </c>
      <c r="J4585" s="0">
        <v>94</v>
      </c>
    </row>
    <row r="4586" spans="1:10" customHeight="0">
      <c r="A4586" s="0">
        <f>HYPERLINK("https://dl.dropboxusercontent.com/scl/fi/zeehomu260y0t3llxmai2/104117-af.jpg?rlkey=60g2ju8bxc4sryd1chaq7w7a1&amp;dl=0","Click to download Image")</f>
      </c>
      <c r="C4586" s="0" t="inlineStr">
        <is>
          <t>Andrea Women's Laser Cut Cap</t>
        </is>
      </c>
      <c r="D4586" s="0" t="inlineStr">
        <is>
          <t>'104117</t>
        </is>
      </c>
      <c r="E4586" s="0" t="inlineStr">
        <is>
          <t>ANDREA:104117</t>
        </is>
      </c>
      <c r="F4586" s="0" t="inlineStr">
        <is>
          <t>'000000000000</t>
        </is>
      </c>
      <c r="G4586" s="0" t="inlineStr">
        <is>
          <t>WOMENS</t>
        </is>
      </c>
      <c r="H4586" s="0" t="inlineStr">
        <is>
          <t>WOMENS</t>
        </is>
      </c>
      <c r="I4586" s="0">
        <v>21.99</v>
      </c>
      <c r="J4586" s="0">
        <v>60</v>
      </c>
    </row>
    <row r="4587" spans="1:10" customHeight="0">
      <c r="A4587" s="0">
        <f>HYPERLINK("https://dl.dropboxusercontent.com/scl/fi/qzpanjhjsazo9s9zrrqz8/95874af.jpg?rlkey=3owrp1wbomm3v8ab0umw1jniw&amp;dl=0","Click to download Image")</f>
      </c>
      <c r="B4587" s="0">
        <f>HYPERLINK("https://dl.dropboxusercontent.com/scl/fi/8e73aq8mdxbcar17vra1h/neon-size-chartsalexis-m.jpg?rlkey=3e41c9beaw3zw0jbjsvbiwtxn&amp;dl=0","Click to download SizeChart")</f>
      </c>
      <c r="C4587" s="0" t="inlineStr">
        <is>
          <t>Alexis Men's T-Shirt</t>
        </is>
      </c>
      <c r="D4587" s="0" t="inlineStr">
        <is>
          <t>'95874</t>
        </is>
      </c>
      <c r="E4587" s="0" t="inlineStr">
        <is>
          <t>ALEXIS:95874A-S</t>
        </is>
      </c>
      <c r="F4587" s="0" t="inlineStr">
        <is>
          <t>'000000000000</t>
        </is>
      </c>
      <c r="G4587" s="0" t="inlineStr">
        <is>
          <t>MENS</t>
        </is>
      </c>
      <c r="H4587" s="0" t="inlineStr">
        <is>
          <t>S</t>
        </is>
      </c>
      <c r="I4587" s="0">
        <v>13.99</v>
      </c>
      <c r="J4587" s="0">
        <v>8</v>
      </c>
    </row>
    <row r="4588" spans="1:10" customHeight="0">
      <c r="A4588" s="0">
        <f>HYPERLINK("https://dl.dropboxusercontent.com/scl/fi/qzpanjhjsazo9s9zrrqz8/95874af.jpg?rlkey=3owrp1wbomm3v8ab0umw1jniw&amp;dl=0","Click to download Image")</f>
      </c>
      <c r="B4588" s="0">
        <f>HYPERLINK("https://dl.dropboxusercontent.com/scl/fi/8e73aq8mdxbcar17vra1h/neon-size-chartsalexis-m.jpg?rlkey=3e41c9beaw3zw0jbjsvbiwtxn&amp;dl=0","Click to download SizeChart")</f>
      </c>
      <c r="C4588" s="0" t="inlineStr">
        <is>
          <t>Alexis Men's T-Shirt</t>
        </is>
      </c>
      <c r="D4588" s="0" t="inlineStr">
        <is>
          <t>'95874</t>
        </is>
      </c>
      <c r="E4588" s="0" t="inlineStr">
        <is>
          <t>ALEXIS:95874B-M</t>
        </is>
      </c>
      <c r="F4588" s="0" t="inlineStr">
        <is>
          <t>'000000000000</t>
        </is>
      </c>
      <c r="G4588" s="0" t="inlineStr">
        <is>
          <t>MENS</t>
        </is>
      </c>
      <c r="H4588" s="0" t="inlineStr">
        <is>
          <t>M</t>
        </is>
      </c>
      <c r="I4588" s="0">
        <v>13.99</v>
      </c>
      <c r="J4588" s="0">
        <v>45</v>
      </c>
    </row>
    <row r="4589" spans="1:10" customHeight="0">
      <c r="A4589" s="0">
        <f>HYPERLINK("https://dl.dropboxusercontent.com/scl/fi/qzpanjhjsazo9s9zrrqz8/95874af.jpg?rlkey=3owrp1wbomm3v8ab0umw1jniw&amp;dl=0","Click to download Image")</f>
      </c>
      <c r="B4589" s="0">
        <f>HYPERLINK("https://dl.dropboxusercontent.com/scl/fi/8e73aq8mdxbcar17vra1h/neon-size-chartsalexis-m.jpg?rlkey=3e41c9beaw3zw0jbjsvbiwtxn&amp;dl=0","Click to download SizeChart")</f>
      </c>
      <c r="C4589" s="0" t="inlineStr">
        <is>
          <t>Alexis Men's T-Shirt</t>
        </is>
      </c>
      <c r="D4589" s="0" t="inlineStr">
        <is>
          <t>'95874</t>
        </is>
      </c>
      <c r="E4589" s="0" t="inlineStr">
        <is>
          <t>ALEXIS:95874C-L</t>
        </is>
      </c>
      <c r="F4589" s="0" t="inlineStr">
        <is>
          <t>'000000000000</t>
        </is>
      </c>
      <c r="G4589" s="0" t="inlineStr">
        <is>
          <t>MENS</t>
        </is>
      </c>
      <c r="H4589" s="0" t="inlineStr">
        <is>
          <t>L</t>
        </is>
      </c>
      <c r="I4589" s="0">
        <v>13.99</v>
      </c>
      <c r="J4589" s="0">
        <v>90</v>
      </c>
    </row>
    <row r="4590" spans="1:10" customHeight="0">
      <c r="A4590" s="0">
        <f>HYPERLINK("https://dl.dropboxusercontent.com/scl/fi/qzpanjhjsazo9s9zrrqz8/95874af.jpg?rlkey=3owrp1wbomm3v8ab0umw1jniw&amp;dl=0","Click to download Image")</f>
      </c>
      <c r="B4590" s="0">
        <f>HYPERLINK("https://dl.dropboxusercontent.com/scl/fi/8e73aq8mdxbcar17vra1h/neon-size-chartsalexis-m.jpg?rlkey=3e41c9beaw3zw0jbjsvbiwtxn&amp;dl=0","Click to download SizeChart")</f>
      </c>
      <c r="C4590" s="0" t="inlineStr">
        <is>
          <t>Alexis Men's T-Shirt</t>
        </is>
      </c>
      <c r="D4590" s="0" t="inlineStr">
        <is>
          <t>'95874</t>
        </is>
      </c>
      <c r="E4590" s="0" t="inlineStr">
        <is>
          <t>ALEXIS:95874D-XL</t>
        </is>
      </c>
      <c r="F4590" s="0" t="inlineStr">
        <is>
          <t>'000000000000</t>
        </is>
      </c>
      <c r="G4590" s="0" t="inlineStr">
        <is>
          <t>MENS</t>
        </is>
      </c>
      <c r="H4590" s="0" t="inlineStr">
        <is>
          <t>XL</t>
        </is>
      </c>
      <c r="I4590" s="0">
        <v>13.99</v>
      </c>
      <c r="J4590" s="0">
        <v>92</v>
      </c>
    </row>
    <row r="4591" spans="1:10" customHeight="0">
      <c r="A4591" s="0">
        <f>HYPERLINK("https://dl.dropboxusercontent.com/scl/fi/qzpanjhjsazo9s9zrrqz8/95874af.jpg?rlkey=3owrp1wbomm3v8ab0umw1jniw&amp;dl=0","Click to download Image")</f>
      </c>
      <c r="B4591" s="0">
        <f>HYPERLINK("https://dl.dropboxusercontent.com/scl/fi/8e73aq8mdxbcar17vra1h/neon-size-chartsalexis-m.jpg?rlkey=3e41c9beaw3zw0jbjsvbiwtxn&amp;dl=0","Click to download SizeChart")</f>
      </c>
      <c r="C4591" s="0" t="inlineStr">
        <is>
          <t>Alexis Men's T-Shirt</t>
        </is>
      </c>
      <c r="D4591" s="0" t="inlineStr">
        <is>
          <t>'95874</t>
        </is>
      </c>
      <c r="E4591" s="0" t="inlineStr">
        <is>
          <t>ALEXIS:95874E-2X</t>
        </is>
      </c>
      <c r="F4591" s="0" t="inlineStr">
        <is>
          <t>'000000000000</t>
        </is>
      </c>
      <c r="G4591" s="0" t="inlineStr">
        <is>
          <t>MENS</t>
        </is>
      </c>
      <c r="H4591" s="0" t="inlineStr">
        <is>
          <t>2XL</t>
        </is>
      </c>
      <c r="I4591" s="0">
        <v>13.99</v>
      </c>
      <c r="J4591" s="0">
        <v>39</v>
      </c>
    </row>
    <row r="4592" spans="1:10" customHeight="0">
      <c r="A4592" s="0">
        <f>HYPERLINK("https://dl.dropboxusercontent.com/scl/fi/qzpanjhjsazo9s9zrrqz8/95874af.jpg?rlkey=3owrp1wbomm3v8ab0umw1jniw&amp;dl=0","Click to download Image")</f>
      </c>
      <c r="B4592" s="0">
        <f>HYPERLINK("https://dl.dropboxusercontent.com/scl/fi/8e73aq8mdxbcar17vra1h/neon-size-chartsalexis-m.jpg?rlkey=3e41c9beaw3zw0jbjsvbiwtxn&amp;dl=0","Click to download SizeChart")</f>
      </c>
      <c r="C4592" s="0" t="inlineStr">
        <is>
          <t>Alexis Men's T-Shirt</t>
        </is>
      </c>
      <c r="D4592" s="0" t="inlineStr">
        <is>
          <t>'95874</t>
        </is>
      </c>
      <c r="E4592" s="0" t="inlineStr">
        <is>
          <t>ALEXIS:95874F-3X</t>
        </is>
      </c>
      <c r="F4592" s="0" t="inlineStr">
        <is>
          <t>'000000000000</t>
        </is>
      </c>
      <c r="G4592" s="0" t="inlineStr">
        <is>
          <t>MENS</t>
        </is>
      </c>
      <c r="H4592" s="0" t="inlineStr">
        <is>
          <t>3XL</t>
        </is>
      </c>
      <c r="I4592" s="0">
        <v>13.99</v>
      </c>
      <c r="J4592" s="0">
        <v>0</v>
      </c>
    </row>
    <row r="4593" spans="1:10" customHeight="0">
      <c r="A4593" s="0">
        <f>HYPERLINK("https://dl.dropboxusercontent.com/scl/fi/atkcu59v34p9htcp8hcng/95876af.jpg?rlkey=96pqilkvlstgirj6f6qsm8l3m&amp;dl=0","Click to download Image")</f>
      </c>
      <c r="B4593" s="0">
        <f>HYPERLINK("https://dl.dropboxusercontent.com/scl/fi/8e73aq8mdxbcar17vra1h/neon-size-chartsalexis-m.jpg?rlkey=3e41c9beaw3zw0jbjsvbiwtxn&amp;dl=0","Click to download SizeChart")</f>
      </c>
      <c r="C4593" s="0" t="inlineStr">
        <is>
          <t>Alexis Men's T-Shirt</t>
        </is>
      </c>
      <c r="D4593" s="0" t="inlineStr">
        <is>
          <t>'95876</t>
        </is>
      </c>
      <c r="E4593" s="0" t="inlineStr">
        <is>
          <t>ALEXIS:95876A-S</t>
        </is>
      </c>
      <c r="F4593" s="0" t="inlineStr">
        <is>
          <t>'000000000000</t>
        </is>
      </c>
      <c r="G4593" s="0" t="inlineStr">
        <is>
          <t>MENS</t>
        </is>
      </c>
      <c r="H4593" s="0" t="inlineStr">
        <is>
          <t>S</t>
        </is>
      </c>
      <c r="I4593" s="0">
        <v>13.99</v>
      </c>
      <c r="J4593" s="0">
        <v>0</v>
      </c>
    </row>
    <row r="4594" spans="1:10" customHeight="0">
      <c r="A4594" s="0">
        <f>HYPERLINK("https://dl.dropboxusercontent.com/scl/fi/atkcu59v34p9htcp8hcng/95876af.jpg?rlkey=96pqilkvlstgirj6f6qsm8l3m&amp;dl=0","Click to download Image")</f>
      </c>
      <c r="B4594" s="0">
        <f>HYPERLINK("https://dl.dropboxusercontent.com/scl/fi/8e73aq8mdxbcar17vra1h/neon-size-chartsalexis-m.jpg?rlkey=3e41c9beaw3zw0jbjsvbiwtxn&amp;dl=0","Click to download SizeChart")</f>
      </c>
      <c r="C4594" s="0" t="inlineStr">
        <is>
          <t>Alexis Men's T-Shirt</t>
        </is>
      </c>
      <c r="D4594" s="0" t="inlineStr">
        <is>
          <t>'95876</t>
        </is>
      </c>
      <c r="E4594" s="0" t="inlineStr">
        <is>
          <t>ALEXIS:95876B-M</t>
        </is>
      </c>
      <c r="F4594" s="0" t="inlineStr">
        <is>
          <t>'000000000000</t>
        </is>
      </c>
      <c r="G4594" s="0" t="inlineStr">
        <is>
          <t>MENS</t>
        </is>
      </c>
      <c r="H4594" s="0" t="inlineStr">
        <is>
          <t>M</t>
        </is>
      </c>
      <c r="I4594" s="0">
        <v>13.99</v>
      </c>
      <c r="J4594" s="0">
        <v>5</v>
      </c>
    </row>
    <row r="4595" spans="1:10" customHeight="0">
      <c r="A4595" s="0">
        <f>HYPERLINK("https://dl.dropboxusercontent.com/scl/fi/atkcu59v34p9htcp8hcng/95876af.jpg?rlkey=96pqilkvlstgirj6f6qsm8l3m&amp;dl=0","Click to download Image")</f>
      </c>
      <c r="B4595" s="0">
        <f>HYPERLINK("https://dl.dropboxusercontent.com/scl/fi/8e73aq8mdxbcar17vra1h/neon-size-chartsalexis-m.jpg?rlkey=3e41c9beaw3zw0jbjsvbiwtxn&amp;dl=0","Click to download SizeChart")</f>
      </c>
      <c r="C4595" s="0" t="inlineStr">
        <is>
          <t>Alexis Men's T-Shirt</t>
        </is>
      </c>
      <c r="D4595" s="0" t="inlineStr">
        <is>
          <t>'95876</t>
        </is>
      </c>
      <c r="E4595" s="0" t="inlineStr">
        <is>
          <t>ALEXIS:95876C-L</t>
        </is>
      </c>
      <c r="F4595" s="0" t="inlineStr">
        <is>
          <t>'000000000000</t>
        </is>
      </c>
      <c r="G4595" s="0" t="inlineStr">
        <is>
          <t>MENS</t>
        </is>
      </c>
      <c r="H4595" s="0" t="inlineStr">
        <is>
          <t>L</t>
        </is>
      </c>
      <c r="I4595" s="0">
        <v>13.99</v>
      </c>
      <c r="J4595" s="0">
        <v>12</v>
      </c>
    </row>
    <row r="4596" spans="1:10" customHeight="0">
      <c r="A4596" s="0">
        <f>HYPERLINK("https://dl.dropboxusercontent.com/scl/fi/atkcu59v34p9htcp8hcng/95876af.jpg?rlkey=96pqilkvlstgirj6f6qsm8l3m&amp;dl=0","Click to download Image")</f>
      </c>
      <c r="B4596" s="0">
        <f>HYPERLINK("https://dl.dropboxusercontent.com/scl/fi/8e73aq8mdxbcar17vra1h/neon-size-chartsalexis-m.jpg?rlkey=3e41c9beaw3zw0jbjsvbiwtxn&amp;dl=0","Click to download SizeChart")</f>
      </c>
      <c r="C4596" s="0" t="inlineStr">
        <is>
          <t>Alexis Men's T-Shirt</t>
        </is>
      </c>
      <c r="D4596" s="0" t="inlineStr">
        <is>
          <t>'95876</t>
        </is>
      </c>
      <c r="E4596" s="0" t="inlineStr">
        <is>
          <t>ALEXIS:95876D-XL</t>
        </is>
      </c>
      <c r="F4596" s="0" t="inlineStr">
        <is>
          <t>'000000000000</t>
        </is>
      </c>
      <c r="G4596" s="0" t="inlineStr">
        <is>
          <t>MENS</t>
        </is>
      </c>
      <c r="H4596" s="0" t="inlineStr">
        <is>
          <t>XL</t>
        </is>
      </c>
      <c r="I4596" s="0">
        <v>13.99</v>
      </c>
      <c r="J4596" s="0">
        <v>3</v>
      </c>
    </row>
    <row r="4597" spans="1:10" customHeight="0">
      <c r="A4597" s="0">
        <f>HYPERLINK("https://dl.dropboxusercontent.com/scl/fi/atkcu59v34p9htcp8hcng/95876af.jpg?rlkey=96pqilkvlstgirj6f6qsm8l3m&amp;dl=0","Click to download Image")</f>
      </c>
      <c r="B4597" s="0">
        <f>HYPERLINK("https://dl.dropboxusercontent.com/scl/fi/8e73aq8mdxbcar17vra1h/neon-size-chartsalexis-m.jpg?rlkey=3e41c9beaw3zw0jbjsvbiwtxn&amp;dl=0","Click to download SizeChart")</f>
      </c>
      <c r="C4597" s="0" t="inlineStr">
        <is>
          <t>Alexis Men's T-Shirt</t>
        </is>
      </c>
      <c r="D4597" s="0" t="inlineStr">
        <is>
          <t>'95876</t>
        </is>
      </c>
      <c r="E4597" s="0" t="inlineStr">
        <is>
          <t>ALEXIS:95876E-2X</t>
        </is>
      </c>
      <c r="F4597" s="0" t="inlineStr">
        <is>
          <t>'000000000000</t>
        </is>
      </c>
      <c r="G4597" s="0" t="inlineStr">
        <is>
          <t>MENS</t>
        </is>
      </c>
      <c r="H4597" s="0" t="inlineStr">
        <is>
          <t>2XL</t>
        </is>
      </c>
      <c r="I4597" s="0">
        <v>13.99</v>
      </c>
      <c r="J4597" s="0">
        <v>7</v>
      </c>
    </row>
    <row r="4598" spans="1:10" customHeight="0">
      <c r="A4598" s="0">
        <f>HYPERLINK("https://dl.dropboxusercontent.com/scl/fi/atkcu59v34p9htcp8hcng/95876af.jpg?rlkey=96pqilkvlstgirj6f6qsm8l3m&amp;dl=0","Click to download Image")</f>
      </c>
      <c r="B4598" s="0">
        <f>HYPERLINK("https://dl.dropboxusercontent.com/scl/fi/8e73aq8mdxbcar17vra1h/neon-size-chartsalexis-m.jpg?rlkey=3e41c9beaw3zw0jbjsvbiwtxn&amp;dl=0","Click to download SizeChart")</f>
      </c>
      <c r="C4598" s="0" t="inlineStr">
        <is>
          <t>Alexis Men's T-Shirt</t>
        </is>
      </c>
      <c r="D4598" s="0" t="inlineStr">
        <is>
          <t>'95876</t>
        </is>
      </c>
      <c r="E4598" s="0" t="inlineStr">
        <is>
          <t>ALEXIS:95876F-3X</t>
        </is>
      </c>
      <c r="F4598" s="0" t="inlineStr">
        <is>
          <t>'000000000000</t>
        </is>
      </c>
      <c r="G4598" s="0" t="inlineStr">
        <is>
          <t>MENS</t>
        </is>
      </c>
      <c r="H4598" s="0" t="inlineStr">
        <is>
          <t>3XL</t>
        </is>
      </c>
      <c r="I4598" s="0">
        <v>13.99</v>
      </c>
      <c r="J4598" s="0">
        <v>0</v>
      </c>
    </row>
    <row r="4599" spans="1:10" customHeight="0">
      <c r="A4599" s="0">
        <f>HYPERLINK("https://dl.dropboxusercontent.com/scl/fi/bnozqwi1qo42o1722jfzm/shortsleevetshirtafpink05320.jpg?rlkey=miyqjlu4c8hbr5x56w4n4ff7x&amp;dl=0","Click to download Image")</f>
      </c>
      <c r="C4599" s="0" t="inlineStr">
        <is>
          <t>Breast Cancer Women's T-Shirt</t>
        </is>
      </c>
      <c r="D4599" s="0" t="inlineStr">
        <is>
          <t>'100112</t>
        </is>
      </c>
      <c r="E4599" s="0" t="inlineStr">
        <is>
          <t>THINK PINK:100112A-S</t>
        </is>
      </c>
      <c r="F4599" s="0" t="inlineStr">
        <is>
          <t>'800100112012</t>
        </is>
      </c>
      <c r="G4599" s="0" t="inlineStr">
        <is>
          <t>WOMENS</t>
        </is>
      </c>
      <c r="H4599" s="0" t="inlineStr">
        <is>
          <t>S</t>
        </is>
      </c>
      <c r="I4599" s="0">
        <v>12.99</v>
      </c>
      <c r="J4599" s="0">
        <v>37</v>
      </c>
    </row>
    <row r="4600" spans="1:10" customHeight="0">
      <c r="A4600" s="0">
        <f>HYPERLINK("https://dl.dropboxusercontent.com/scl/fi/y15chyavfi95s8rv5p00e/soto-04.jpg?rlkey=ynjr1du7iznch9o14mq863v1f&amp;dl=0","Click to download Image")</f>
      </c>
      <c r="B4600" s="0">
        <f>HYPERLINK("https://dl.dropboxusercontent.com/scl/fi/leufaxborg5deprarw503/mens-t-shirt-size-chartssoto-triblend.jpg?rlkey=14ijj9rpzb1zfnlbas6kfbzyj&amp;dl=0","Click to download SizeChart")</f>
      </c>
      <c r="C4600" s="0" t="inlineStr">
        <is>
          <t>Soto Men's 3/4 Sleeve Shirt</t>
        </is>
      </c>
      <c r="D4600" s="0" t="inlineStr">
        <is>
          <t>'107197</t>
        </is>
      </c>
      <c r="E4600" s="0" t="inlineStr">
        <is>
          <t>WYOMING SOTO:107197B-M</t>
        </is>
      </c>
      <c r="F4600" s="0" t="inlineStr">
        <is>
          <t>'800107197012</t>
        </is>
      </c>
      <c r="G4600" s="0" t="inlineStr">
        <is>
          <t>MENS</t>
        </is>
      </c>
      <c r="H4600" s="0" t="inlineStr">
        <is>
          <t>M</t>
        </is>
      </c>
      <c r="I4600" s="0">
        <v>29.99</v>
      </c>
      <c r="J4600" s="0">
        <v>16</v>
      </c>
    </row>
    <row r="4601" spans="1:10" customHeight="0">
      <c r="A4601" s="0">
        <f>HYPERLINK("https://dl.dropboxusercontent.com/scl/fi/y15chyavfi95s8rv5p00e/soto-04.jpg?rlkey=ynjr1du7iznch9o14mq863v1f&amp;dl=0","Click to download Image")</f>
      </c>
      <c r="B4601" s="0">
        <f>HYPERLINK("https://dl.dropboxusercontent.com/scl/fi/leufaxborg5deprarw503/mens-t-shirt-size-chartssoto-triblend.jpg?rlkey=14ijj9rpzb1zfnlbas6kfbzyj&amp;dl=0","Click to download SizeChart")</f>
      </c>
      <c r="C4601" s="0" t="inlineStr">
        <is>
          <t>Soto Men's 3/4 Sleeve Shirt</t>
        </is>
      </c>
      <c r="D4601" s="0" t="inlineStr">
        <is>
          <t>'107197</t>
        </is>
      </c>
      <c r="E4601" s="0" t="inlineStr">
        <is>
          <t>WYOMING SOTO:107197C-L</t>
        </is>
      </c>
      <c r="F4601" s="0" t="inlineStr">
        <is>
          <t>'800107197012</t>
        </is>
      </c>
      <c r="G4601" s="0" t="inlineStr">
        <is>
          <t>MENS</t>
        </is>
      </c>
      <c r="H4601" s="0" t="inlineStr">
        <is>
          <t>L</t>
        </is>
      </c>
      <c r="I4601" s="0">
        <v>29.99</v>
      </c>
      <c r="J4601" s="0">
        <v>16</v>
      </c>
    </row>
    <row r="4602" spans="1:10" customHeight="0">
      <c r="A4602" s="0">
        <f>HYPERLINK("https://dl.dropboxusercontent.com/scl/fi/y15chyavfi95s8rv5p00e/soto-04.jpg?rlkey=ynjr1du7iznch9o14mq863v1f&amp;dl=0","Click to download Image")</f>
      </c>
      <c r="B4602" s="0">
        <f>HYPERLINK("https://dl.dropboxusercontent.com/scl/fi/leufaxborg5deprarw503/mens-t-shirt-size-chartssoto-triblend.jpg?rlkey=14ijj9rpzb1zfnlbas6kfbzyj&amp;dl=0","Click to download SizeChart")</f>
      </c>
      <c r="C4602" s="0" t="inlineStr">
        <is>
          <t>Soto Men's 3/4 Sleeve Shirt</t>
        </is>
      </c>
      <c r="D4602" s="0" t="inlineStr">
        <is>
          <t>'107197</t>
        </is>
      </c>
      <c r="E4602" s="0" t="inlineStr">
        <is>
          <t>WYOMING SOTO:107197D-XL</t>
        </is>
      </c>
      <c r="F4602" s="0" t="inlineStr">
        <is>
          <t>'800107197012</t>
        </is>
      </c>
      <c r="G4602" s="0" t="inlineStr">
        <is>
          <t>MENS</t>
        </is>
      </c>
      <c r="H4602" s="0" t="inlineStr">
        <is>
          <t>XL</t>
        </is>
      </c>
      <c r="I4602" s="0">
        <v>29.99</v>
      </c>
      <c r="J4602" s="0">
        <v>16</v>
      </c>
    </row>
    <row r="4603" spans="1:10" customHeight="0">
      <c r="A4603" s="0">
        <f>HYPERLINK("https://dl.dropboxusercontent.com/scl/fi/y15chyavfi95s8rv5p00e/soto-04.jpg?rlkey=ynjr1du7iznch9o14mq863v1f&amp;dl=0","Click to download Image")</f>
      </c>
      <c r="B4603" s="0">
        <f>HYPERLINK("https://dl.dropboxusercontent.com/scl/fi/leufaxborg5deprarw503/mens-t-shirt-size-chartssoto-triblend.jpg?rlkey=14ijj9rpzb1zfnlbas6kfbzyj&amp;dl=0","Click to download SizeChart")</f>
      </c>
      <c r="C4603" s="0" t="inlineStr">
        <is>
          <t>Soto Men's 3/4 Sleeve Shirt</t>
        </is>
      </c>
      <c r="D4603" s="0" t="inlineStr">
        <is>
          <t>'107197</t>
        </is>
      </c>
      <c r="E4603" s="0" t="inlineStr">
        <is>
          <t>WYOMING SOTO:107197E-2XL</t>
        </is>
      </c>
      <c r="F4603" s="0" t="inlineStr">
        <is>
          <t>'800107197012</t>
        </is>
      </c>
      <c r="G4603" s="0" t="inlineStr">
        <is>
          <t>MENS</t>
        </is>
      </c>
      <c r="H4603" s="0" t="inlineStr">
        <is>
          <t>2XL</t>
        </is>
      </c>
      <c r="I4603" s="0">
        <v>31.99</v>
      </c>
      <c r="J4603" s="0">
        <v>16</v>
      </c>
    </row>
    <row r="4604" spans="1:10" customHeight="0">
      <c r="A4604" s="0">
        <f>HYPERLINK("https://dl.dropboxusercontent.com/scl/fi/glorof12yqrz57fnfbdnd/soto-02.jpg?rlkey=j2pzq1xwrnp7xd9v0f8pg4k70&amp;dl=0","Click to download Image")</f>
      </c>
      <c r="B4604" s="0">
        <f>HYPERLINK("https://dl.dropboxusercontent.com/scl/fi/leufaxborg5deprarw503/mens-t-shirt-size-chartssoto-triblend.jpg?rlkey=14ijj9rpzb1zfnlbas6kfbzyj&amp;dl=0","Click to download SizeChart")</f>
      </c>
      <c r="C4604" s="0" t="inlineStr">
        <is>
          <t>Soto Men's 3/4 Sleeve Shirt</t>
        </is>
      </c>
      <c r="D4604" s="0" t="inlineStr">
        <is>
          <t>'103685</t>
        </is>
      </c>
      <c r="E4604" s="0" t="inlineStr">
        <is>
          <t>SOTO:103685A-S</t>
        </is>
      </c>
      <c r="F4604" s="0" t="inlineStr">
        <is>
          <t>'000000000000</t>
        </is>
      </c>
      <c r="G4604" s="0" t="inlineStr">
        <is>
          <t>MENS</t>
        </is>
      </c>
      <c r="H4604" s="0" t="inlineStr">
        <is>
          <t>S</t>
        </is>
      </c>
      <c r="I4604" s="0">
        <v>29.99</v>
      </c>
      <c r="J4604" s="0">
        <v>22</v>
      </c>
    </row>
    <row r="4605" spans="1:10" customHeight="0">
      <c r="A4605" s="0">
        <f>HYPERLINK("https://dl.dropboxusercontent.com/scl/fi/glorof12yqrz57fnfbdnd/soto-02.jpg?rlkey=j2pzq1xwrnp7xd9v0f8pg4k70&amp;dl=0","Click to download Image")</f>
      </c>
      <c r="B4605" s="0">
        <f>HYPERLINK("https://dl.dropboxusercontent.com/scl/fi/leufaxborg5deprarw503/mens-t-shirt-size-chartssoto-triblend.jpg?rlkey=14ijj9rpzb1zfnlbas6kfbzyj&amp;dl=0","Click to download SizeChart")</f>
      </c>
      <c r="C4605" s="0" t="inlineStr">
        <is>
          <t>Soto Men's 3/4 Sleeve Shirt</t>
        </is>
      </c>
      <c r="D4605" s="0" t="inlineStr">
        <is>
          <t>'103685</t>
        </is>
      </c>
      <c r="E4605" s="0" t="inlineStr">
        <is>
          <t>SOTO:103685B-M</t>
        </is>
      </c>
      <c r="F4605" s="0" t="inlineStr">
        <is>
          <t>'000000000000</t>
        </is>
      </c>
      <c r="G4605" s="0" t="inlineStr">
        <is>
          <t>MENS</t>
        </is>
      </c>
      <c r="H4605" s="0" t="inlineStr">
        <is>
          <t>M</t>
        </is>
      </c>
      <c r="I4605" s="0">
        <v>29.99</v>
      </c>
      <c r="J4605" s="0">
        <v>14</v>
      </c>
    </row>
    <row r="4606" spans="1:10" customHeight="0">
      <c r="A4606" s="0">
        <f>HYPERLINK("https://dl.dropboxusercontent.com/scl/fi/glorof12yqrz57fnfbdnd/soto-02.jpg?rlkey=j2pzq1xwrnp7xd9v0f8pg4k70&amp;dl=0","Click to download Image")</f>
      </c>
      <c r="B4606" s="0">
        <f>HYPERLINK("https://dl.dropboxusercontent.com/scl/fi/leufaxborg5deprarw503/mens-t-shirt-size-chartssoto-triblend.jpg?rlkey=14ijj9rpzb1zfnlbas6kfbzyj&amp;dl=0","Click to download SizeChart")</f>
      </c>
      <c r="C4606" s="0" t="inlineStr">
        <is>
          <t>Soto Men's 3/4 Sleeve Shirt</t>
        </is>
      </c>
      <c r="D4606" s="0" t="inlineStr">
        <is>
          <t>'103685</t>
        </is>
      </c>
      <c r="E4606" s="0" t="inlineStr">
        <is>
          <t>SOTO:103685E-2XL</t>
        </is>
      </c>
      <c r="F4606" s="0" t="inlineStr">
        <is>
          <t>'000000000000</t>
        </is>
      </c>
      <c r="G4606" s="0" t="inlineStr">
        <is>
          <t>MENS</t>
        </is>
      </c>
      <c r="H4606" s="0" t="inlineStr">
        <is>
          <t>2XL</t>
        </is>
      </c>
      <c r="I4606" s="0">
        <v>31.99</v>
      </c>
      <c r="J4606" s="0">
        <v>10</v>
      </c>
    </row>
    <row r="4607" spans="1:10" customHeight="0">
      <c r="A4607" s="0">
        <f>HYPERLINK("https://dl.dropboxusercontent.com/scl/fi/9xb9gd2lksii9w5h51zic/soto-03.jpg?rlkey=bocvnrtqetpk60144lrpojdrx&amp;dl=0","Click to download Image")</f>
      </c>
      <c r="B4607" s="0">
        <f>HYPERLINK("https://dl.dropboxusercontent.com/scl/fi/leufaxborg5deprarw503/mens-t-shirt-size-chartssoto-triblend.jpg?rlkey=14ijj9rpzb1zfnlbas6kfbzyj&amp;dl=0","Click to download SizeChart")</f>
      </c>
      <c r="C4607" s="0" t="inlineStr">
        <is>
          <t>Soto Men's 3/4 Sleeve Shirt</t>
        </is>
      </c>
      <c r="D4607" s="0" t="inlineStr">
        <is>
          <t>'104846</t>
        </is>
      </c>
      <c r="E4607" s="0" t="inlineStr">
        <is>
          <t>SOTO:104846A-S</t>
        </is>
      </c>
      <c r="F4607" s="0" t="inlineStr">
        <is>
          <t>'000000000000</t>
        </is>
      </c>
      <c r="G4607" s="0" t="inlineStr">
        <is>
          <t>MENS</t>
        </is>
      </c>
      <c r="H4607" s="0" t="inlineStr">
        <is>
          <t>S</t>
        </is>
      </c>
      <c r="I4607" s="0">
        <v>29.99</v>
      </c>
      <c r="J4607" s="0">
        <v>9</v>
      </c>
    </row>
    <row r="4608" spans="1:10" customHeight="0">
      <c r="A4608" s="0">
        <f>HYPERLINK("https://dl.dropboxusercontent.com/scl/fi/9xb9gd2lksii9w5h51zic/soto-03.jpg?rlkey=bocvnrtqetpk60144lrpojdrx&amp;dl=0","Click to download Image")</f>
      </c>
      <c r="B4608" s="0">
        <f>HYPERLINK("https://dl.dropboxusercontent.com/scl/fi/leufaxborg5deprarw503/mens-t-shirt-size-chartssoto-triblend.jpg?rlkey=14ijj9rpzb1zfnlbas6kfbzyj&amp;dl=0","Click to download SizeChart")</f>
      </c>
      <c r="C4608" s="0" t="inlineStr">
        <is>
          <t>Soto Men's 3/4 Sleeve Shirt</t>
        </is>
      </c>
      <c r="D4608" s="0" t="inlineStr">
        <is>
          <t>'104846</t>
        </is>
      </c>
      <c r="E4608" s="0" t="inlineStr">
        <is>
          <t>SOTO:104846B-M</t>
        </is>
      </c>
      <c r="F4608" s="0" t="inlineStr">
        <is>
          <t>'000000000000</t>
        </is>
      </c>
      <c r="G4608" s="0" t="inlineStr">
        <is>
          <t>MENS</t>
        </is>
      </c>
      <c r="H4608" s="0" t="inlineStr">
        <is>
          <t>M</t>
        </is>
      </c>
      <c r="I4608" s="0">
        <v>29.99</v>
      </c>
      <c r="J4608" s="0">
        <v>11</v>
      </c>
    </row>
    <row r="4609" spans="1:10" customHeight="0">
      <c r="A4609" s="0">
        <f>HYPERLINK("https://dl.dropboxusercontent.com/scl/fi/9xb9gd2lksii9w5h51zic/soto-03.jpg?rlkey=bocvnrtqetpk60144lrpojdrx&amp;dl=0","Click to download Image")</f>
      </c>
      <c r="B4609" s="0">
        <f>HYPERLINK("https://dl.dropboxusercontent.com/scl/fi/leufaxborg5deprarw503/mens-t-shirt-size-chartssoto-triblend.jpg?rlkey=14ijj9rpzb1zfnlbas6kfbzyj&amp;dl=0","Click to download SizeChart")</f>
      </c>
      <c r="C4609" s="0" t="inlineStr">
        <is>
          <t>Soto Men's 3/4 Sleeve Shirt</t>
        </is>
      </c>
      <c r="D4609" s="0" t="inlineStr">
        <is>
          <t>'104846</t>
        </is>
      </c>
      <c r="E4609" s="0" t="inlineStr">
        <is>
          <t>SOTO:104846C-L</t>
        </is>
      </c>
      <c r="F4609" s="0" t="inlineStr">
        <is>
          <t>'000000000000</t>
        </is>
      </c>
      <c r="G4609" s="0" t="inlineStr">
        <is>
          <t>MENS</t>
        </is>
      </c>
      <c r="H4609" s="0" t="inlineStr">
        <is>
          <t>L</t>
        </is>
      </c>
      <c r="I4609" s="0">
        <v>29.99</v>
      </c>
      <c r="J4609" s="0">
        <v>15</v>
      </c>
    </row>
    <row r="4610" spans="1:10" customHeight="0">
      <c r="A4610" s="0">
        <f>HYPERLINK("https://dl.dropboxusercontent.com/scl/fi/9xb9gd2lksii9w5h51zic/soto-03.jpg?rlkey=bocvnrtqetpk60144lrpojdrx&amp;dl=0","Click to download Image")</f>
      </c>
      <c r="B4610" s="0">
        <f>HYPERLINK("https://dl.dropboxusercontent.com/scl/fi/leufaxborg5deprarw503/mens-t-shirt-size-chartssoto-triblend.jpg?rlkey=14ijj9rpzb1zfnlbas6kfbzyj&amp;dl=0","Click to download SizeChart")</f>
      </c>
      <c r="C4610" s="0" t="inlineStr">
        <is>
          <t>Soto Men's 3/4 Sleeve Shirt</t>
        </is>
      </c>
      <c r="D4610" s="0" t="inlineStr">
        <is>
          <t>'104846</t>
        </is>
      </c>
      <c r="E4610" s="0" t="inlineStr">
        <is>
          <t>SOTO:104846D-XL</t>
        </is>
      </c>
      <c r="F4610" s="0" t="inlineStr">
        <is>
          <t>'000000000000</t>
        </is>
      </c>
      <c r="G4610" s="0" t="inlineStr">
        <is>
          <t>MENS</t>
        </is>
      </c>
      <c r="H4610" s="0" t="inlineStr">
        <is>
          <t>XL</t>
        </is>
      </c>
      <c r="I4610" s="0">
        <v>29.99</v>
      </c>
      <c r="J4610" s="0">
        <v>19</v>
      </c>
    </row>
    <row r="4611" spans="1:10" customHeight="0">
      <c r="A4611" s="0">
        <f>HYPERLINK("https://dl.dropboxusercontent.com/scl/fi/9xb9gd2lksii9w5h51zic/soto-03.jpg?rlkey=bocvnrtqetpk60144lrpojdrx&amp;dl=0","Click to download Image")</f>
      </c>
      <c r="B4611" s="0">
        <f>HYPERLINK("https://dl.dropboxusercontent.com/scl/fi/leufaxborg5deprarw503/mens-t-shirt-size-chartssoto-triblend.jpg?rlkey=14ijj9rpzb1zfnlbas6kfbzyj&amp;dl=0","Click to download SizeChart")</f>
      </c>
      <c r="C4611" s="0" t="inlineStr">
        <is>
          <t>Soto Men's 3/4 Sleeve Shirt</t>
        </is>
      </c>
      <c r="D4611" s="0" t="inlineStr">
        <is>
          <t>'104846</t>
        </is>
      </c>
      <c r="E4611" s="0" t="inlineStr">
        <is>
          <t>SOTO:104846E-2XL</t>
        </is>
      </c>
      <c r="F4611" s="0" t="inlineStr">
        <is>
          <t>'000000000000</t>
        </is>
      </c>
      <c r="G4611" s="0" t="inlineStr">
        <is>
          <t>MENS</t>
        </is>
      </c>
      <c r="H4611" s="0" t="inlineStr">
        <is>
          <t>2XL</t>
        </is>
      </c>
      <c r="I4611" s="0">
        <v>31.99</v>
      </c>
      <c r="J4611" s="0">
        <v>10</v>
      </c>
    </row>
    <row r="4612" spans="1:10" customHeight="0">
      <c r="A4612" s="0">
        <f>HYPERLINK("https://dl.dropboxusercontent.com/scl/fi/9xb9gd2lksii9w5h51zic/soto-03.jpg?rlkey=bocvnrtqetpk60144lrpojdrx&amp;dl=0","Click to download Image")</f>
      </c>
      <c r="B4612" s="0">
        <f>HYPERLINK("https://dl.dropboxusercontent.com/scl/fi/leufaxborg5deprarw503/mens-t-shirt-size-chartssoto-triblend.jpg?rlkey=14ijj9rpzb1zfnlbas6kfbzyj&amp;dl=0","Click to download SizeChart")</f>
      </c>
      <c r="C4612" s="0" t="inlineStr">
        <is>
          <t>Soto Men's 3/4 Sleeve Shirt</t>
        </is>
      </c>
      <c r="D4612" s="0" t="inlineStr">
        <is>
          <t>'104846</t>
        </is>
      </c>
      <c r="E4612" s="0" t="inlineStr">
        <is>
          <t>SOTO:104846F-3XL</t>
        </is>
      </c>
      <c r="F4612" s="0" t="inlineStr">
        <is>
          <t>'000000000000</t>
        </is>
      </c>
      <c r="G4612" s="0" t="inlineStr">
        <is>
          <t>MENS</t>
        </is>
      </c>
      <c r="H4612" s="0" t="inlineStr">
        <is>
          <t>3XL</t>
        </is>
      </c>
      <c r="I4612" s="0">
        <v>31.99</v>
      </c>
      <c r="J4612" s="0">
        <v>11</v>
      </c>
    </row>
    <row r="4613" spans="1:10" customHeight="0">
      <c r="A4613" s="0">
        <f>HYPERLINK("https://dl.dropboxusercontent.com/scl/fi/0zghoemaxae3zhs3rfree/soto-01.jpg?rlkey=ebszehkyi9c3xlwqmxm34qk1v&amp;dl=0","Click to download Image")</f>
      </c>
      <c r="B4613" s="0">
        <f>HYPERLINK("https://dl.dropboxusercontent.com/scl/fi/leufaxborg5deprarw503/mens-t-shirt-size-chartssoto-triblend.jpg?rlkey=14ijj9rpzb1zfnlbas6kfbzyj&amp;dl=0","Click to download SizeChart")</f>
      </c>
      <c r="C4613" s="0" t="inlineStr">
        <is>
          <t>Soto Men's 3/4 Sleeve Shirt</t>
        </is>
      </c>
      <c r="D4613" s="0" t="inlineStr">
        <is>
          <t>'104328</t>
        </is>
      </c>
      <c r="E4613" s="0" t="inlineStr">
        <is>
          <t>SOTO:104328A-S</t>
        </is>
      </c>
      <c r="F4613" s="0" t="inlineStr">
        <is>
          <t>'000000000000</t>
        </is>
      </c>
      <c r="G4613" s="0" t="inlineStr">
        <is>
          <t>MENS</t>
        </is>
      </c>
      <c r="H4613" s="0" t="inlineStr">
        <is>
          <t>S</t>
        </is>
      </c>
      <c r="I4613" s="0">
        <v>29.99</v>
      </c>
      <c r="J4613" s="0">
        <v>24</v>
      </c>
    </row>
    <row r="4614" spans="1:10" customHeight="0">
      <c r="A4614" s="0">
        <f>HYPERLINK("https://dl.dropboxusercontent.com/scl/fi/0zghoemaxae3zhs3rfree/soto-01.jpg?rlkey=ebszehkyi9c3xlwqmxm34qk1v&amp;dl=0","Click to download Image")</f>
      </c>
      <c r="B4614" s="0">
        <f>HYPERLINK("https://dl.dropboxusercontent.com/scl/fi/leufaxborg5deprarw503/mens-t-shirt-size-chartssoto-triblend.jpg?rlkey=14ijj9rpzb1zfnlbas6kfbzyj&amp;dl=0","Click to download SizeChart")</f>
      </c>
      <c r="C4614" s="0" t="inlineStr">
        <is>
          <t>Soto Men's 3/4 Sleeve Shirt</t>
        </is>
      </c>
      <c r="D4614" s="0" t="inlineStr">
        <is>
          <t>'104328</t>
        </is>
      </c>
      <c r="E4614" s="0" t="inlineStr">
        <is>
          <t>SOTO:104328B-M</t>
        </is>
      </c>
      <c r="F4614" s="0" t="inlineStr">
        <is>
          <t>'000000000000</t>
        </is>
      </c>
      <c r="G4614" s="0" t="inlineStr">
        <is>
          <t>MENS</t>
        </is>
      </c>
      <c r="H4614" s="0" t="inlineStr">
        <is>
          <t>M</t>
        </is>
      </c>
      <c r="I4614" s="0">
        <v>29.99</v>
      </c>
      <c r="J4614" s="0">
        <v>17</v>
      </c>
    </row>
    <row r="4615" spans="1:10" customHeight="0">
      <c r="A4615" s="0">
        <f>HYPERLINK("https://dl.dropboxusercontent.com/scl/fi/0zghoemaxae3zhs3rfree/soto-01.jpg?rlkey=ebszehkyi9c3xlwqmxm34qk1v&amp;dl=0","Click to download Image")</f>
      </c>
      <c r="B4615" s="0">
        <f>HYPERLINK("https://dl.dropboxusercontent.com/scl/fi/leufaxborg5deprarw503/mens-t-shirt-size-chartssoto-triblend.jpg?rlkey=14ijj9rpzb1zfnlbas6kfbzyj&amp;dl=0","Click to download SizeChart")</f>
      </c>
      <c r="C4615" s="0" t="inlineStr">
        <is>
          <t>Soto Men's 3/4 Sleeve Shirt</t>
        </is>
      </c>
      <c r="D4615" s="0" t="inlineStr">
        <is>
          <t>'104328</t>
        </is>
      </c>
      <c r="E4615" s="0" t="inlineStr">
        <is>
          <t>SOTO:104328D-XL</t>
        </is>
      </c>
      <c r="F4615" s="0" t="inlineStr">
        <is>
          <t>'000000000000</t>
        </is>
      </c>
      <c r="G4615" s="0" t="inlineStr">
        <is>
          <t>MENS</t>
        </is>
      </c>
      <c r="H4615" s="0" t="inlineStr">
        <is>
          <t>XL</t>
        </is>
      </c>
      <c r="I4615" s="0">
        <v>29.99</v>
      </c>
      <c r="J4615" s="0">
        <v>1</v>
      </c>
    </row>
    <row r="4616" spans="1:10" customHeight="0">
      <c r="A4616" s="0">
        <f>HYPERLINK("https://dl.dropboxusercontent.com/scl/fi/0zghoemaxae3zhs3rfree/soto-01.jpg?rlkey=ebszehkyi9c3xlwqmxm34qk1v&amp;dl=0","Click to download Image")</f>
      </c>
      <c r="B4616" s="0">
        <f>HYPERLINK("https://dl.dropboxusercontent.com/scl/fi/leufaxborg5deprarw503/mens-t-shirt-size-chartssoto-triblend.jpg?rlkey=14ijj9rpzb1zfnlbas6kfbzyj&amp;dl=0","Click to download SizeChart")</f>
      </c>
      <c r="C4616" s="0" t="inlineStr">
        <is>
          <t>Soto Men's 3/4 Sleeve Shirt</t>
        </is>
      </c>
      <c r="D4616" s="0" t="inlineStr">
        <is>
          <t>'104328</t>
        </is>
      </c>
      <c r="E4616" s="0" t="inlineStr">
        <is>
          <t>SOTO:104328E-2XL</t>
        </is>
      </c>
      <c r="F4616" s="0" t="inlineStr">
        <is>
          <t>'000000000000</t>
        </is>
      </c>
      <c r="G4616" s="0" t="inlineStr">
        <is>
          <t>MENS</t>
        </is>
      </c>
      <c r="H4616" s="0" t="inlineStr">
        <is>
          <t>2XL</t>
        </is>
      </c>
      <c r="I4616" s="0">
        <v>31.99</v>
      </c>
      <c r="J4616" s="0">
        <v>10</v>
      </c>
    </row>
    <row r="4617" spans="1:10" customHeight="0">
      <c r="A4617" s="0">
        <f>HYPERLINK("https://dl.dropboxusercontent.com/scl/fi/0zghoemaxae3zhs3rfree/soto-01.jpg?rlkey=ebszehkyi9c3xlwqmxm34qk1v&amp;dl=0","Click to download Image")</f>
      </c>
      <c r="B4617" s="0">
        <f>HYPERLINK("https://dl.dropboxusercontent.com/scl/fi/leufaxborg5deprarw503/mens-t-shirt-size-chartssoto-triblend.jpg?rlkey=14ijj9rpzb1zfnlbas6kfbzyj&amp;dl=0","Click to download SizeChart")</f>
      </c>
      <c r="C4617" s="0" t="inlineStr">
        <is>
          <t>Soto Men's 3/4 Sleeve Shirt</t>
        </is>
      </c>
      <c r="D4617" s="0" t="inlineStr">
        <is>
          <t>'104328</t>
        </is>
      </c>
      <c r="E4617" s="0" t="inlineStr">
        <is>
          <t>SOTO:104328F-3XL</t>
        </is>
      </c>
      <c r="F4617" s="0" t="inlineStr">
        <is>
          <t>'000000000000</t>
        </is>
      </c>
      <c r="G4617" s="0" t="inlineStr">
        <is>
          <t>MENS</t>
        </is>
      </c>
      <c r="H4617" s="0" t="inlineStr">
        <is>
          <t>3XL</t>
        </is>
      </c>
      <c r="I4617" s="0">
        <v>31.99</v>
      </c>
      <c r="J4617" s="0">
        <v>13</v>
      </c>
    </row>
    <row r="4618" spans="1:10" customHeight="0">
      <c r="A4618" s="0">
        <f>HYPERLINK("https://dl.dropboxusercontent.com/scl/fi/ni0ub83ujundjr3xkou74/95878af.jpg?rlkey=cluxye9pu4dofplgxgtazhki7&amp;dl=0","Click to download Image")</f>
      </c>
      <c r="B4618" s="0">
        <f>HYPERLINK("https://dl.dropboxusercontent.com/scl/fi/p498jwtl0r371nm9tbt1r/neon-size-chartsmarcus-m.jpg?rlkey=701ysyze3zw3jfyi10ijvf2x4&amp;dl=0","Click to download SizeChart")</f>
      </c>
      <c r="C4618" s="0" t="inlineStr">
        <is>
          <t>Marcus Men's Long Sleeve T-Shirt</t>
        </is>
      </c>
      <c r="D4618" s="0" t="inlineStr">
        <is>
          <t>'95878</t>
        </is>
      </c>
      <c r="E4618" s="0" t="inlineStr">
        <is>
          <t>MARCUS:95878A-S</t>
        </is>
      </c>
      <c r="F4618" s="0" t="inlineStr">
        <is>
          <t>'000000000000</t>
        </is>
      </c>
      <c r="G4618" s="0" t="inlineStr">
        <is>
          <t>MENS</t>
        </is>
      </c>
      <c r="H4618" s="0" t="inlineStr">
        <is>
          <t>S</t>
        </is>
      </c>
      <c r="I4618" s="0">
        <v>14.99</v>
      </c>
      <c r="J4618" s="0">
        <v>30</v>
      </c>
    </row>
    <row r="4619" spans="1:10" customHeight="0">
      <c r="A4619" s="0">
        <f>HYPERLINK("https://dl.dropboxusercontent.com/scl/fi/ni0ub83ujundjr3xkou74/95878af.jpg?rlkey=cluxye9pu4dofplgxgtazhki7&amp;dl=0","Click to download Image")</f>
      </c>
      <c r="B4619" s="0">
        <f>HYPERLINK("https://dl.dropboxusercontent.com/scl/fi/p498jwtl0r371nm9tbt1r/neon-size-chartsmarcus-m.jpg?rlkey=701ysyze3zw3jfyi10ijvf2x4&amp;dl=0","Click to download SizeChart")</f>
      </c>
      <c r="C4619" s="0" t="inlineStr">
        <is>
          <t>Marcus Men's Long Sleeve T-Shirt</t>
        </is>
      </c>
      <c r="D4619" s="0" t="inlineStr">
        <is>
          <t>'95878</t>
        </is>
      </c>
      <c r="E4619" s="0" t="inlineStr">
        <is>
          <t>MARCUS:95878B-M</t>
        </is>
      </c>
      <c r="F4619" s="0" t="inlineStr">
        <is>
          <t>'000000000000</t>
        </is>
      </c>
      <c r="G4619" s="0" t="inlineStr">
        <is>
          <t>MENS</t>
        </is>
      </c>
      <c r="H4619" s="0" t="inlineStr">
        <is>
          <t>M</t>
        </is>
      </c>
      <c r="I4619" s="0">
        <v>14.99</v>
      </c>
      <c r="J4619" s="0">
        <v>75</v>
      </c>
    </row>
    <row r="4620" spans="1:10" customHeight="0">
      <c r="A4620" s="0">
        <f>HYPERLINK("https://dl.dropboxusercontent.com/scl/fi/ni0ub83ujundjr3xkou74/95878af.jpg?rlkey=cluxye9pu4dofplgxgtazhki7&amp;dl=0","Click to download Image")</f>
      </c>
      <c r="B4620" s="0">
        <f>HYPERLINK("https://dl.dropboxusercontent.com/scl/fi/p498jwtl0r371nm9tbt1r/neon-size-chartsmarcus-m.jpg?rlkey=701ysyze3zw3jfyi10ijvf2x4&amp;dl=0","Click to download SizeChart")</f>
      </c>
      <c r="C4620" s="0" t="inlineStr">
        <is>
          <t>Marcus Men's Long Sleeve T-Shirt</t>
        </is>
      </c>
      <c r="D4620" s="0" t="inlineStr">
        <is>
          <t>'95878</t>
        </is>
      </c>
      <c r="E4620" s="0" t="inlineStr">
        <is>
          <t>MARCUS:95878C-L</t>
        </is>
      </c>
      <c r="F4620" s="0" t="inlineStr">
        <is>
          <t>'000000000000</t>
        </is>
      </c>
      <c r="G4620" s="0" t="inlineStr">
        <is>
          <t>MENS</t>
        </is>
      </c>
      <c r="H4620" s="0" t="inlineStr">
        <is>
          <t>L</t>
        </is>
      </c>
      <c r="I4620" s="0">
        <v>14.99</v>
      </c>
      <c r="J4620" s="0">
        <v>145</v>
      </c>
    </row>
    <row r="4621" spans="1:10" customHeight="0">
      <c r="A4621" s="0">
        <f>HYPERLINK("https://dl.dropboxusercontent.com/scl/fi/ni0ub83ujundjr3xkou74/95878af.jpg?rlkey=cluxye9pu4dofplgxgtazhki7&amp;dl=0","Click to download Image")</f>
      </c>
      <c r="B4621" s="0">
        <f>HYPERLINK("https://dl.dropboxusercontent.com/scl/fi/p498jwtl0r371nm9tbt1r/neon-size-chartsmarcus-m.jpg?rlkey=701ysyze3zw3jfyi10ijvf2x4&amp;dl=0","Click to download SizeChart")</f>
      </c>
      <c r="C4621" s="0" t="inlineStr">
        <is>
          <t>Marcus Men's Long Sleeve T-Shirt</t>
        </is>
      </c>
      <c r="D4621" s="0" t="inlineStr">
        <is>
          <t>'95878</t>
        </is>
      </c>
      <c r="E4621" s="0" t="inlineStr">
        <is>
          <t>MARCUS:95878D-XL</t>
        </is>
      </c>
      <c r="F4621" s="0" t="inlineStr">
        <is>
          <t>'000000000000</t>
        </is>
      </c>
      <c r="G4621" s="0" t="inlineStr">
        <is>
          <t>MENS</t>
        </is>
      </c>
      <c r="H4621" s="0" t="inlineStr">
        <is>
          <t>XL</t>
        </is>
      </c>
      <c r="I4621" s="0">
        <v>14.99</v>
      </c>
      <c r="J4621" s="0">
        <v>145</v>
      </c>
    </row>
    <row r="4622" spans="1:10" customHeight="0">
      <c r="A4622" s="0">
        <f>HYPERLINK("https://dl.dropboxusercontent.com/scl/fi/ni0ub83ujundjr3xkou74/95878af.jpg?rlkey=cluxye9pu4dofplgxgtazhki7&amp;dl=0","Click to download Image")</f>
      </c>
      <c r="B4622" s="0">
        <f>HYPERLINK("https://dl.dropboxusercontent.com/scl/fi/p498jwtl0r371nm9tbt1r/neon-size-chartsmarcus-m.jpg?rlkey=701ysyze3zw3jfyi10ijvf2x4&amp;dl=0","Click to download SizeChart")</f>
      </c>
      <c r="C4622" s="0" t="inlineStr">
        <is>
          <t>Marcus Men's Long Sleeve T-Shirt</t>
        </is>
      </c>
      <c r="D4622" s="0" t="inlineStr">
        <is>
          <t>'95878</t>
        </is>
      </c>
      <c r="E4622" s="0" t="inlineStr">
        <is>
          <t>MARCUS:95878E-2XL</t>
        </is>
      </c>
      <c r="F4622" s="0" t="inlineStr">
        <is>
          <t>'000000000000</t>
        </is>
      </c>
      <c r="G4622" s="0" t="inlineStr">
        <is>
          <t>MENS</t>
        </is>
      </c>
      <c r="H4622" s="0" t="inlineStr">
        <is>
          <t>2XL</t>
        </is>
      </c>
      <c r="I4622" s="0">
        <v>16.99</v>
      </c>
      <c r="J4622" s="0">
        <v>93</v>
      </c>
    </row>
    <row r="4623" spans="1:10" customHeight="0">
      <c r="A4623" s="0">
        <f>HYPERLINK("https://dl.dropboxusercontent.com/scl/fi/ni0ub83ujundjr3xkou74/95878af.jpg?rlkey=cluxye9pu4dofplgxgtazhki7&amp;dl=0","Click to download Image")</f>
      </c>
      <c r="B4623" s="0">
        <f>HYPERLINK("https://dl.dropboxusercontent.com/scl/fi/p498jwtl0r371nm9tbt1r/neon-size-chartsmarcus-m.jpg?rlkey=701ysyze3zw3jfyi10ijvf2x4&amp;dl=0","Click to download SizeChart")</f>
      </c>
      <c r="C4623" s="0" t="inlineStr">
        <is>
          <t>Marcus Men's Long Sleeve T-Shirt</t>
        </is>
      </c>
      <c r="D4623" s="0" t="inlineStr">
        <is>
          <t>'95878</t>
        </is>
      </c>
      <c r="E4623" s="0" t="inlineStr">
        <is>
          <t>MARCUS:95878F-3XL</t>
        </is>
      </c>
      <c r="F4623" s="0" t="inlineStr">
        <is>
          <t>'000000000000</t>
        </is>
      </c>
      <c r="G4623" s="0" t="inlineStr">
        <is>
          <t>MENS</t>
        </is>
      </c>
      <c r="H4623" s="0" t="inlineStr">
        <is>
          <t>3XL</t>
        </is>
      </c>
      <c r="I4623" s="0">
        <v>16.99</v>
      </c>
      <c r="J4623" s="0">
        <v>35</v>
      </c>
    </row>
    <row r="4624" spans="1:10" customHeight="0">
      <c r="A4624" s="0">
        <f>HYPERLINK("https://dl.dropboxusercontent.com/scl/fi/ha28eezva21i5p9zulshv/95879af.jpg?rlkey=jxw0wbxx9vuiikl4a54dndx8r&amp;dl=0","Click to download Image")</f>
      </c>
      <c r="B4624" s="0">
        <f>HYPERLINK("https://dl.dropboxusercontent.com/scl/fi/p498jwtl0r371nm9tbt1r/neon-size-chartsmarcus-m.jpg?rlkey=701ysyze3zw3jfyi10ijvf2x4&amp;dl=0","Click to download SizeChart")</f>
      </c>
      <c r="C4624" s="0" t="inlineStr">
        <is>
          <t>Marcus Men's Long Sleeve T-Shirt</t>
        </is>
      </c>
      <c r="D4624" s="0" t="inlineStr">
        <is>
          <t>'95879</t>
        </is>
      </c>
      <c r="E4624" s="0" t="inlineStr">
        <is>
          <t>MARCUS:95879A-S</t>
        </is>
      </c>
      <c r="F4624" s="0" t="inlineStr">
        <is>
          <t>'000000000000</t>
        </is>
      </c>
      <c r="G4624" s="0" t="inlineStr">
        <is>
          <t>MENS</t>
        </is>
      </c>
      <c r="H4624" s="0" t="inlineStr">
        <is>
          <t>S</t>
        </is>
      </c>
      <c r="I4624" s="0">
        <v>14.99</v>
      </c>
      <c r="J4624" s="0">
        <v>10</v>
      </c>
    </row>
    <row r="4625" spans="1:10" customHeight="0">
      <c r="A4625" s="0">
        <f>HYPERLINK("https://dl.dropboxusercontent.com/scl/fi/ha28eezva21i5p9zulshv/95879af.jpg?rlkey=jxw0wbxx9vuiikl4a54dndx8r&amp;dl=0","Click to download Image")</f>
      </c>
      <c r="B4625" s="0">
        <f>HYPERLINK("https://dl.dropboxusercontent.com/scl/fi/p498jwtl0r371nm9tbt1r/neon-size-chartsmarcus-m.jpg?rlkey=701ysyze3zw3jfyi10ijvf2x4&amp;dl=0","Click to download SizeChart")</f>
      </c>
      <c r="C4625" s="0" t="inlineStr">
        <is>
          <t>Marcus Men's Long Sleeve T-Shirt</t>
        </is>
      </c>
      <c r="D4625" s="0" t="inlineStr">
        <is>
          <t>'95879</t>
        </is>
      </c>
      <c r="E4625" s="0" t="inlineStr">
        <is>
          <t>MARCUS:95879B-M</t>
        </is>
      </c>
      <c r="F4625" s="0" t="inlineStr">
        <is>
          <t>'000000000000</t>
        </is>
      </c>
      <c r="G4625" s="0" t="inlineStr">
        <is>
          <t>MENS</t>
        </is>
      </c>
      <c r="H4625" s="0" t="inlineStr">
        <is>
          <t>M</t>
        </is>
      </c>
      <c r="I4625" s="0">
        <v>14.99</v>
      </c>
      <c r="J4625" s="0">
        <v>57</v>
      </c>
    </row>
    <row r="4626" spans="1:10" customHeight="0">
      <c r="A4626" s="0">
        <f>HYPERLINK("https://dl.dropboxusercontent.com/scl/fi/ha28eezva21i5p9zulshv/95879af.jpg?rlkey=jxw0wbxx9vuiikl4a54dndx8r&amp;dl=0","Click to download Image")</f>
      </c>
      <c r="B4626" s="0">
        <f>HYPERLINK("https://dl.dropboxusercontent.com/scl/fi/p498jwtl0r371nm9tbt1r/neon-size-chartsmarcus-m.jpg?rlkey=701ysyze3zw3jfyi10ijvf2x4&amp;dl=0","Click to download SizeChart")</f>
      </c>
      <c r="C4626" s="0" t="inlineStr">
        <is>
          <t>Marcus Men's Long Sleeve T-Shirt</t>
        </is>
      </c>
      <c r="D4626" s="0" t="inlineStr">
        <is>
          <t>'95879</t>
        </is>
      </c>
      <c r="E4626" s="0" t="inlineStr">
        <is>
          <t>MARCUS:95879C-L</t>
        </is>
      </c>
      <c r="F4626" s="0" t="inlineStr">
        <is>
          <t>'000000000000</t>
        </is>
      </c>
      <c r="G4626" s="0" t="inlineStr">
        <is>
          <t>MENS</t>
        </is>
      </c>
      <c r="H4626" s="0" t="inlineStr">
        <is>
          <t>L</t>
        </is>
      </c>
      <c r="I4626" s="0">
        <v>14.99</v>
      </c>
      <c r="J4626" s="0">
        <v>114</v>
      </c>
    </row>
    <row r="4627" spans="1:10" customHeight="0">
      <c r="A4627" s="0">
        <f>HYPERLINK("https://dl.dropboxusercontent.com/scl/fi/ha28eezva21i5p9zulshv/95879af.jpg?rlkey=jxw0wbxx9vuiikl4a54dndx8r&amp;dl=0","Click to download Image")</f>
      </c>
      <c r="B4627" s="0">
        <f>HYPERLINK("https://dl.dropboxusercontent.com/scl/fi/p498jwtl0r371nm9tbt1r/neon-size-chartsmarcus-m.jpg?rlkey=701ysyze3zw3jfyi10ijvf2x4&amp;dl=0","Click to download SizeChart")</f>
      </c>
      <c r="C4627" s="0" t="inlineStr">
        <is>
          <t>Marcus Men's Long Sleeve T-Shirt</t>
        </is>
      </c>
      <c r="D4627" s="0" t="inlineStr">
        <is>
          <t>'95879</t>
        </is>
      </c>
      <c r="E4627" s="0" t="inlineStr">
        <is>
          <t>MARCUS:95879D-XL</t>
        </is>
      </c>
      <c r="F4627" s="0" t="inlineStr">
        <is>
          <t>'000000000000</t>
        </is>
      </c>
      <c r="G4627" s="0" t="inlineStr">
        <is>
          <t>MENS</t>
        </is>
      </c>
      <c r="H4627" s="0" t="inlineStr">
        <is>
          <t>XL</t>
        </is>
      </c>
      <c r="I4627" s="0">
        <v>14.99</v>
      </c>
      <c r="J4627" s="0">
        <v>109</v>
      </c>
    </row>
    <row r="4628" spans="1:10" customHeight="0">
      <c r="A4628" s="0">
        <f>HYPERLINK("https://dl.dropboxusercontent.com/scl/fi/ha28eezva21i5p9zulshv/95879af.jpg?rlkey=jxw0wbxx9vuiikl4a54dndx8r&amp;dl=0","Click to download Image")</f>
      </c>
      <c r="B4628" s="0">
        <f>HYPERLINK("https://dl.dropboxusercontent.com/scl/fi/p498jwtl0r371nm9tbt1r/neon-size-chartsmarcus-m.jpg?rlkey=701ysyze3zw3jfyi10ijvf2x4&amp;dl=0","Click to download SizeChart")</f>
      </c>
      <c r="C4628" s="0" t="inlineStr">
        <is>
          <t>Marcus Men's Long Sleeve T-Shirt</t>
        </is>
      </c>
      <c r="D4628" s="0" t="inlineStr">
        <is>
          <t>'95879</t>
        </is>
      </c>
      <c r="E4628" s="0" t="inlineStr">
        <is>
          <t>MARCUS:95879E-2XL</t>
        </is>
      </c>
      <c r="F4628" s="0" t="inlineStr">
        <is>
          <t>'000000000000</t>
        </is>
      </c>
      <c r="G4628" s="0" t="inlineStr">
        <is>
          <t>MENS</t>
        </is>
      </c>
      <c r="H4628" s="0" t="inlineStr">
        <is>
          <t>2XL</t>
        </is>
      </c>
      <c r="I4628" s="0">
        <v>16.99</v>
      </c>
      <c r="J4628" s="0">
        <v>58</v>
      </c>
    </row>
    <row r="4629" spans="1:10" customHeight="0">
      <c r="A4629" s="0">
        <f>HYPERLINK("https://dl.dropboxusercontent.com/scl/fi/ha28eezva21i5p9zulshv/95879af.jpg?rlkey=jxw0wbxx9vuiikl4a54dndx8r&amp;dl=0","Click to download Image")</f>
      </c>
      <c r="B4629" s="0">
        <f>HYPERLINK("https://dl.dropboxusercontent.com/scl/fi/p498jwtl0r371nm9tbt1r/neon-size-chartsmarcus-m.jpg?rlkey=701ysyze3zw3jfyi10ijvf2x4&amp;dl=0","Click to download SizeChart")</f>
      </c>
      <c r="C4629" s="0" t="inlineStr">
        <is>
          <t>Marcus Men's Long Sleeve T-Shirt</t>
        </is>
      </c>
      <c r="D4629" s="0" t="inlineStr">
        <is>
          <t>'95879</t>
        </is>
      </c>
      <c r="E4629" s="0" t="inlineStr">
        <is>
          <t>MARCUS:95879F-3XL</t>
        </is>
      </c>
      <c r="F4629" s="0" t="inlineStr">
        <is>
          <t>'000000000000</t>
        </is>
      </c>
      <c r="G4629" s="0" t="inlineStr">
        <is>
          <t>MENS</t>
        </is>
      </c>
      <c r="H4629" s="0" t="inlineStr">
        <is>
          <t>3XL</t>
        </is>
      </c>
      <c r="I4629" s="0">
        <v>16.99</v>
      </c>
      <c r="J4629" s="0">
        <v>31</v>
      </c>
    </row>
    <row r="4630" spans="1:10" customHeight="0">
      <c r="A4630" s="0">
        <f>HYPERLINK("https://dl.dropboxusercontent.com/scl/fi/hrcd033umiwdpila4x9ds/100119-blk-af.jpg?rlkey=wqhnxqfexsqc69y6yy3ngm4l0&amp;dl=0","Click to download Image")</f>
      </c>
      <c r="C4630" s="0" t="inlineStr">
        <is>
          <t>Breast Cancer Women's Long Sleeve T-Shirt</t>
        </is>
      </c>
      <c r="D4630" s="0" t="inlineStr">
        <is>
          <t>'100119</t>
        </is>
      </c>
      <c r="E4630" s="0" t="inlineStr">
        <is>
          <t>THINK PINK:100119C-L</t>
        </is>
      </c>
      <c r="F4630" s="0" t="inlineStr">
        <is>
          <t>'800100119035</t>
        </is>
      </c>
      <c r="G4630" s="0" t="inlineStr">
        <is>
          <t>WOMENS</t>
        </is>
      </c>
      <c r="H4630" s="0" t="inlineStr">
        <is>
          <t>L</t>
        </is>
      </c>
      <c r="I4630" s="0">
        <v>15.99</v>
      </c>
      <c r="J4630" s="0">
        <v>31</v>
      </c>
    </row>
    <row r="4631" spans="1:10" customHeight="0">
      <c r="A4631" s="0">
        <f>HYPERLINK("https://dl.dropboxusercontent.com/scl/fi/hujqycy5g0urbf6z4psh6/100122-pnk-af.jpg?rlkey=32cl4revngd0f7fn6w7ia04sx&amp;dl=0","Click to download Image")</f>
      </c>
      <c r="C4631" s="0" t="inlineStr">
        <is>
          <t>Breast Cancer Women's Long Sleeve T-Shirt</t>
        </is>
      </c>
      <c r="D4631" s="0" t="inlineStr">
        <is>
          <t>'100122</t>
        </is>
      </c>
      <c r="E4631" s="0" t="inlineStr">
        <is>
          <t>THINK PINK:100122A-S</t>
        </is>
      </c>
      <c r="F4631" s="0" t="inlineStr">
        <is>
          <t>'800100122011</t>
        </is>
      </c>
      <c r="G4631" s="0" t="inlineStr">
        <is>
          <t>WOMENS</t>
        </is>
      </c>
      <c r="H4631" s="0" t="inlineStr">
        <is>
          <t>S</t>
        </is>
      </c>
      <c r="I4631" s="0">
        <v>15.99</v>
      </c>
      <c r="J4631" s="0">
        <v>38</v>
      </c>
    </row>
    <row r="4632" spans="1:10" customHeight="0">
      <c r="A4632" s="0">
        <f>HYPERLINK("https://dl.dropboxusercontent.com/scl/fi/5cr67h8qs3dhtoyt6sstc/100138-wht-af.jpg?rlkey=eu3i20end6w187nc1z5fi2yq5&amp;dl=0","Click to download Image")</f>
      </c>
      <c r="C4632" s="0" t="inlineStr">
        <is>
          <t>Breast Cancer Women's Long Sleeve T-Shirt</t>
        </is>
      </c>
      <c r="D4632" s="0" t="inlineStr">
        <is>
          <t>'100138</t>
        </is>
      </c>
      <c r="E4632" s="0" t="inlineStr">
        <is>
          <t>THINK PINK:100138B-M</t>
        </is>
      </c>
      <c r="F4632" s="0" t="inlineStr">
        <is>
          <t>'800100138029</t>
        </is>
      </c>
      <c r="G4632" s="0" t="inlineStr">
        <is>
          <t>WOMENS</t>
        </is>
      </c>
      <c r="H4632" s="0" t="inlineStr">
        <is>
          <t>M</t>
        </is>
      </c>
      <c r="I4632" s="0">
        <v>15.99</v>
      </c>
      <c r="J4632" s="0">
        <v>35</v>
      </c>
    </row>
    <row r="4633" spans="1:10" customHeight="0">
      <c r="A4633" s="0">
        <f>HYPERLINK("https://dl.dropboxusercontent.com/scl/fi/qf4qvsruc2fnmtc1wmc5x/af.jpg?rlkey=loazjxbu67yl4wfyh588l0a31&amp;dl=0","Click to download Image")</f>
      </c>
      <c r="B4633" s="0">
        <f>HYPERLINK("https://dl.dropboxusercontent.com/scl/fi/yzwn14vbwt73ik7jbj3tk/size-chart-ladies-e.jpg?rlkey=6jemq6aiqo8b0ndik5mlhhw2n&amp;dl=0","Click to download SizeChart")</f>
      </c>
      <c r="C4633" s="0" t="inlineStr">
        <is>
          <t>Alexa Breast Cancer Long Sleeve Henley</t>
        </is>
      </c>
      <c r="D4633" s="0" t="inlineStr">
        <is>
          <t>'100123</t>
        </is>
      </c>
      <c r="E4633" s="0" t="inlineStr">
        <is>
          <t>THINK PINK:100123A-S</t>
        </is>
      </c>
      <c r="F4633" s="0" t="inlineStr">
        <is>
          <t>'800100123018</t>
        </is>
      </c>
      <c r="G4633" s="0" t="inlineStr">
        <is>
          <t>WOMENS</t>
        </is>
      </c>
      <c r="H4633" s="0" t="inlineStr">
        <is>
          <t>S</t>
        </is>
      </c>
      <c r="I4633" s="0">
        <v>25.99</v>
      </c>
      <c r="J4633" s="0">
        <v>38</v>
      </c>
    </row>
    <row r="4634" spans="1:10" customHeight="0">
      <c r="A4634" s="0">
        <f>HYPERLINK("https://dl.dropboxusercontent.com/scl/fi/4jckn5hru9r4fa22oc8rh/98402-af21665.jpg?rlkey=zeedhim0wmyvyuod7nei5shpc&amp;dl=0","Click to download Image")</f>
      </c>
      <c r="B4634" s="0">
        <f>HYPERLINK("https://dl.dropboxusercontent.com/scl/fi/4qk0d470rl9vo6fjp2srn/ladies-b.jpg?rlkey=eqdc9msz5ruhe0v413mebxid2&amp;dl=0","Click to download SizeChart")</f>
      </c>
      <c r="C4634" s="0" t="inlineStr">
        <is>
          <t>Stephanie Breast Cancer Sweatshirt</t>
        </is>
      </c>
      <c r="D4634" s="0" t="inlineStr">
        <is>
          <t>'100124</t>
        </is>
      </c>
      <c r="E4634" s="0" t="inlineStr">
        <is>
          <t>THINK PINK:100124A-S</t>
        </is>
      </c>
      <c r="F4634" s="0" t="inlineStr">
        <is>
          <t>'800100124015</t>
        </is>
      </c>
      <c r="G4634" s="0" t="inlineStr">
        <is>
          <t>WOMENS</t>
        </is>
      </c>
      <c r="H4634" s="0" t="inlineStr">
        <is>
          <t>S</t>
        </is>
      </c>
      <c r="I4634" s="0">
        <v>25.99</v>
      </c>
      <c r="J4634" s="0">
        <v>46</v>
      </c>
    </row>
    <row r="4635" spans="1:10" customHeight="0">
      <c r="A4635" s="0">
        <f>HYPERLINK("https://dl.dropboxusercontent.com/scl/fi/4jckn5hru9r4fa22oc8rh/98402-af21665.jpg?rlkey=zeedhim0wmyvyuod7nei5shpc&amp;dl=0","Click to download Image")</f>
      </c>
      <c r="B4635" s="0">
        <f>HYPERLINK("https://dl.dropboxusercontent.com/scl/fi/4qk0d470rl9vo6fjp2srn/ladies-b.jpg?rlkey=eqdc9msz5ruhe0v413mebxid2&amp;dl=0","Click to download SizeChart")</f>
      </c>
      <c r="C4635" s="0" t="inlineStr">
        <is>
          <t>Stephanie Breast Cancer Sweatshirt</t>
        </is>
      </c>
      <c r="D4635" s="0" t="inlineStr">
        <is>
          <t>'100124</t>
        </is>
      </c>
      <c r="E4635" s="0" t="inlineStr">
        <is>
          <t>THINK PINK:100124C-L</t>
        </is>
      </c>
      <c r="F4635" s="0" t="inlineStr">
        <is>
          <t>'800100124039</t>
        </is>
      </c>
      <c r="G4635" s="0" t="inlineStr">
        <is>
          <t>WOMENS</t>
        </is>
      </c>
      <c r="H4635" s="0" t="inlineStr">
        <is>
          <t>L</t>
        </is>
      </c>
      <c r="I4635" s="0">
        <v>25.99</v>
      </c>
      <c r="J4635" s="0">
        <v>38</v>
      </c>
    </row>
    <row r="4636" spans="1:10" customHeight="0">
      <c r="A4636" s="0">
        <f>HYPERLINK("https://dl.dropboxusercontent.com/scl/fi/2eviil4k4cfkkduzmqpeb/94289f-pocket26200.jpg?rlkey=obb8072p9pq978nvgan863hqu&amp;dl=0","Click to download Image")</f>
      </c>
      <c r="C4636" s="0" t="inlineStr">
        <is>
          <t>Fleece Breast Cancer Scarf</t>
        </is>
      </c>
      <c r="D4636" s="0" t="inlineStr">
        <is>
          <t>'99627</t>
        </is>
      </c>
      <c r="E4636" s="0" t="inlineStr">
        <is>
          <t>THINK PINK:99627-SCARF</t>
        </is>
      </c>
      <c r="F4636" s="0" t="inlineStr">
        <is>
          <t>'900099627013</t>
        </is>
      </c>
      <c r="I4636" s="0">
        <v>17.99</v>
      </c>
      <c r="J4636" s="0">
        <v>122</v>
      </c>
    </row>
    <row r="4637" spans="1:10" customHeight="0">
      <c r="A4637" s="0">
        <f>HYPERLINK("https://dl.dropboxusercontent.com/scl/fi/8gl98dzrg8ykunrkavkls/stringbagf88575.jpg?rlkey=3p0b2yf18sub2mpyip4v234n0&amp;dl=0","Click to download Image")</f>
      </c>
      <c r="C4637" s="0" t="inlineStr">
        <is>
          <t>Breast Cancer String Bag</t>
        </is>
      </c>
      <c r="D4637" s="0" t="inlineStr">
        <is>
          <t>'100126</t>
        </is>
      </c>
      <c r="E4637" s="0" t="inlineStr">
        <is>
          <t>THINK PINK:100126-CINCH BAG</t>
        </is>
      </c>
      <c r="F4637" s="0" t="inlineStr">
        <is>
          <t>'900100126016</t>
        </is>
      </c>
      <c r="I4637" s="0">
        <v>15.99</v>
      </c>
      <c r="J4637" s="0">
        <v>121</v>
      </c>
    </row>
    <row r="4638" spans="1:10" customHeight="0">
      <c r="A4638" s="0">
        <f>HYPERLINK("https://dl.dropboxusercontent.com/scl/fi/6gqimgwawqk5dh1vsizvc/af.jpg?rlkey=99jdyrqgn64fgqakszlwzk8iu&amp;dl=0","Click to download Image")</f>
      </c>
      <c r="C4638" s="0" t="inlineStr">
        <is>
          <t>Grayson Breast Cancer Collapsible Duffle Bag</t>
        </is>
      </c>
      <c r="D4638" s="0" t="inlineStr">
        <is>
          <t>'100130</t>
        </is>
      </c>
      <c r="E4638" s="0" t="inlineStr">
        <is>
          <t>THINK PINK:100130-BAG</t>
        </is>
      </c>
      <c r="F4638" s="0" t="inlineStr">
        <is>
          <t>'900100130013</t>
        </is>
      </c>
      <c r="I4638" s="0">
        <v>34.99</v>
      </c>
      <c r="J4638" s="0">
        <v>127</v>
      </c>
    </row>
    <row r="4639" spans="1:10" customHeight="0">
      <c r="A4639" s="0">
        <f>HYPERLINK("https://dl.dropboxusercontent.com/scl/fi/c9xowq4llnlcnx5g2n6eq/95881-af.jpg?rlkey=xvnu676idvkhaz54l9g7m6jlr&amp;dl=0","Click to download Image")</f>
      </c>
      <c r="B4639" s="0">
        <f>HYPERLINK("https://dl.dropboxusercontent.com/scl/fi/odwskpd61jqiayhzr3jev/neon-size-chartskelsey.jpg?rlkey=7wjrq1ucx1fd1snmuqfermi13&amp;dl=0","Click to download SizeChart")</f>
      </c>
      <c r="C4639" s="0" t="inlineStr">
        <is>
          <t>Kelsey Women's Long Sleeve T-Shirt</t>
        </is>
      </c>
      <c r="D4639" s="0" t="inlineStr">
        <is>
          <t>'95881</t>
        </is>
      </c>
      <c r="E4639" s="0" t="inlineStr">
        <is>
          <t>KELSEY:95881A-S</t>
        </is>
      </c>
      <c r="F4639" s="0" t="inlineStr">
        <is>
          <t>'000000000000</t>
        </is>
      </c>
      <c r="G4639" s="0" t="inlineStr">
        <is>
          <t>WOMENS</t>
        </is>
      </c>
      <c r="H4639" s="0" t="inlineStr">
        <is>
          <t>S</t>
        </is>
      </c>
      <c r="I4639" s="0">
        <v>14.99</v>
      </c>
      <c r="J4639" s="0">
        <v>36</v>
      </c>
    </row>
    <row r="4640" spans="1:10" customHeight="0">
      <c r="A4640" s="0">
        <f>HYPERLINK("https://dl.dropboxusercontent.com/scl/fi/c9xowq4llnlcnx5g2n6eq/95881-af.jpg?rlkey=xvnu676idvkhaz54l9g7m6jlr&amp;dl=0","Click to download Image")</f>
      </c>
      <c r="B4640" s="0">
        <f>HYPERLINK("https://dl.dropboxusercontent.com/scl/fi/odwskpd61jqiayhzr3jev/neon-size-chartskelsey.jpg?rlkey=7wjrq1ucx1fd1snmuqfermi13&amp;dl=0","Click to download SizeChart")</f>
      </c>
      <c r="C4640" s="0" t="inlineStr">
        <is>
          <t>Kelsey Women's Long Sleeve T-Shirt</t>
        </is>
      </c>
      <c r="D4640" s="0" t="inlineStr">
        <is>
          <t>'95881</t>
        </is>
      </c>
      <c r="E4640" s="0" t="inlineStr">
        <is>
          <t>KELSEY:95881B-M</t>
        </is>
      </c>
      <c r="F4640" s="0" t="inlineStr">
        <is>
          <t>'000000000000</t>
        </is>
      </c>
      <c r="G4640" s="0" t="inlineStr">
        <is>
          <t>WOMENS</t>
        </is>
      </c>
      <c r="H4640" s="0" t="inlineStr">
        <is>
          <t>M</t>
        </is>
      </c>
      <c r="I4640" s="0">
        <v>14.99</v>
      </c>
      <c r="J4640" s="0">
        <v>67</v>
      </c>
    </row>
    <row r="4641" spans="1:10" customHeight="0">
      <c r="A4641" s="0">
        <f>HYPERLINK("https://dl.dropboxusercontent.com/scl/fi/c9xowq4llnlcnx5g2n6eq/95881-af.jpg?rlkey=xvnu676idvkhaz54l9g7m6jlr&amp;dl=0","Click to download Image")</f>
      </c>
      <c r="B4641" s="0">
        <f>HYPERLINK("https://dl.dropboxusercontent.com/scl/fi/odwskpd61jqiayhzr3jev/neon-size-chartskelsey.jpg?rlkey=7wjrq1ucx1fd1snmuqfermi13&amp;dl=0","Click to download SizeChart")</f>
      </c>
      <c r="C4641" s="0" t="inlineStr">
        <is>
          <t>Kelsey Women's Long Sleeve T-Shirt</t>
        </is>
      </c>
      <c r="D4641" s="0" t="inlineStr">
        <is>
          <t>'95881</t>
        </is>
      </c>
      <c r="E4641" s="0" t="inlineStr">
        <is>
          <t>KELSEY:95881C-L</t>
        </is>
      </c>
      <c r="F4641" s="0" t="inlineStr">
        <is>
          <t>'000000000000</t>
        </is>
      </c>
      <c r="G4641" s="0" t="inlineStr">
        <is>
          <t>WOMENS</t>
        </is>
      </c>
      <c r="H4641" s="0" t="inlineStr">
        <is>
          <t>L</t>
        </is>
      </c>
      <c r="I4641" s="0">
        <v>14.99</v>
      </c>
      <c r="J4641" s="0">
        <v>123</v>
      </c>
    </row>
    <row r="4642" spans="1:10" customHeight="0">
      <c r="A4642" s="0">
        <f>HYPERLINK("https://dl.dropboxusercontent.com/scl/fi/c9xowq4llnlcnx5g2n6eq/95881-af.jpg?rlkey=xvnu676idvkhaz54l9g7m6jlr&amp;dl=0","Click to download Image")</f>
      </c>
      <c r="B4642" s="0">
        <f>HYPERLINK("https://dl.dropboxusercontent.com/scl/fi/odwskpd61jqiayhzr3jev/neon-size-chartskelsey.jpg?rlkey=7wjrq1ucx1fd1snmuqfermi13&amp;dl=0","Click to download SizeChart")</f>
      </c>
      <c r="C4642" s="0" t="inlineStr">
        <is>
          <t>Kelsey Women's Long Sleeve T-Shirt</t>
        </is>
      </c>
      <c r="D4642" s="0" t="inlineStr">
        <is>
          <t>'95881</t>
        </is>
      </c>
      <c r="E4642" s="0" t="inlineStr">
        <is>
          <t>KELSEY:95881D-XL</t>
        </is>
      </c>
      <c r="F4642" s="0" t="inlineStr">
        <is>
          <t>'000000000000</t>
        </is>
      </c>
      <c r="G4642" s="0" t="inlineStr">
        <is>
          <t>WOMENS</t>
        </is>
      </c>
      <c r="H4642" s="0" t="inlineStr">
        <is>
          <t>XL</t>
        </is>
      </c>
      <c r="I4642" s="0">
        <v>14.99</v>
      </c>
      <c r="J4642" s="0">
        <v>121</v>
      </c>
    </row>
    <row r="4643" spans="1:10" customHeight="0">
      <c r="A4643" s="0">
        <f>HYPERLINK("https://dl.dropboxusercontent.com/scl/fi/c9xowq4llnlcnx5g2n6eq/95881-af.jpg?rlkey=xvnu676idvkhaz54l9g7m6jlr&amp;dl=0","Click to download Image")</f>
      </c>
      <c r="B4643" s="0">
        <f>HYPERLINK("https://dl.dropboxusercontent.com/scl/fi/odwskpd61jqiayhzr3jev/neon-size-chartskelsey.jpg?rlkey=7wjrq1ucx1fd1snmuqfermi13&amp;dl=0","Click to download SizeChart")</f>
      </c>
      <c r="C4643" s="0" t="inlineStr">
        <is>
          <t>Kelsey Women's Long Sleeve T-Shirt</t>
        </is>
      </c>
      <c r="D4643" s="0" t="inlineStr">
        <is>
          <t>'95881</t>
        </is>
      </c>
      <c r="E4643" s="0" t="inlineStr">
        <is>
          <t>KELSEY:95881E-2XL</t>
        </is>
      </c>
      <c r="F4643" s="0" t="inlineStr">
        <is>
          <t>'000000000000</t>
        </is>
      </c>
      <c r="G4643" s="0" t="inlineStr">
        <is>
          <t>WOMENS</t>
        </is>
      </c>
      <c r="H4643" s="0" t="inlineStr">
        <is>
          <t>2XL</t>
        </is>
      </c>
      <c r="I4643" s="0">
        <v>16.99</v>
      </c>
      <c r="J4643" s="0">
        <v>75</v>
      </c>
    </row>
    <row r="4644" spans="1:10" customHeight="0">
      <c r="A4644" s="0">
        <f>HYPERLINK("https://dl.dropboxusercontent.com/scl/fi/c9xowq4llnlcnx5g2n6eq/95881-af.jpg?rlkey=xvnu676idvkhaz54l9g7m6jlr&amp;dl=0","Click to download Image")</f>
      </c>
      <c r="B4644" s="0">
        <f>HYPERLINK("https://dl.dropboxusercontent.com/scl/fi/odwskpd61jqiayhzr3jev/neon-size-chartskelsey.jpg?rlkey=7wjrq1ucx1fd1snmuqfermi13&amp;dl=0","Click to download SizeChart")</f>
      </c>
      <c r="C4644" s="0" t="inlineStr">
        <is>
          <t>Kelsey Women's Long Sleeve T-Shirt</t>
        </is>
      </c>
      <c r="D4644" s="0" t="inlineStr">
        <is>
          <t>'95881</t>
        </is>
      </c>
      <c r="E4644" s="0" t="inlineStr">
        <is>
          <t>KELSEY:95881F-3XL</t>
        </is>
      </c>
      <c r="F4644" s="0" t="inlineStr">
        <is>
          <t>'000000000000</t>
        </is>
      </c>
      <c r="G4644" s="0" t="inlineStr">
        <is>
          <t>WOMENS</t>
        </is>
      </c>
      <c r="H4644" s="0" t="inlineStr">
        <is>
          <t>3XL</t>
        </is>
      </c>
      <c r="I4644" s="0">
        <v>16.99</v>
      </c>
      <c r="J4644" s="0">
        <v>23</v>
      </c>
    </row>
    <row r="4645" spans="1:10" customHeight="0">
      <c r="A4645" s="0">
        <f>HYPERLINK("https://dl.dropboxusercontent.com/scl/fi/0ltigkogufkjeqoqlm7t2/ay-f.jpg?rlkey=bi1m8z2cvfbbfl23ihsbnlr52&amp;dl=0","Click to download Image")</f>
      </c>
      <c r="B4645" s="0">
        <f>HYPERLINK("https://dl.dropboxusercontent.com/scl/fi/txjcbqrwx9ms9m187vpip/neon-size-chartsalexis-y.jpg?rlkey=7etau1pnlodhbd6hcp2j8nmnp&amp;dl=0","Click to download SizeChart")</f>
      </c>
      <c r="C4645" s="0" t="inlineStr">
        <is>
          <t>Alexis Youth T-Shirt</t>
        </is>
      </c>
      <c r="D4645" s="0" t="inlineStr">
        <is>
          <t>'Y95874</t>
        </is>
      </c>
      <c r="E4645" s="0" t="inlineStr">
        <is>
          <t>ALEXIS:Y95874A-S</t>
        </is>
      </c>
      <c r="F4645" s="0" t="inlineStr">
        <is>
          <t>'000000000000</t>
        </is>
      </c>
      <c r="G4645" s="0" t="inlineStr">
        <is>
          <t>YOUTH</t>
        </is>
      </c>
      <c r="H4645" s="0" t="inlineStr">
        <is>
          <t>YS</t>
        </is>
      </c>
      <c r="I4645" s="0">
        <v>13.99</v>
      </c>
      <c r="J4645" s="0">
        <v>7</v>
      </c>
    </row>
    <row r="4646" spans="1:10" customHeight="0">
      <c r="A4646" s="0">
        <f>HYPERLINK("https://dl.dropboxusercontent.com/scl/fi/0ltigkogufkjeqoqlm7t2/ay-f.jpg?rlkey=bi1m8z2cvfbbfl23ihsbnlr52&amp;dl=0","Click to download Image")</f>
      </c>
      <c r="B4646" s="0">
        <f>HYPERLINK("https://dl.dropboxusercontent.com/scl/fi/txjcbqrwx9ms9m187vpip/neon-size-chartsalexis-y.jpg?rlkey=7etau1pnlodhbd6hcp2j8nmnp&amp;dl=0","Click to download SizeChart")</f>
      </c>
      <c r="C4646" s="0" t="inlineStr">
        <is>
          <t>Alexis Youth T-Shirt</t>
        </is>
      </c>
      <c r="D4646" s="0" t="inlineStr">
        <is>
          <t>'Y95874</t>
        </is>
      </c>
      <c r="E4646" s="0" t="inlineStr">
        <is>
          <t>ALEXIS:Y95874B-M</t>
        </is>
      </c>
      <c r="F4646" s="0" t="inlineStr">
        <is>
          <t>'000000000000</t>
        </is>
      </c>
      <c r="G4646" s="0" t="inlineStr">
        <is>
          <t>YOUTH</t>
        </is>
      </c>
      <c r="H4646" s="0" t="inlineStr">
        <is>
          <t>YM</t>
        </is>
      </c>
      <c r="I4646" s="0">
        <v>13.99</v>
      </c>
      <c r="J4646" s="0">
        <v>13</v>
      </c>
    </row>
    <row r="4647" spans="1:10" customHeight="0">
      <c r="A4647" s="0">
        <f>HYPERLINK("https://dl.dropboxusercontent.com/scl/fi/0ltigkogufkjeqoqlm7t2/ay-f.jpg?rlkey=bi1m8z2cvfbbfl23ihsbnlr52&amp;dl=0","Click to download Image")</f>
      </c>
      <c r="B4647" s="0">
        <f>HYPERLINK("https://dl.dropboxusercontent.com/scl/fi/txjcbqrwx9ms9m187vpip/neon-size-chartsalexis-y.jpg?rlkey=7etau1pnlodhbd6hcp2j8nmnp&amp;dl=0","Click to download SizeChart")</f>
      </c>
      <c r="C4647" s="0" t="inlineStr">
        <is>
          <t>Alexis Youth T-Shirt</t>
        </is>
      </c>
      <c r="D4647" s="0" t="inlineStr">
        <is>
          <t>'Y95874</t>
        </is>
      </c>
      <c r="E4647" s="0" t="inlineStr">
        <is>
          <t>ALEXIS:Y95874C-L</t>
        </is>
      </c>
      <c r="F4647" s="0" t="inlineStr">
        <is>
          <t>'000000000000</t>
        </is>
      </c>
      <c r="G4647" s="0" t="inlineStr">
        <is>
          <t>YOUTH</t>
        </is>
      </c>
      <c r="H4647" s="0" t="inlineStr">
        <is>
          <t>YL</t>
        </is>
      </c>
      <c r="I4647" s="0">
        <v>13.99</v>
      </c>
      <c r="J4647" s="0">
        <v>4</v>
      </c>
    </row>
    <row r="4648" spans="1:10" customHeight="0">
      <c r="A4648" s="0">
        <f>HYPERLINK("https://dl.dropboxusercontent.com/scl/fi/0ltigkogufkjeqoqlm7t2/ay-f.jpg?rlkey=bi1m8z2cvfbbfl23ihsbnlr52&amp;dl=0","Click to download Image")</f>
      </c>
      <c r="B4648" s="0">
        <f>HYPERLINK("https://dl.dropboxusercontent.com/scl/fi/txjcbqrwx9ms9m187vpip/neon-size-chartsalexis-y.jpg?rlkey=7etau1pnlodhbd6hcp2j8nmnp&amp;dl=0","Click to download SizeChart")</f>
      </c>
      <c r="C4648" s="0" t="inlineStr">
        <is>
          <t>Alexis Youth T-Shirt</t>
        </is>
      </c>
      <c r="D4648" s="0" t="inlineStr">
        <is>
          <t>'Y95874</t>
        </is>
      </c>
      <c r="E4648" s="0" t="inlineStr">
        <is>
          <t>ALEXIS:Y95874D-XL</t>
        </is>
      </c>
      <c r="F4648" s="0" t="inlineStr">
        <is>
          <t>'000000000000</t>
        </is>
      </c>
      <c r="G4648" s="0" t="inlineStr">
        <is>
          <t>YOUTH</t>
        </is>
      </c>
      <c r="H4648" s="0" t="inlineStr">
        <is>
          <t>YXL</t>
        </is>
      </c>
      <c r="I4648" s="0">
        <v>13.99</v>
      </c>
      <c r="J4648" s="0">
        <v>11</v>
      </c>
    </row>
    <row r="4649" spans="1:10" customHeight="0">
      <c r="A4649" s="0">
        <f>HYPERLINK("https://dl.dropboxusercontent.com/scl/fi/8ed5v6mosme0mjv35n5wz/ayf.jpg?rlkey=f11benb85xcgot1vb5lrw9cvx&amp;dl=0","Click to download Image")</f>
      </c>
      <c r="B4649" s="0">
        <f>HYPERLINK("https://dl.dropboxusercontent.com/scl/fi/txjcbqrwx9ms9m187vpip/neon-size-chartsalexis-y.jpg?rlkey=7etau1pnlodhbd6hcp2j8nmnp&amp;dl=0","Click to download SizeChart")</f>
      </c>
      <c r="C4649" s="0" t="inlineStr">
        <is>
          <t>Alexis Youth T-Shirt</t>
        </is>
      </c>
      <c r="D4649" s="0" t="inlineStr">
        <is>
          <t>'Y95876</t>
        </is>
      </c>
      <c r="E4649" s="0" t="inlineStr">
        <is>
          <t>ALEXIS:Y95876A-S</t>
        </is>
      </c>
      <c r="F4649" s="0" t="inlineStr">
        <is>
          <t>'000000000000</t>
        </is>
      </c>
      <c r="G4649" s="0" t="inlineStr">
        <is>
          <t>YOUTH</t>
        </is>
      </c>
      <c r="H4649" s="0" t="inlineStr">
        <is>
          <t>YS</t>
        </is>
      </c>
      <c r="I4649" s="0">
        <v>13.99</v>
      </c>
      <c r="J4649" s="0">
        <v>21</v>
      </c>
    </row>
    <row r="4650" spans="1:10" customHeight="0">
      <c r="A4650" s="0">
        <f>HYPERLINK("https://dl.dropboxusercontent.com/scl/fi/8ed5v6mosme0mjv35n5wz/ayf.jpg?rlkey=f11benb85xcgot1vb5lrw9cvx&amp;dl=0","Click to download Image")</f>
      </c>
      <c r="B4650" s="0">
        <f>HYPERLINK("https://dl.dropboxusercontent.com/scl/fi/txjcbqrwx9ms9m187vpip/neon-size-chartsalexis-y.jpg?rlkey=7etau1pnlodhbd6hcp2j8nmnp&amp;dl=0","Click to download SizeChart")</f>
      </c>
      <c r="C4650" s="0" t="inlineStr">
        <is>
          <t>Alexis Youth T-Shirt</t>
        </is>
      </c>
      <c r="D4650" s="0" t="inlineStr">
        <is>
          <t>'Y95876</t>
        </is>
      </c>
      <c r="E4650" s="0" t="inlineStr">
        <is>
          <t>ALEXIS:Y95876B-M</t>
        </is>
      </c>
      <c r="F4650" s="0" t="inlineStr">
        <is>
          <t>'000000000000</t>
        </is>
      </c>
      <c r="G4650" s="0" t="inlineStr">
        <is>
          <t>YOUTH</t>
        </is>
      </c>
      <c r="H4650" s="0" t="inlineStr">
        <is>
          <t>YM</t>
        </is>
      </c>
      <c r="I4650" s="0">
        <v>13.99</v>
      </c>
      <c r="J4650" s="0">
        <v>21</v>
      </c>
    </row>
    <row r="4651" spans="1:10" customHeight="0">
      <c r="A4651" s="0">
        <f>HYPERLINK("https://dl.dropboxusercontent.com/scl/fi/8ed5v6mosme0mjv35n5wz/ayf.jpg?rlkey=f11benb85xcgot1vb5lrw9cvx&amp;dl=0","Click to download Image")</f>
      </c>
      <c r="B4651" s="0">
        <f>HYPERLINK("https://dl.dropboxusercontent.com/scl/fi/txjcbqrwx9ms9m187vpip/neon-size-chartsalexis-y.jpg?rlkey=7etau1pnlodhbd6hcp2j8nmnp&amp;dl=0","Click to download SizeChart")</f>
      </c>
      <c r="C4651" s="0" t="inlineStr">
        <is>
          <t>Alexis Youth T-Shirt</t>
        </is>
      </c>
      <c r="D4651" s="0" t="inlineStr">
        <is>
          <t>'Y95876</t>
        </is>
      </c>
      <c r="E4651" s="0" t="inlineStr">
        <is>
          <t>ALEXIS:Y95876C-L</t>
        </is>
      </c>
      <c r="F4651" s="0" t="inlineStr">
        <is>
          <t>'000000000000</t>
        </is>
      </c>
      <c r="G4651" s="0" t="inlineStr">
        <is>
          <t>YOUTH</t>
        </is>
      </c>
      <c r="H4651" s="0" t="inlineStr">
        <is>
          <t>YL</t>
        </is>
      </c>
      <c r="I4651" s="0">
        <v>13.99</v>
      </c>
      <c r="J4651" s="0">
        <v>22</v>
      </c>
    </row>
    <row r="4652" spans="1:10" customHeight="0">
      <c r="A4652" s="0">
        <f>HYPERLINK("https://dl.dropboxusercontent.com/scl/fi/8ed5v6mosme0mjv35n5wz/ayf.jpg?rlkey=f11benb85xcgot1vb5lrw9cvx&amp;dl=0","Click to download Image")</f>
      </c>
      <c r="B4652" s="0">
        <f>HYPERLINK("https://dl.dropboxusercontent.com/scl/fi/txjcbqrwx9ms9m187vpip/neon-size-chartsalexis-y.jpg?rlkey=7etau1pnlodhbd6hcp2j8nmnp&amp;dl=0","Click to download SizeChart")</f>
      </c>
      <c r="C4652" s="0" t="inlineStr">
        <is>
          <t>Alexis Youth T-Shirt</t>
        </is>
      </c>
      <c r="D4652" s="0" t="inlineStr">
        <is>
          <t>'Y95876</t>
        </is>
      </c>
      <c r="E4652" s="0" t="inlineStr">
        <is>
          <t>ALEXIS:Y95876D-XL</t>
        </is>
      </c>
      <c r="F4652" s="0" t="inlineStr">
        <is>
          <t>'000000000000</t>
        </is>
      </c>
      <c r="G4652" s="0" t="inlineStr">
        <is>
          <t>YOUTH</t>
        </is>
      </c>
      <c r="H4652" s="0" t="inlineStr">
        <is>
          <t>YXL</t>
        </is>
      </c>
      <c r="I4652" s="0">
        <v>13.99</v>
      </c>
      <c r="J4652" s="0">
        <v>25</v>
      </c>
    </row>
    <row r="4653" spans="1:10" customHeight="0">
      <c r="A4653" s="0">
        <f>HYPERLINK("https://dl.dropboxusercontent.com/scl/fi/7ga614an1lewyfp84w21h/myf.jpg?rlkey=97lcy8xdtu8nd61f5adjnz1xa&amp;dl=0","Click to download Image")</f>
      </c>
      <c r="B4653" s="0">
        <f>HYPERLINK("https://dl.dropboxusercontent.com/scl/fi/se4076jfqzxt8nhdgw8zu/neon-size-chartsmarcus-y.jpg?rlkey=gp630c5lt6qofq0elmg42rn05&amp;dl=0","Click to download SizeChart")</f>
      </c>
      <c r="C4653" s="0" t="inlineStr">
        <is>
          <t>Marcus Youth Long Sleeve T-Shirt</t>
        </is>
      </c>
      <c r="D4653" s="0" t="inlineStr">
        <is>
          <t>'Y95878</t>
        </is>
      </c>
      <c r="E4653" s="0" t="inlineStr">
        <is>
          <t>MARCUS:Y95878A-S</t>
        </is>
      </c>
      <c r="F4653" s="0" t="inlineStr">
        <is>
          <t>'000000000000</t>
        </is>
      </c>
      <c r="G4653" s="0" t="inlineStr">
        <is>
          <t>YOUTH</t>
        </is>
      </c>
      <c r="H4653" s="0" t="inlineStr">
        <is>
          <t>YS</t>
        </is>
      </c>
      <c r="I4653" s="0">
        <v>14.99</v>
      </c>
      <c r="J4653" s="0">
        <v>2</v>
      </c>
    </row>
    <row r="4654" spans="1:10" customHeight="0">
      <c r="A4654" s="0">
        <f>HYPERLINK("https://dl.dropboxusercontent.com/scl/fi/7ga614an1lewyfp84w21h/myf.jpg?rlkey=97lcy8xdtu8nd61f5adjnz1xa&amp;dl=0","Click to download Image")</f>
      </c>
      <c r="B4654" s="0">
        <f>HYPERLINK("https://dl.dropboxusercontent.com/scl/fi/se4076jfqzxt8nhdgw8zu/neon-size-chartsmarcus-y.jpg?rlkey=gp630c5lt6qofq0elmg42rn05&amp;dl=0","Click to download SizeChart")</f>
      </c>
      <c r="C4654" s="0" t="inlineStr">
        <is>
          <t>Marcus Youth Long Sleeve T-Shirt</t>
        </is>
      </c>
      <c r="D4654" s="0" t="inlineStr">
        <is>
          <t>'Y95878</t>
        </is>
      </c>
      <c r="E4654" s="0" t="inlineStr">
        <is>
          <t>MARCUS:Y95878B-M</t>
        </is>
      </c>
      <c r="F4654" s="0" t="inlineStr">
        <is>
          <t>'000000000000</t>
        </is>
      </c>
      <c r="G4654" s="0" t="inlineStr">
        <is>
          <t>YOUTH</t>
        </is>
      </c>
      <c r="H4654" s="0" t="inlineStr">
        <is>
          <t>YM</t>
        </is>
      </c>
      <c r="I4654" s="0">
        <v>14.99</v>
      </c>
      <c r="J4654" s="0">
        <v>0</v>
      </c>
    </row>
    <row r="4655" spans="1:10" customHeight="0">
      <c r="A4655" s="0">
        <f>HYPERLINK("https://dl.dropboxusercontent.com/scl/fi/7ga614an1lewyfp84w21h/myf.jpg?rlkey=97lcy8xdtu8nd61f5adjnz1xa&amp;dl=0","Click to download Image")</f>
      </c>
      <c r="B4655" s="0">
        <f>HYPERLINK("https://dl.dropboxusercontent.com/scl/fi/se4076jfqzxt8nhdgw8zu/neon-size-chartsmarcus-y.jpg?rlkey=gp630c5lt6qofq0elmg42rn05&amp;dl=0","Click to download SizeChart")</f>
      </c>
      <c r="C4655" s="0" t="inlineStr">
        <is>
          <t>Marcus Youth Long Sleeve T-Shirt</t>
        </is>
      </c>
      <c r="D4655" s="0" t="inlineStr">
        <is>
          <t>'Y95878</t>
        </is>
      </c>
      <c r="E4655" s="0" t="inlineStr">
        <is>
          <t>MARCUS:Y95878C-L</t>
        </is>
      </c>
      <c r="F4655" s="0" t="inlineStr">
        <is>
          <t>'000000000000</t>
        </is>
      </c>
      <c r="G4655" s="0" t="inlineStr">
        <is>
          <t>YOUTH</t>
        </is>
      </c>
      <c r="H4655" s="0" t="inlineStr">
        <is>
          <t>YL</t>
        </is>
      </c>
      <c r="I4655" s="0">
        <v>14.99</v>
      </c>
      <c r="J4655" s="0">
        <v>0</v>
      </c>
    </row>
    <row r="4656" spans="1:10" customHeight="0">
      <c r="A4656" s="0">
        <f>HYPERLINK("https://dl.dropboxusercontent.com/scl/fi/7ga614an1lewyfp84w21h/myf.jpg?rlkey=97lcy8xdtu8nd61f5adjnz1xa&amp;dl=0","Click to download Image")</f>
      </c>
      <c r="B4656" s="0">
        <f>HYPERLINK("https://dl.dropboxusercontent.com/scl/fi/se4076jfqzxt8nhdgw8zu/neon-size-chartsmarcus-y.jpg?rlkey=gp630c5lt6qofq0elmg42rn05&amp;dl=0","Click to download SizeChart")</f>
      </c>
      <c r="C4656" s="0" t="inlineStr">
        <is>
          <t>Marcus Youth Long Sleeve T-Shirt</t>
        </is>
      </c>
      <c r="D4656" s="0" t="inlineStr">
        <is>
          <t>'Y95878</t>
        </is>
      </c>
      <c r="E4656" s="0" t="inlineStr">
        <is>
          <t>MARCUS:Y95878D-XL</t>
        </is>
      </c>
      <c r="F4656" s="0" t="inlineStr">
        <is>
          <t>'000000000000</t>
        </is>
      </c>
      <c r="G4656" s="0" t="inlineStr">
        <is>
          <t>YOUTH</t>
        </is>
      </c>
      <c r="H4656" s="0" t="inlineStr">
        <is>
          <t>YXL</t>
        </is>
      </c>
      <c r="I4656" s="0">
        <v>14.99</v>
      </c>
      <c r="J4656" s="0">
        <v>49</v>
      </c>
    </row>
    <row r="4657" spans="1:10" customHeight="0">
      <c r="A4657" s="0">
        <f>HYPERLINK("https://dl.dropboxusercontent.com/scl/fi/6lar17o485ucdag5ycomu/myf.jpg?rlkey=f6iy22r5t6bcze5bjj9gazepb&amp;dl=0","Click to download Image")</f>
      </c>
      <c r="B4657" s="0">
        <f>HYPERLINK("https://dl.dropboxusercontent.com/scl/fi/se4076jfqzxt8nhdgw8zu/neon-size-chartsmarcus-y.jpg?rlkey=gp630c5lt6qofq0elmg42rn05&amp;dl=0","Click to download SizeChart")</f>
      </c>
      <c r="C4657" s="0" t="inlineStr">
        <is>
          <t>Marcus Youth Long Sleeve T-Shirt</t>
        </is>
      </c>
      <c r="D4657" s="0" t="inlineStr">
        <is>
          <t>'Y95879</t>
        </is>
      </c>
      <c r="E4657" s="0" t="inlineStr">
        <is>
          <t>MARCUS:Y95879A-S</t>
        </is>
      </c>
      <c r="F4657" s="0" t="inlineStr">
        <is>
          <t>'000000000000</t>
        </is>
      </c>
      <c r="G4657" s="0" t="inlineStr">
        <is>
          <t>YOUTH</t>
        </is>
      </c>
      <c r="H4657" s="0" t="inlineStr">
        <is>
          <t>YS</t>
        </is>
      </c>
      <c r="I4657" s="0">
        <v>14.99</v>
      </c>
      <c r="J4657" s="0">
        <v>33</v>
      </c>
    </row>
    <row r="4658" spans="1:10" customHeight="0">
      <c r="A4658" s="0">
        <f>HYPERLINK("https://dl.dropboxusercontent.com/scl/fi/6lar17o485ucdag5ycomu/myf.jpg?rlkey=f6iy22r5t6bcze5bjj9gazepb&amp;dl=0","Click to download Image")</f>
      </c>
      <c r="B4658" s="0">
        <f>HYPERLINK("https://dl.dropboxusercontent.com/scl/fi/se4076jfqzxt8nhdgw8zu/neon-size-chartsmarcus-y.jpg?rlkey=gp630c5lt6qofq0elmg42rn05&amp;dl=0","Click to download SizeChart")</f>
      </c>
      <c r="C4658" s="0" t="inlineStr">
        <is>
          <t>Marcus Youth Long Sleeve T-Shirt</t>
        </is>
      </c>
      <c r="D4658" s="0" t="inlineStr">
        <is>
          <t>'Y95879</t>
        </is>
      </c>
      <c r="E4658" s="0" t="inlineStr">
        <is>
          <t>MARCUS:Y95879B-M</t>
        </is>
      </c>
      <c r="F4658" s="0" t="inlineStr">
        <is>
          <t>'000000000000</t>
        </is>
      </c>
      <c r="G4658" s="0" t="inlineStr">
        <is>
          <t>YOUTH</t>
        </is>
      </c>
      <c r="H4658" s="0" t="inlineStr">
        <is>
          <t>YM</t>
        </is>
      </c>
      <c r="I4658" s="0">
        <v>14.99</v>
      </c>
      <c r="J4658" s="0">
        <v>0</v>
      </c>
    </row>
    <row r="4659" spans="1:10" customHeight="0">
      <c r="A4659" s="0">
        <f>HYPERLINK("https://dl.dropboxusercontent.com/scl/fi/6lar17o485ucdag5ycomu/myf.jpg?rlkey=f6iy22r5t6bcze5bjj9gazepb&amp;dl=0","Click to download Image")</f>
      </c>
      <c r="B4659" s="0">
        <f>HYPERLINK("https://dl.dropboxusercontent.com/scl/fi/se4076jfqzxt8nhdgw8zu/neon-size-chartsmarcus-y.jpg?rlkey=gp630c5lt6qofq0elmg42rn05&amp;dl=0","Click to download SizeChart")</f>
      </c>
      <c r="C4659" s="0" t="inlineStr">
        <is>
          <t>Marcus Youth Long Sleeve T-Shirt</t>
        </is>
      </c>
      <c r="D4659" s="0" t="inlineStr">
        <is>
          <t>'Y95879</t>
        </is>
      </c>
      <c r="E4659" s="0" t="inlineStr">
        <is>
          <t>MARCUS:Y95879C-L</t>
        </is>
      </c>
      <c r="F4659" s="0" t="inlineStr">
        <is>
          <t>'000000000000</t>
        </is>
      </c>
      <c r="G4659" s="0" t="inlineStr">
        <is>
          <t>YOUTH</t>
        </is>
      </c>
      <c r="H4659" s="0" t="inlineStr">
        <is>
          <t>YL</t>
        </is>
      </c>
      <c r="I4659" s="0">
        <v>14.99</v>
      </c>
      <c r="J4659" s="0">
        <v>0</v>
      </c>
    </row>
    <row r="4660" spans="1:10" customHeight="0">
      <c r="A4660" s="0">
        <f>HYPERLINK("https://dl.dropboxusercontent.com/scl/fi/6lar17o485ucdag5ycomu/myf.jpg?rlkey=f6iy22r5t6bcze5bjj9gazepb&amp;dl=0","Click to download Image")</f>
      </c>
      <c r="B4660" s="0">
        <f>HYPERLINK("https://dl.dropboxusercontent.com/scl/fi/se4076jfqzxt8nhdgw8zu/neon-size-chartsmarcus-y.jpg?rlkey=gp630c5lt6qofq0elmg42rn05&amp;dl=0","Click to download SizeChart")</f>
      </c>
      <c r="C4660" s="0" t="inlineStr">
        <is>
          <t>Marcus Youth Long Sleeve T-Shirt</t>
        </is>
      </c>
      <c r="D4660" s="0" t="inlineStr">
        <is>
          <t>'Y95879</t>
        </is>
      </c>
      <c r="E4660" s="0" t="inlineStr">
        <is>
          <t>MARCUS:Y95879D-XL</t>
        </is>
      </c>
      <c r="F4660" s="0" t="inlineStr">
        <is>
          <t>'000000000000</t>
        </is>
      </c>
      <c r="G4660" s="0" t="inlineStr">
        <is>
          <t>YOUTH</t>
        </is>
      </c>
      <c r="H4660" s="0" t="inlineStr">
        <is>
          <t>YXL</t>
        </is>
      </c>
      <c r="I4660" s="0">
        <v>14.99</v>
      </c>
      <c r="J4660" s="0">
        <v>0</v>
      </c>
    </row>
    <row r="4661" spans="1:10" customHeight="0">
      <c r="A4661" s="0">
        <f>HYPERLINK("https://dl.dropboxusercontent.com/scl/fi/ztga10vmqm5qn4ur3wk22/107194f92240.jpg?rlkey=6uyewwxdpr74cmaq6s3xmlk8p&amp;dl=0","Click to download Image")</f>
      </c>
      <c r="B4661" s="0">
        <f>HYPERLINK("https://dl.dropboxusercontent.com/scl/fi/exymfztblajt1uv8mg4e4/10-18-size-chartsmens-relaxed.jpg?rlkey=yqjimthzorxhk04ibefzf1v75&amp;dl=0","Click to download SizeChart")</f>
      </c>
      <c r="C4661" s="0" t="inlineStr">
        <is>
          <t>Randy Men's Performance Polo</t>
        </is>
      </c>
      <c r="D4661" s="0" t="inlineStr">
        <is>
          <t>'107194</t>
        </is>
      </c>
      <c r="E4661" s="0" t="inlineStr">
        <is>
          <t>WYOMING RANDY:107194B-M</t>
        </is>
      </c>
      <c r="F4661" s="0" t="inlineStr">
        <is>
          <t>'800107194011</t>
        </is>
      </c>
      <c r="G4661" s="0" t="inlineStr">
        <is>
          <t>MENS</t>
        </is>
      </c>
      <c r="H4661" s="0" t="inlineStr">
        <is>
          <t>M</t>
        </is>
      </c>
      <c r="I4661" s="0">
        <v>44.99</v>
      </c>
      <c r="J4661" s="0">
        <v>16</v>
      </c>
    </row>
    <row r="4662" spans="1:10" customHeight="0">
      <c r="A4662" s="0">
        <f>HYPERLINK("https://dl.dropboxusercontent.com/scl/fi/ztga10vmqm5qn4ur3wk22/107194f92240.jpg?rlkey=6uyewwxdpr74cmaq6s3xmlk8p&amp;dl=0","Click to download Image")</f>
      </c>
      <c r="B4662" s="0">
        <f>HYPERLINK("https://dl.dropboxusercontent.com/scl/fi/exymfztblajt1uv8mg4e4/10-18-size-chartsmens-relaxed.jpg?rlkey=yqjimthzorxhk04ibefzf1v75&amp;dl=0","Click to download SizeChart")</f>
      </c>
      <c r="C4662" s="0" t="inlineStr">
        <is>
          <t>Randy Men's Performance Polo</t>
        </is>
      </c>
      <c r="D4662" s="0" t="inlineStr">
        <is>
          <t>'107194</t>
        </is>
      </c>
      <c r="E4662" s="0" t="inlineStr">
        <is>
          <t>WYOMING RANDY:107194C-L</t>
        </is>
      </c>
      <c r="F4662" s="0" t="inlineStr">
        <is>
          <t>'800107194011</t>
        </is>
      </c>
      <c r="G4662" s="0" t="inlineStr">
        <is>
          <t>MENS</t>
        </is>
      </c>
      <c r="H4662" s="0" t="inlineStr">
        <is>
          <t>L</t>
        </is>
      </c>
      <c r="I4662" s="0">
        <v>44.99</v>
      </c>
      <c r="J4662" s="0">
        <v>16</v>
      </c>
    </row>
    <row r="4663" spans="1:10" customHeight="0">
      <c r="A4663" s="0">
        <f>HYPERLINK("https://dl.dropboxusercontent.com/scl/fi/ztga10vmqm5qn4ur3wk22/107194f92240.jpg?rlkey=6uyewwxdpr74cmaq6s3xmlk8p&amp;dl=0","Click to download Image")</f>
      </c>
      <c r="B4663" s="0">
        <f>HYPERLINK("https://dl.dropboxusercontent.com/scl/fi/exymfztblajt1uv8mg4e4/10-18-size-chartsmens-relaxed.jpg?rlkey=yqjimthzorxhk04ibefzf1v75&amp;dl=0","Click to download SizeChart")</f>
      </c>
      <c r="C4663" s="0" t="inlineStr">
        <is>
          <t>Randy Men's Performance Polo</t>
        </is>
      </c>
      <c r="D4663" s="0" t="inlineStr">
        <is>
          <t>'107194</t>
        </is>
      </c>
      <c r="E4663" s="0" t="inlineStr">
        <is>
          <t>WYOMING RANDY:107194D-XL</t>
        </is>
      </c>
      <c r="F4663" s="0" t="inlineStr">
        <is>
          <t>'800107194011</t>
        </is>
      </c>
      <c r="G4663" s="0" t="inlineStr">
        <is>
          <t>MENS</t>
        </is>
      </c>
      <c r="H4663" s="0" t="inlineStr">
        <is>
          <t>XL</t>
        </is>
      </c>
      <c r="I4663" s="0">
        <v>44.99</v>
      </c>
      <c r="J4663" s="0">
        <v>16</v>
      </c>
    </row>
    <row r="4664" spans="1:10" customHeight="0">
      <c r="A4664" s="0">
        <f>HYPERLINK("https://dl.dropboxusercontent.com/scl/fi/ztga10vmqm5qn4ur3wk22/107194f92240.jpg?rlkey=6uyewwxdpr74cmaq6s3xmlk8p&amp;dl=0","Click to download Image")</f>
      </c>
      <c r="B4664" s="0">
        <f>HYPERLINK("https://dl.dropboxusercontent.com/scl/fi/exymfztblajt1uv8mg4e4/10-18-size-chartsmens-relaxed.jpg?rlkey=yqjimthzorxhk04ibefzf1v75&amp;dl=0","Click to download SizeChart")</f>
      </c>
      <c r="C4664" s="0" t="inlineStr">
        <is>
          <t>Randy Men's Performance Polo</t>
        </is>
      </c>
      <c r="D4664" s="0" t="inlineStr">
        <is>
          <t>'107194</t>
        </is>
      </c>
      <c r="E4664" s="0" t="inlineStr">
        <is>
          <t>WYOMING RANDY:107194E-2XL</t>
        </is>
      </c>
      <c r="F4664" s="0" t="inlineStr">
        <is>
          <t>'800107194011</t>
        </is>
      </c>
      <c r="G4664" s="0" t="inlineStr">
        <is>
          <t>MENS</t>
        </is>
      </c>
      <c r="H4664" s="0" t="inlineStr">
        <is>
          <t>2XL</t>
        </is>
      </c>
      <c r="I4664" s="0">
        <v>46.99</v>
      </c>
      <c r="J4664" s="0">
        <v>16</v>
      </c>
    </row>
    <row r="4665" spans="1:10" customHeight="0">
      <c r="A4665" s="0">
        <f>HYPERLINK("https://dl.dropboxusercontent.com/scl/fi/bb2y7je6vyp62kqz8elly/667a4779-copy-2.jpg?rlkey=jqn1dullxfiqk9rf0mcsyxam9&amp;dl=0","Click to download Image")</f>
      </c>
      <c r="B4665" s="0">
        <f>HYPERLINK("https://dl.dropboxusercontent.com/scl/fi/exymfztblajt1uv8mg4e4/10-18-size-chartsmens-relaxed.jpg?rlkey=yqjimthzorxhk04ibefzf1v75&amp;dl=0","Click to download SizeChart")</f>
      </c>
      <c r="C4665" s="0" t="inlineStr">
        <is>
          <t>Randy Men's Performance Polo</t>
        </is>
      </c>
      <c r="D4665" s="0" t="inlineStr">
        <is>
          <t>'103071</t>
        </is>
      </c>
      <c r="E4665" s="0" t="inlineStr">
        <is>
          <t>RANDY:103071A-S</t>
        </is>
      </c>
      <c r="F4665" s="0" t="inlineStr">
        <is>
          <t>'000000000000</t>
        </is>
      </c>
      <c r="G4665" s="0" t="inlineStr">
        <is>
          <t>MENS</t>
        </is>
      </c>
      <c r="H4665" s="0" t="inlineStr">
        <is>
          <t>S</t>
        </is>
      </c>
      <c r="I4665" s="0">
        <v>44.99</v>
      </c>
      <c r="J4665" s="0">
        <v>57</v>
      </c>
    </row>
    <row r="4666" spans="1:10" customHeight="0">
      <c r="A4666" s="0">
        <f>HYPERLINK("https://dl.dropboxusercontent.com/scl/fi/bb2y7je6vyp62kqz8elly/667a4779-copy-2.jpg?rlkey=jqn1dullxfiqk9rf0mcsyxam9&amp;dl=0","Click to download Image")</f>
      </c>
      <c r="B4666" s="0">
        <f>HYPERLINK("https://dl.dropboxusercontent.com/scl/fi/exymfztblajt1uv8mg4e4/10-18-size-chartsmens-relaxed.jpg?rlkey=yqjimthzorxhk04ibefzf1v75&amp;dl=0","Click to download SizeChart")</f>
      </c>
      <c r="C4666" s="0" t="inlineStr">
        <is>
          <t>Randy Men's Performance Polo</t>
        </is>
      </c>
      <c r="D4666" s="0" t="inlineStr">
        <is>
          <t>'103071</t>
        </is>
      </c>
      <c r="E4666" s="0" t="inlineStr">
        <is>
          <t>RANDY:103071B-M</t>
        </is>
      </c>
      <c r="F4666" s="0" t="inlineStr">
        <is>
          <t>'000000000000</t>
        </is>
      </c>
      <c r="G4666" s="0" t="inlineStr">
        <is>
          <t>MENS</t>
        </is>
      </c>
      <c r="H4666" s="0" t="inlineStr">
        <is>
          <t>M</t>
        </is>
      </c>
      <c r="I4666" s="0">
        <v>44.99</v>
      </c>
      <c r="J4666" s="0">
        <v>69</v>
      </c>
    </row>
    <row r="4667" spans="1:10" customHeight="0">
      <c r="A4667" s="0">
        <f>HYPERLINK("https://dl.dropboxusercontent.com/scl/fi/bb2y7je6vyp62kqz8elly/667a4779-copy-2.jpg?rlkey=jqn1dullxfiqk9rf0mcsyxam9&amp;dl=0","Click to download Image")</f>
      </c>
      <c r="B4667" s="0">
        <f>HYPERLINK("https://dl.dropboxusercontent.com/scl/fi/exymfztblajt1uv8mg4e4/10-18-size-chartsmens-relaxed.jpg?rlkey=yqjimthzorxhk04ibefzf1v75&amp;dl=0","Click to download SizeChart")</f>
      </c>
      <c r="C4667" s="0" t="inlineStr">
        <is>
          <t>Randy Men's Performance Polo</t>
        </is>
      </c>
      <c r="D4667" s="0" t="inlineStr">
        <is>
          <t>'103071</t>
        </is>
      </c>
      <c r="E4667" s="0" t="inlineStr">
        <is>
          <t>RANDY:103071C-L</t>
        </is>
      </c>
      <c r="F4667" s="0" t="inlineStr">
        <is>
          <t>'000000000000</t>
        </is>
      </c>
      <c r="G4667" s="0" t="inlineStr">
        <is>
          <t>MENS</t>
        </is>
      </c>
      <c r="H4667" s="0" t="inlineStr">
        <is>
          <t>L</t>
        </is>
      </c>
      <c r="I4667" s="0">
        <v>44.99</v>
      </c>
      <c r="J4667" s="0">
        <v>62</v>
      </c>
    </row>
    <row r="4668" spans="1:10" customHeight="0">
      <c r="A4668" s="0">
        <f>HYPERLINK("https://dl.dropboxusercontent.com/scl/fi/bb2y7je6vyp62kqz8elly/667a4779-copy-2.jpg?rlkey=jqn1dullxfiqk9rf0mcsyxam9&amp;dl=0","Click to download Image")</f>
      </c>
      <c r="B4668" s="0">
        <f>HYPERLINK("https://dl.dropboxusercontent.com/scl/fi/exymfztblajt1uv8mg4e4/10-18-size-chartsmens-relaxed.jpg?rlkey=yqjimthzorxhk04ibefzf1v75&amp;dl=0","Click to download SizeChart")</f>
      </c>
      <c r="C4668" s="0" t="inlineStr">
        <is>
          <t>Randy Men's Performance Polo</t>
        </is>
      </c>
      <c r="D4668" s="0" t="inlineStr">
        <is>
          <t>'103071</t>
        </is>
      </c>
      <c r="E4668" s="0" t="inlineStr">
        <is>
          <t>RANDY:103071D-XL</t>
        </is>
      </c>
      <c r="F4668" s="0" t="inlineStr">
        <is>
          <t>'000000000000</t>
        </is>
      </c>
      <c r="G4668" s="0" t="inlineStr">
        <is>
          <t>MENS</t>
        </is>
      </c>
      <c r="H4668" s="0" t="inlineStr">
        <is>
          <t>XL</t>
        </is>
      </c>
      <c r="I4668" s="0">
        <v>44.99</v>
      </c>
      <c r="J4668" s="0">
        <v>51</v>
      </c>
    </row>
    <row r="4669" spans="1:10" customHeight="0">
      <c r="A4669" s="0">
        <f>HYPERLINK("https://dl.dropboxusercontent.com/scl/fi/bb2y7je6vyp62kqz8elly/667a4779-copy-2.jpg?rlkey=jqn1dullxfiqk9rf0mcsyxam9&amp;dl=0","Click to download Image")</f>
      </c>
      <c r="B4669" s="0">
        <f>HYPERLINK("https://dl.dropboxusercontent.com/scl/fi/exymfztblajt1uv8mg4e4/10-18-size-chartsmens-relaxed.jpg?rlkey=yqjimthzorxhk04ibefzf1v75&amp;dl=0","Click to download SizeChart")</f>
      </c>
      <c r="C4669" s="0" t="inlineStr">
        <is>
          <t>Randy Men's Performance Polo</t>
        </is>
      </c>
      <c r="D4669" s="0" t="inlineStr">
        <is>
          <t>'103071</t>
        </is>
      </c>
      <c r="E4669" s="0" t="inlineStr">
        <is>
          <t>RANDY:103071E-2XL</t>
        </is>
      </c>
      <c r="F4669" s="0" t="inlineStr">
        <is>
          <t>'000000000000</t>
        </is>
      </c>
      <c r="G4669" s="0" t="inlineStr">
        <is>
          <t>MENS</t>
        </is>
      </c>
      <c r="H4669" s="0" t="inlineStr">
        <is>
          <t>2XL</t>
        </is>
      </c>
      <c r="I4669" s="0">
        <v>46.99</v>
      </c>
      <c r="J4669" s="0">
        <v>51</v>
      </c>
    </row>
    <row r="4670" spans="1:10" customHeight="0">
      <c r="A4670" s="0">
        <f>HYPERLINK("https://dl.dropboxusercontent.com/scl/fi/bb2y7je6vyp62kqz8elly/667a4779-copy-2.jpg?rlkey=jqn1dullxfiqk9rf0mcsyxam9&amp;dl=0","Click to download Image")</f>
      </c>
      <c r="B4670" s="0">
        <f>HYPERLINK("https://dl.dropboxusercontent.com/scl/fi/exymfztblajt1uv8mg4e4/10-18-size-chartsmens-relaxed.jpg?rlkey=yqjimthzorxhk04ibefzf1v75&amp;dl=0","Click to download SizeChart")</f>
      </c>
      <c r="C4670" s="0" t="inlineStr">
        <is>
          <t>Randy Men's Performance Polo</t>
        </is>
      </c>
      <c r="D4670" s="0" t="inlineStr">
        <is>
          <t>'103071</t>
        </is>
      </c>
      <c r="E4670" s="0" t="inlineStr">
        <is>
          <t>RANDY:103071F-3XL</t>
        </is>
      </c>
      <c r="F4670" s="0" t="inlineStr">
        <is>
          <t>'000000000000</t>
        </is>
      </c>
      <c r="G4670" s="0" t="inlineStr">
        <is>
          <t>MENS</t>
        </is>
      </c>
      <c r="H4670" s="0" t="inlineStr">
        <is>
          <t>3XL</t>
        </is>
      </c>
      <c r="I4670" s="0">
        <v>46.99</v>
      </c>
      <c r="J4670" s="0">
        <v>18</v>
      </c>
    </row>
    <row r="4671" spans="1:10" customHeight="0">
      <c r="A4671" s="0">
        <f>HYPERLINK("https://dl.dropboxusercontent.com/scl/fi/a7sv17n8bf03425axq5yo/kinny.jpg?rlkey=9bieccxb590k78anxauli2nt6&amp;dl=0","Click to download Image")</f>
      </c>
      <c r="C4671" s="0" t="inlineStr">
        <is>
          <t>Kinny Youth Performance Short Sleeve Shirt</t>
        </is>
      </c>
      <c r="D4671" s="0" t="inlineStr">
        <is>
          <t>'107203</t>
        </is>
      </c>
      <c r="E4671" s="0" t="inlineStr">
        <is>
          <t>WYOMING KINNY:107203B-YS</t>
        </is>
      </c>
      <c r="F4671" s="0" t="inlineStr">
        <is>
          <t>'800107203010</t>
        </is>
      </c>
      <c r="G4671" s="0" t="inlineStr">
        <is>
          <t>YOUTH</t>
        </is>
      </c>
      <c r="H4671" s="0" t="inlineStr">
        <is>
          <t>YS</t>
        </is>
      </c>
      <c r="I4671" s="0">
        <v>24.99</v>
      </c>
      <c r="J4671" s="0">
        <v>16</v>
      </c>
    </row>
    <row r="4672" spans="1:10" customHeight="0">
      <c r="A4672" s="0">
        <f>HYPERLINK("https://dl.dropboxusercontent.com/scl/fi/a7sv17n8bf03425axq5yo/kinny.jpg?rlkey=9bieccxb590k78anxauli2nt6&amp;dl=0","Click to download Image")</f>
      </c>
      <c r="C4672" s="0" t="inlineStr">
        <is>
          <t>Kinny Youth Performance Short Sleeve Shirt</t>
        </is>
      </c>
      <c r="D4672" s="0" t="inlineStr">
        <is>
          <t>'107203</t>
        </is>
      </c>
      <c r="E4672" s="0" t="inlineStr">
        <is>
          <t>WYOMING KINNY:107203C-YM</t>
        </is>
      </c>
      <c r="F4672" s="0" t="inlineStr">
        <is>
          <t>'800107203010</t>
        </is>
      </c>
      <c r="G4672" s="0" t="inlineStr">
        <is>
          <t>YOUTH</t>
        </is>
      </c>
      <c r="H4672" s="0" t="inlineStr">
        <is>
          <t>YM</t>
        </is>
      </c>
      <c r="I4672" s="0">
        <v>24.99</v>
      </c>
      <c r="J4672" s="0">
        <v>16</v>
      </c>
    </row>
    <row r="4673" spans="1:10" customHeight="0">
      <c r="A4673" s="0">
        <f>HYPERLINK("https://dl.dropboxusercontent.com/scl/fi/a7sv17n8bf03425axq5yo/kinny.jpg?rlkey=9bieccxb590k78anxauli2nt6&amp;dl=0","Click to download Image")</f>
      </c>
      <c r="C4673" s="0" t="inlineStr">
        <is>
          <t>Kinny Youth Performance Short Sleeve Shirt</t>
        </is>
      </c>
      <c r="D4673" s="0" t="inlineStr">
        <is>
          <t>'107203</t>
        </is>
      </c>
      <c r="E4673" s="0" t="inlineStr">
        <is>
          <t>WYOMING KINNY:107203D-YL</t>
        </is>
      </c>
      <c r="F4673" s="0" t="inlineStr">
        <is>
          <t>'800107203010</t>
        </is>
      </c>
      <c r="G4673" s="0" t="inlineStr">
        <is>
          <t>YOUTH</t>
        </is>
      </c>
      <c r="H4673" s="0" t="inlineStr">
        <is>
          <t>YL</t>
        </is>
      </c>
      <c r="I4673" s="0">
        <v>24.99</v>
      </c>
      <c r="J4673" s="0">
        <v>16</v>
      </c>
    </row>
    <row r="4674" spans="1:10" customHeight="0">
      <c r="A4674" s="0">
        <f>HYPERLINK("https://dl.dropboxusercontent.com/scl/fi/a7sv17n8bf03425axq5yo/kinny.jpg?rlkey=9bieccxb590k78anxauli2nt6&amp;dl=0","Click to download Image")</f>
      </c>
      <c r="C4674" s="0" t="inlineStr">
        <is>
          <t>Kinny Youth Performance Short Sleeve Shirt</t>
        </is>
      </c>
      <c r="D4674" s="0" t="inlineStr">
        <is>
          <t>'107203</t>
        </is>
      </c>
      <c r="E4674" s="0" t="inlineStr">
        <is>
          <t>WYOMING KINNY:107203E-YXL</t>
        </is>
      </c>
      <c r="F4674" s="0" t="inlineStr">
        <is>
          <t>'800107203010</t>
        </is>
      </c>
      <c r="G4674" s="0" t="inlineStr">
        <is>
          <t>YOUTH</t>
        </is>
      </c>
      <c r="H4674" s="0" t="inlineStr">
        <is>
          <t>YXL</t>
        </is>
      </c>
      <c r="I4674" s="0">
        <v>24.99</v>
      </c>
      <c r="J4674" s="0">
        <v>16</v>
      </c>
    </row>
    <row r="4675" spans="1:10" customHeight="0">
      <c r="A4675" s="0">
        <f>HYPERLINK("https://dl.dropboxusercontent.com/scl/fi/ba0a8dgu996ktdh4xkyl8/107200-af.jpg?rlkey=lyhvbllx6h6mt3szu5lpds8cq&amp;dl=0","Click to download Image")</f>
      </c>
      <c r="C4675" s="0" t="inlineStr">
        <is>
          <t>Kenna Women's Performance Long Sleeve Shirt</t>
        </is>
      </c>
      <c r="D4675" s="0" t="inlineStr">
        <is>
          <t>'107200</t>
        </is>
      </c>
      <c r="E4675" s="0" t="inlineStr">
        <is>
          <t>WYOMING KENNA:107200B-M</t>
        </is>
      </c>
      <c r="F4675" s="0" t="inlineStr">
        <is>
          <t>'800107200019</t>
        </is>
      </c>
      <c r="G4675" s="0" t="inlineStr">
        <is>
          <t>WOMENS</t>
        </is>
      </c>
      <c r="H4675" s="0" t="inlineStr">
        <is>
          <t>M</t>
        </is>
      </c>
      <c r="I4675" s="0">
        <v>29.99</v>
      </c>
      <c r="J4675" s="0">
        <v>16</v>
      </c>
    </row>
    <row r="4676" spans="1:10" customHeight="0">
      <c r="A4676" s="0">
        <f>HYPERLINK("https://dl.dropboxusercontent.com/scl/fi/ba0a8dgu996ktdh4xkyl8/107200-af.jpg?rlkey=lyhvbllx6h6mt3szu5lpds8cq&amp;dl=0","Click to download Image")</f>
      </c>
      <c r="C4676" s="0" t="inlineStr">
        <is>
          <t>Kenna Women's Performance Long Sleeve Shirt</t>
        </is>
      </c>
      <c r="D4676" s="0" t="inlineStr">
        <is>
          <t>'107200</t>
        </is>
      </c>
      <c r="E4676" s="0" t="inlineStr">
        <is>
          <t>WYOMING KENNA:107200C-L</t>
        </is>
      </c>
      <c r="F4676" s="0" t="inlineStr">
        <is>
          <t>'800107200019</t>
        </is>
      </c>
      <c r="G4676" s="0" t="inlineStr">
        <is>
          <t>WOMENS</t>
        </is>
      </c>
      <c r="H4676" s="0" t="inlineStr">
        <is>
          <t>L</t>
        </is>
      </c>
      <c r="I4676" s="0">
        <v>29.99</v>
      </c>
      <c r="J4676" s="0">
        <v>16</v>
      </c>
    </row>
    <row r="4677" spans="1:10" customHeight="0">
      <c r="A4677" s="0">
        <f>HYPERLINK("https://dl.dropboxusercontent.com/scl/fi/ba0a8dgu996ktdh4xkyl8/107200-af.jpg?rlkey=lyhvbllx6h6mt3szu5lpds8cq&amp;dl=0","Click to download Image")</f>
      </c>
      <c r="C4677" s="0" t="inlineStr">
        <is>
          <t>Kenna Women's Performance Long Sleeve Shirt</t>
        </is>
      </c>
      <c r="D4677" s="0" t="inlineStr">
        <is>
          <t>'107200</t>
        </is>
      </c>
      <c r="E4677" s="0" t="inlineStr">
        <is>
          <t>WYOMING KENNA:107200D-XL</t>
        </is>
      </c>
      <c r="F4677" s="0" t="inlineStr">
        <is>
          <t>'800107200019</t>
        </is>
      </c>
      <c r="G4677" s="0" t="inlineStr">
        <is>
          <t>WOMENS</t>
        </is>
      </c>
      <c r="H4677" s="0" t="inlineStr">
        <is>
          <t>XL</t>
        </is>
      </c>
      <c r="I4677" s="0">
        <v>29.99</v>
      </c>
      <c r="J4677" s="0">
        <v>16</v>
      </c>
    </row>
    <row r="4678" spans="1:10" customHeight="0">
      <c r="A4678" s="0">
        <f>HYPERLINK("https://dl.dropboxusercontent.com/scl/fi/ba0a8dgu996ktdh4xkyl8/107200-af.jpg?rlkey=lyhvbllx6h6mt3szu5lpds8cq&amp;dl=0","Click to download Image")</f>
      </c>
      <c r="C4678" s="0" t="inlineStr">
        <is>
          <t>Kenna Women's Performance Long Sleeve Shirt</t>
        </is>
      </c>
      <c r="D4678" s="0" t="inlineStr">
        <is>
          <t>'107200</t>
        </is>
      </c>
      <c r="E4678" s="0" t="inlineStr">
        <is>
          <t>WYOMING KENNA:107200E-2XL</t>
        </is>
      </c>
      <c r="F4678" s="0" t="inlineStr">
        <is>
          <t>'800107200019</t>
        </is>
      </c>
      <c r="G4678" s="0" t="inlineStr">
        <is>
          <t>WOMENS</t>
        </is>
      </c>
      <c r="H4678" s="0" t="inlineStr">
        <is>
          <t>2XL</t>
        </is>
      </c>
      <c r="I4678" s="0">
        <v>31.99</v>
      </c>
      <c r="J4678" s="0">
        <v>16</v>
      </c>
    </row>
    <row r="4679" spans="1:10" customHeight="0">
      <c r="A4679" s="0">
        <f>HYPERLINK("https://dl.dropboxusercontent.com/scl/fi/v2bt4sge9htgehkwxc57o/105585-f.jpg?rlkey=le6f774lj5d2mzeligwq1933z&amp;dl=0","Click to download Image")</f>
      </c>
      <c r="C4679" s="0" t="inlineStr">
        <is>
          <t>Kenna Women's Performance Long Sleeve Shirt</t>
        </is>
      </c>
      <c r="D4679" s="0" t="inlineStr">
        <is>
          <t>'105585</t>
        </is>
      </c>
      <c r="E4679" s="0" t="inlineStr">
        <is>
          <t>KENNA:105585A-S</t>
        </is>
      </c>
      <c r="F4679" s="0" t="inlineStr">
        <is>
          <t>'000000000000</t>
        </is>
      </c>
      <c r="G4679" s="0" t="inlineStr">
        <is>
          <t>WOMENS</t>
        </is>
      </c>
      <c r="H4679" s="0" t="inlineStr">
        <is>
          <t>S</t>
        </is>
      </c>
      <c r="I4679" s="0">
        <v>29.99</v>
      </c>
      <c r="J4679" s="0">
        <v>18</v>
      </c>
    </row>
    <row r="4680" spans="1:10" customHeight="0">
      <c r="A4680" s="0">
        <f>HYPERLINK("https://dl.dropboxusercontent.com/scl/fi/v2bt4sge9htgehkwxc57o/105585-f.jpg?rlkey=le6f774lj5d2mzeligwq1933z&amp;dl=0","Click to download Image")</f>
      </c>
      <c r="C4680" s="0" t="inlineStr">
        <is>
          <t>Kenna Women's Performance Long Sleeve Shirt</t>
        </is>
      </c>
      <c r="D4680" s="0" t="inlineStr">
        <is>
          <t>'105585</t>
        </is>
      </c>
      <c r="E4680" s="0" t="inlineStr">
        <is>
          <t>KENNA:105585B-M</t>
        </is>
      </c>
      <c r="F4680" s="0" t="inlineStr">
        <is>
          <t>'000000000000</t>
        </is>
      </c>
      <c r="G4680" s="0" t="inlineStr">
        <is>
          <t>WOMENS</t>
        </is>
      </c>
      <c r="H4680" s="0" t="inlineStr">
        <is>
          <t>M</t>
        </is>
      </c>
      <c r="I4680" s="0">
        <v>29.99</v>
      </c>
      <c r="J4680" s="0">
        <v>8</v>
      </c>
    </row>
    <row r="4681" spans="1:10" customHeight="0">
      <c r="A4681" s="0">
        <f>HYPERLINK("https://dl.dropboxusercontent.com/scl/fi/v2bt4sge9htgehkwxc57o/105585-f.jpg?rlkey=le6f774lj5d2mzeligwq1933z&amp;dl=0","Click to download Image")</f>
      </c>
      <c r="C4681" s="0" t="inlineStr">
        <is>
          <t>Kenna Women's Performance Long Sleeve Shirt</t>
        </is>
      </c>
      <c r="D4681" s="0" t="inlineStr">
        <is>
          <t>'105585</t>
        </is>
      </c>
      <c r="E4681" s="0" t="inlineStr">
        <is>
          <t>KENNA:105585D-XL</t>
        </is>
      </c>
      <c r="F4681" s="0" t="inlineStr">
        <is>
          <t>'000000000000</t>
        </is>
      </c>
      <c r="G4681" s="0" t="inlineStr">
        <is>
          <t>WOMENS</t>
        </is>
      </c>
      <c r="H4681" s="0" t="inlineStr">
        <is>
          <t>XL</t>
        </is>
      </c>
      <c r="I4681" s="0">
        <v>29.99</v>
      </c>
      <c r="J4681" s="0">
        <v>4</v>
      </c>
    </row>
    <row r="4682" spans="1:10" customHeight="0">
      <c r="A4682" s="0">
        <f>HYPERLINK("https://dl.dropboxusercontent.com/scl/fi/v2bt4sge9htgehkwxc57o/105585-f.jpg?rlkey=le6f774lj5d2mzeligwq1933z&amp;dl=0","Click to download Image")</f>
      </c>
      <c r="C4682" s="0" t="inlineStr">
        <is>
          <t>Kenna Women's Performance Long Sleeve Shirt</t>
        </is>
      </c>
      <c r="D4682" s="0" t="inlineStr">
        <is>
          <t>'105585</t>
        </is>
      </c>
      <c r="E4682" s="0" t="inlineStr">
        <is>
          <t>KENNA:105585E-2XL</t>
        </is>
      </c>
      <c r="F4682" s="0" t="inlineStr">
        <is>
          <t>'000000000000</t>
        </is>
      </c>
      <c r="G4682" s="0" t="inlineStr">
        <is>
          <t>WOMENS</t>
        </is>
      </c>
      <c r="H4682" s="0" t="inlineStr">
        <is>
          <t>2XL</t>
        </is>
      </c>
      <c r="I4682" s="0">
        <v>31.99</v>
      </c>
      <c r="J4682" s="0">
        <v>7</v>
      </c>
    </row>
    <row r="4683" spans="1:10" customHeight="0">
      <c r="A4683" s="0">
        <f>HYPERLINK("https://dl.dropboxusercontent.com/scl/fi/da2rjkzqrg7bbcy5ewd25/105608f.jpg?rlkey=tkqf6auhkczl0g8grs0x50nrm&amp;dl=0","Click to download Image")</f>
      </c>
      <c r="C4683" s="0" t="inlineStr">
        <is>
          <t>Kenna Women's Performance Long Sleeve Shirt</t>
        </is>
      </c>
      <c r="D4683" s="0" t="inlineStr">
        <is>
          <t>'105608</t>
        </is>
      </c>
      <c r="E4683" s="0" t="inlineStr">
        <is>
          <t>KENNA:105608A-S</t>
        </is>
      </c>
      <c r="F4683" s="0" t="inlineStr">
        <is>
          <t>'000000000000</t>
        </is>
      </c>
      <c r="G4683" s="0" t="inlineStr">
        <is>
          <t>WOMENS</t>
        </is>
      </c>
      <c r="H4683" s="0" t="inlineStr">
        <is>
          <t>S</t>
        </is>
      </c>
      <c r="I4683" s="0">
        <v>29.99</v>
      </c>
      <c r="J4683" s="0">
        <v>35</v>
      </c>
    </row>
    <row r="4684" spans="1:10" customHeight="0">
      <c r="A4684" s="0">
        <f>HYPERLINK("https://dl.dropboxusercontent.com/scl/fi/da2rjkzqrg7bbcy5ewd25/105608f.jpg?rlkey=tkqf6auhkczl0g8grs0x50nrm&amp;dl=0","Click to download Image")</f>
      </c>
      <c r="C4684" s="0" t="inlineStr">
        <is>
          <t>Kenna Women's Performance Long Sleeve Shirt</t>
        </is>
      </c>
      <c r="D4684" s="0" t="inlineStr">
        <is>
          <t>'105608</t>
        </is>
      </c>
      <c r="E4684" s="0" t="inlineStr">
        <is>
          <t>KENNA:105608B-M</t>
        </is>
      </c>
      <c r="F4684" s="0" t="inlineStr">
        <is>
          <t>'000000000000</t>
        </is>
      </c>
      <c r="G4684" s="0" t="inlineStr">
        <is>
          <t>WOMENS</t>
        </is>
      </c>
      <c r="H4684" s="0" t="inlineStr">
        <is>
          <t>M</t>
        </is>
      </c>
      <c r="I4684" s="0">
        <v>29.99</v>
      </c>
      <c r="J4684" s="0">
        <v>26</v>
      </c>
    </row>
    <row r="4685" spans="1:10" customHeight="0">
      <c r="A4685" s="0">
        <f>HYPERLINK("https://dl.dropboxusercontent.com/scl/fi/da2rjkzqrg7bbcy5ewd25/105608f.jpg?rlkey=tkqf6auhkczl0g8grs0x50nrm&amp;dl=0","Click to download Image")</f>
      </c>
      <c r="C4685" s="0" t="inlineStr">
        <is>
          <t>Kenna Women's Performance Long Sleeve Shirt</t>
        </is>
      </c>
      <c r="D4685" s="0" t="inlineStr">
        <is>
          <t>'105608</t>
        </is>
      </c>
      <c r="E4685" s="0" t="inlineStr">
        <is>
          <t>KENNA:105608C-L</t>
        </is>
      </c>
      <c r="F4685" s="0" t="inlineStr">
        <is>
          <t>'000000000000</t>
        </is>
      </c>
      <c r="G4685" s="0" t="inlineStr">
        <is>
          <t>WOMENS</t>
        </is>
      </c>
      <c r="H4685" s="0" t="inlineStr">
        <is>
          <t>L</t>
        </is>
      </c>
      <c r="I4685" s="0">
        <v>29.99</v>
      </c>
      <c r="J4685" s="0">
        <v>31</v>
      </c>
    </row>
    <row r="4686" spans="1:10" customHeight="0">
      <c r="A4686" s="0">
        <f>HYPERLINK("https://dl.dropboxusercontent.com/scl/fi/da2rjkzqrg7bbcy5ewd25/105608f.jpg?rlkey=tkqf6auhkczl0g8grs0x50nrm&amp;dl=0","Click to download Image")</f>
      </c>
      <c r="C4686" s="0" t="inlineStr">
        <is>
          <t>Kenna Women's Performance Long Sleeve Shirt</t>
        </is>
      </c>
      <c r="D4686" s="0" t="inlineStr">
        <is>
          <t>'105608</t>
        </is>
      </c>
      <c r="E4686" s="0" t="inlineStr">
        <is>
          <t>KENNA:105608D-XL</t>
        </is>
      </c>
      <c r="F4686" s="0" t="inlineStr">
        <is>
          <t>'000000000000</t>
        </is>
      </c>
      <c r="G4686" s="0" t="inlineStr">
        <is>
          <t>WOMENS</t>
        </is>
      </c>
      <c r="H4686" s="0" t="inlineStr">
        <is>
          <t>XL</t>
        </is>
      </c>
      <c r="I4686" s="0">
        <v>29.99</v>
      </c>
      <c r="J4686" s="0">
        <v>47</v>
      </c>
    </row>
    <row r="4687" spans="1:10" customHeight="0">
      <c r="A4687" s="0">
        <f>HYPERLINK("https://dl.dropboxusercontent.com/scl/fi/da2rjkzqrg7bbcy5ewd25/105608f.jpg?rlkey=tkqf6auhkczl0g8grs0x50nrm&amp;dl=0","Click to download Image")</f>
      </c>
      <c r="C4687" s="0" t="inlineStr">
        <is>
          <t>Kenna Women's Performance Long Sleeve Shirt</t>
        </is>
      </c>
      <c r="D4687" s="0" t="inlineStr">
        <is>
          <t>'105608</t>
        </is>
      </c>
      <c r="E4687" s="0" t="inlineStr">
        <is>
          <t>KENNA:105608E-2XL</t>
        </is>
      </c>
      <c r="F4687" s="0" t="inlineStr">
        <is>
          <t>'000000000000</t>
        </is>
      </c>
      <c r="G4687" s="0" t="inlineStr">
        <is>
          <t>WOMENS</t>
        </is>
      </c>
      <c r="H4687" s="0" t="inlineStr">
        <is>
          <t>2XL</t>
        </is>
      </c>
      <c r="I4687" s="0">
        <v>31.99</v>
      </c>
      <c r="J4687" s="0">
        <v>50</v>
      </c>
    </row>
    <row r="4688" spans="1:10" customHeight="0">
      <c r="A4688" s="0">
        <f>HYPERLINK("https://dl.dropboxusercontent.com/scl/fi/da2rjkzqrg7bbcy5ewd25/105608f.jpg?rlkey=tkqf6auhkczl0g8grs0x50nrm&amp;dl=0","Click to download Image")</f>
      </c>
      <c r="C4688" s="0" t="inlineStr">
        <is>
          <t>Kenna Women's Performance Long Sleeve Shirt</t>
        </is>
      </c>
      <c r="D4688" s="0" t="inlineStr">
        <is>
          <t>'105608</t>
        </is>
      </c>
      <c r="E4688" s="0" t="inlineStr">
        <is>
          <t>KENNA:105608F-3XL</t>
        </is>
      </c>
      <c r="F4688" s="0" t="inlineStr">
        <is>
          <t>'000000000000</t>
        </is>
      </c>
      <c r="G4688" s="0" t="inlineStr">
        <is>
          <t>WOMENS</t>
        </is>
      </c>
      <c r="H4688" s="0" t="inlineStr">
        <is>
          <t>3XL</t>
        </is>
      </c>
      <c r="I4688" s="0">
        <v>31.99</v>
      </c>
      <c r="J4688" s="0">
        <v>9</v>
      </c>
    </row>
    <row r="4689" spans="1:10" customHeight="0">
      <c r="A4689" s="0">
        <f>HYPERLINK("https://dl.dropboxusercontent.com/scl/fi/kzd183berxn5q8d27vi9o/107195-f.jpg?rlkey=95pcawy3styd716f93smgeix6&amp;dl=0","Click to download Image")</f>
      </c>
      <c r="C4689" s="0" t="inlineStr">
        <is>
          <t>Welker Men's Performance Short Sleeve Shirt</t>
        </is>
      </c>
      <c r="D4689" s="0" t="inlineStr">
        <is>
          <t>'107195</t>
        </is>
      </c>
      <c r="E4689" s="0" t="inlineStr">
        <is>
          <t>WYOMING WELKER:107195B-M</t>
        </is>
      </c>
      <c r="F4689" s="0" t="inlineStr">
        <is>
          <t>'800107195018</t>
        </is>
      </c>
      <c r="G4689" s="0" t="inlineStr">
        <is>
          <t>MENS</t>
        </is>
      </c>
      <c r="H4689" s="0" t="inlineStr">
        <is>
          <t>M</t>
        </is>
      </c>
      <c r="I4689" s="0">
        <v>32</v>
      </c>
      <c r="J4689" s="0">
        <v>12</v>
      </c>
    </row>
    <row r="4690" spans="1:10" customHeight="0">
      <c r="A4690" s="0">
        <f>HYPERLINK("https://dl.dropboxusercontent.com/scl/fi/kzd183berxn5q8d27vi9o/107195-f.jpg?rlkey=95pcawy3styd716f93smgeix6&amp;dl=0","Click to download Image")</f>
      </c>
      <c r="C4690" s="0" t="inlineStr">
        <is>
          <t>Welker Men's Performance Short Sleeve Shirt</t>
        </is>
      </c>
      <c r="D4690" s="0" t="inlineStr">
        <is>
          <t>'107195</t>
        </is>
      </c>
      <c r="E4690" s="0" t="inlineStr">
        <is>
          <t>WYOMING WELKER:107195C-L</t>
        </is>
      </c>
      <c r="F4690" s="0" t="inlineStr">
        <is>
          <t>'800107195018</t>
        </is>
      </c>
      <c r="G4690" s="0" t="inlineStr">
        <is>
          <t>MENS</t>
        </is>
      </c>
      <c r="H4690" s="0" t="inlineStr">
        <is>
          <t>L</t>
        </is>
      </c>
      <c r="I4690" s="0">
        <v>32</v>
      </c>
      <c r="J4690" s="0">
        <v>12</v>
      </c>
    </row>
    <row r="4691" spans="1:10" customHeight="0">
      <c r="A4691" s="0">
        <f>HYPERLINK("https://dl.dropboxusercontent.com/scl/fi/kzd183berxn5q8d27vi9o/107195-f.jpg?rlkey=95pcawy3styd716f93smgeix6&amp;dl=0","Click to download Image")</f>
      </c>
      <c r="C4691" s="0" t="inlineStr">
        <is>
          <t>Welker Men's Performance Short Sleeve Shirt</t>
        </is>
      </c>
      <c r="D4691" s="0" t="inlineStr">
        <is>
          <t>'107195</t>
        </is>
      </c>
      <c r="E4691" s="0" t="inlineStr">
        <is>
          <t>WYOMING WELKER:107195D-XL</t>
        </is>
      </c>
      <c r="F4691" s="0" t="inlineStr">
        <is>
          <t>'800107195018</t>
        </is>
      </c>
      <c r="G4691" s="0" t="inlineStr">
        <is>
          <t>MENS</t>
        </is>
      </c>
      <c r="H4691" s="0" t="inlineStr">
        <is>
          <t>XL</t>
        </is>
      </c>
      <c r="I4691" s="0">
        <v>32</v>
      </c>
      <c r="J4691" s="0">
        <v>12</v>
      </c>
    </row>
    <row r="4692" spans="1:10" customHeight="0">
      <c r="A4692" s="0">
        <f>HYPERLINK("https://dl.dropboxusercontent.com/scl/fi/kzd183berxn5q8d27vi9o/107195-f.jpg?rlkey=95pcawy3styd716f93smgeix6&amp;dl=0","Click to download Image")</f>
      </c>
      <c r="C4692" s="0" t="inlineStr">
        <is>
          <t>Welker Men's Performance Short Sleeve Shirt</t>
        </is>
      </c>
      <c r="D4692" s="0" t="inlineStr">
        <is>
          <t>'107195</t>
        </is>
      </c>
      <c r="E4692" s="0" t="inlineStr">
        <is>
          <t>WYOMING WELKER:107195E-2XL</t>
        </is>
      </c>
      <c r="F4692" s="0" t="inlineStr">
        <is>
          <t>'800107195018</t>
        </is>
      </c>
      <c r="G4692" s="0" t="inlineStr">
        <is>
          <t>MENS</t>
        </is>
      </c>
      <c r="H4692" s="0" t="inlineStr">
        <is>
          <t>2XL</t>
        </is>
      </c>
      <c r="I4692" s="0">
        <v>34</v>
      </c>
      <c r="J4692" s="0">
        <v>12</v>
      </c>
    </row>
    <row r="4693" spans="1:10" customHeight="0">
      <c r="A4693" s="0">
        <f>HYPERLINK("https://dl.dropboxusercontent.com/scl/fi/t528tp8q640ix3jlbouen/107196-f.jpg?rlkey=j4m30oe84s56dnov1thg2c60n&amp;dl=0","Click to download Image")</f>
      </c>
      <c r="C4693" s="0" t="inlineStr">
        <is>
          <t>Welker Men's Performance Short Sleeve Shirt</t>
        </is>
      </c>
      <c r="D4693" s="0" t="inlineStr">
        <is>
          <t>'107196</t>
        </is>
      </c>
      <c r="E4693" s="0" t="inlineStr">
        <is>
          <t>WYOMING WELKER ALT:107196B-M</t>
        </is>
      </c>
      <c r="F4693" s="0" t="inlineStr">
        <is>
          <t>'800107196015</t>
        </is>
      </c>
      <c r="G4693" s="0" t="inlineStr">
        <is>
          <t>MENS</t>
        </is>
      </c>
      <c r="H4693" s="0" t="inlineStr">
        <is>
          <t>M</t>
        </is>
      </c>
      <c r="I4693" s="0">
        <v>32</v>
      </c>
      <c r="J4693" s="0">
        <v>12</v>
      </c>
    </row>
    <row r="4694" spans="1:10" customHeight="0">
      <c r="A4694" s="0">
        <f>HYPERLINK("https://dl.dropboxusercontent.com/scl/fi/t528tp8q640ix3jlbouen/107196-f.jpg?rlkey=j4m30oe84s56dnov1thg2c60n&amp;dl=0","Click to download Image")</f>
      </c>
      <c r="C4694" s="0" t="inlineStr">
        <is>
          <t>Welker Men's Performance Short Sleeve Shirt</t>
        </is>
      </c>
      <c r="D4694" s="0" t="inlineStr">
        <is>
          <t>'107196</t>
        </is>
      </c>
      <c r="E4694" s="0" t="inlineStr">
        <is>
          <t>WYOMING WELKER ALT:107196C-L</t>
        </is>
      </c>
      <c r="F4694" s="0" t="inlineStr">
        <is>
          <t>'800107196015</t>
        </is>
      </c>
      <c r="G4694" s="0" t="inlineStr">
        <is>
          <t>MENS</t>
        </is>
      </c>
      <c r="H4694" s="0" t="inlineStr">
        <is>
          <t>L</t>
        </is>
      </c>
      <c r="I4694" s="0">
        <v>32</v>
      </c>
      <c r="J4694" s="0">
        <v>12</v>
      </c>
    </row>
    <row r="4695" spans="1:10" customHeight="0">
      <c r="A4695" s="0">
        <f>HYPERLINK("https://dl.dropboxusercontent.com/scl/fi/t528tp8q640ix3jlbouen/107196-f.jpg?rlkey=j4m30oe84s56dnov1thg2c60n&amp;dl=0","Click to download Image")</f>
      </c>
      <c r="C4695" s="0" t="inlineStr">
        <is>
          <t>Welker Men's Performance Short Sleeve Shirt</t>
        </is>
      </c>
      <c r="D4695" s="0" t="inlineStr">
        <is>
          <t>'107196</t>
        </is>
      </c>
      <c r="E4695" s="0" t="inlineStr">
        <is>
          <t>WYOMING WELKER ALT:107196D-XL</t>
        </is>
      </c>
      <c r="F4695" s="0" t="inlineStr">
        <is>
          <t>'800107196015</t>
        </is>
      </c>
      <c r="G4695" s="0" t="inlineStr">
        <is>
          <t>MENS</t>
        </is>
      </c>
      <c r="H4695" s="0" t="inlineStr">
        <is>
          <t>XL</t>
        </is>
      </c>
      <c r="I4695" s="0">
        <v>32</v>
      </c>
      <c r="J4695" s="0">
        <v>12</v>
      </c>
    </row>
    <row r="4696" spans="1:10" customHeight="0">
      <c r="A4696" s="0">
        <f>HYPERLINK("https://dl.dropboxusercontent.com/scl/fi/t528tp8q640ix3jlbouen/107196-f.jpg?rlkey=j4m30oe84s56dnov1thg2c60n&amp;dl=0","Click to download Image")</f>
      </c>
      <c r="C4696" s="0" t="inlineStr">
        <is>
          <t>Welker Men's Performance Short Sleeve Shirt</t>
        </is>
      </c>
      <c r="D4696" s="0" t="inlineStr">
        <is>
          <t>'107196</t>
        </is>
      </c>
      <c r="E4696" s="0" t="inlineStr">
        <is>
          <t>WYOMING WELKER ALT:107196E-2XL</t>
        </is>
      </c>
      <c r="F4696" s="0" t="inlineStr">
        <is>
          <t>'800107196015</t>
        </is>
      </c>
      <c r="G4696" s="0" t="inlineStr">
        <is>
          <t>MENS</t>
        </is>
      </c>
      <c r="H4696" s="0" t="inlineStr">
        <is>
          <t>2XL</t>
        </is>
      </c>
      <c r="I4696" s="0">
        <v>34</v>
      </c>
      <c r="J4696" s="0">
        <v>12</v>
      </c>
    </row>
    <row r="4697" spans="1:10" customHeight="0">
      <c r="A4697" s="0">
        <f>HYPERLINK("https://dl.dropboxusercontent.com/scl/fi/yed7dgq3ttw47aukv0is5/home-is.jpg?rlkey=xxm69kcz881b1x2p21yvi2fr6&amp;dl=0","Click to download Image")</f>
      </c>
      <c r="B4697" s="0">
        <f>HYPERLINK("https://dl.dropboxusercontent.com/scl/fi/l2yr43ln6346nhos9sn83/womens-t-shirt-size-chartsmarilynn-bamboo.jpg?rlkey=19ip8a1mecdfqzeju7kf2klmg&amp;dl=0","Click to download SizeChart")</f>
      </c>
      <c r="C4697" s="0" t="inlineStr">
        <is>
          <t>"Home Is..." Marilynn V-Neck </t>
        </is>
      </c>
      <c r="D4697" s="0" t="inlineStr">
        <is>
          <t>'113850</t>
        </is>
      </c>
      <c r="E4697" s="0" t="inlineStr">
        <is>
          <t>HOME IS BLACK MARILYNN:113850A-S</t>
        </is>
      </c>
      <c r="F4697" s="0" t="inlineStr">
        <is>
          <t>'898113850045</t>
        </is>
      </c>
      <c r="G4697" s="0" t="inlineStr">
        <is>
          <t>WOMENS</t>
        </is>
      </c>
      <c r="H4697" s="0" t="inlineStr">
        <is>
          <t>S</t>
        </is>
      </c>
      <c r="I4697" s="0">
        <v>25.99</v>
      </c>
      <c r="J4697" s="0">
        <v>45</v>
      </c>
    </row>
    <row r="4698" spans="1:10" customHeight="0">
      <c r="A4698" s="0">
        <f>HYPERLINK("https://dl.dropboxusercontent.com/scl/fi/yed7dgq3ttw47aukv0is5/home-is.jpg?rlkey=xxm69kcz881b1x2p21yvi2fr6&amp;dl=0","Click to download Image")</f>
      </c>
      <c r="B4698" s="0">
        <f>HYPERLINK("https://dl.dropboxusercontent.com/scl/fi/l2yr43ln6346nhos9sn83/womens-t-shirt-size-chartsmarilynn-bamboo.jpg?rlkey=19ip8a1mecdfqzeju7kf2klmg&amp;dl=0","Click to download SizeChart")</f>
      </c>
      <c r="C4698" s="0" t="inlineStr">
        <is>
          <t>"Home Is..." Marilynn V-Neck </t>
        </is>
      </c>
      <c r="D4698" s="0" t="inlineStr">
        <is>
          <t>'113850</t>
        </is>
      </c>
      <c r="E4698" s="0" t="inlineStr">
        <is>
          <t>HOME IS BLACK MARILYNN:113850B-M</t>
        </is>
      </c>
      <c r="F4698" s="0" t="inlineStr">
        <is>
          <t>'898113850052</t>
        </is>
      </c>
      <c r="G4698" s="0" t="inlineStr">
        <is>
          <t>WOMENS</t>
        </is>
      </c>
      <c r="H4698" s="0" t="inlineStr">
        <is>
          <t>M</t>
        </is>
      </c>
      <c r="I4698" s="0">
        <v>25.99</v>
      </c>
      <c r="J4698" s="0">
        <v>44</v>
      </c>
    </row>
    <row r="4699" spans="1:10" customHeight="0">
      <c r="A4699" s="0">
        <f>HYPERLINK("https://dl.dropboxusercontent.com/scl/fi/yed7dgq3ttw47aukv0is5/home-is.jpg?rlkey=xxm69kcz881b1x2p21yvi2fr6&amp;dl=0","Click to download Image")</f>
      </c>
      <c r="B4699" s="0">
        <f>HYPERLINK("https://dl.dropboxusercontent.com/scl/fi/l2yr43ln6346nhos9sn83/womens-t-shirt-size-chartsmarilynn-bamboo.jpg?rlkey=19ip8a1mecdfqzeju7kf2klmg&amp;dl=0","Click to download SizeChart")</f>
      </c>
      <c r="C4699" s="0" t="inlineStr">
        <is>
          <t>"Home Is..." Marilynn V-Neck </t>
        </is>
      </c>
      <c r="D4699" s="0" t="inlineStr">
        <is>
          <t>'113850</t>
        </is>
      </c>
      <c r="E4699" s="0" t="inlineStr">
        <is>
          <t>HOME IS BLACK MARILYNN:113850C-L</t>
        </is>
      </c>
      <c r="F4699" s="0" t="inlineStr">
        <is>
          <t>'898113850069</t>
        </is>
      </c>
      <c r="G4699" s="0" t="inlineStr">
        <is>
          <t>WOMENS</t>
        </is>
      </c>
      <c r="H4699" s="0" t="inlineStr">
        <is>
          <t>L</t>
        </is>
      </c>
      <c r="I4699" s="0">
        <v>25.99</v>
      </c>
      <c r="J4699" s="0">
        <v>45</v>
      </c>
    </row>
    <row r="4700" spans="1:10" customHeight="0">
      <c r="A4700" s="0">
        <f>HYPERLINK("https://dl.dropboxusercontent.com/scl/fi/yed7dgq3ttw47aukv0is5/home-is.jpg?rlkey=xxm69kcz881b1x2p21yvi2fr6&amp;dl=0","Click to download Image")</f>
      </c>
      <c r="B4700" s="0">
        <f>HYPERLINK("https://dl.dropboxusercontent.com/scl/fi/l2yr43ln6346nhos9sn83/womens-t-shirt-size-chartsmarilynn-bamboo.jpg?rlkey=19ip8a1mecdfqzeju7kf2klmg&amp;dl=0","Click to download SizeChart")</f>
      </c>
      <c r="C4700" s="0" t="inlineStr">
        <is>
          <t>"Home Is..." Marilynn V-Neck </t>
        </is>
      </c>
      <c r="D4700" s="0" t="inlineStr">
        <is>
          <t>'113850</t>
        </is>
      </c>
      <c r="E4700" s="0" t="inlineStr">
        <is>
          <t>HOME IS BLACK MARILYNN:113850D-XL</t>
        </is>
      </c>
      <c r="F4700" s="0" t="inlineStr">
        <is>
          <t>'898113850076</t>
        </is>
      </c>
      <c r="G4700" s="0" t="inlineStr">
        <is>
          <t>WOMENS</t>
        </is>
      </c>
      <c r="H4700" s="0" t="inlineStr">
        <is>
          <t>XL</t>
        </is>
      </c>
      <c r="I4700" s="0">
        <v>25.99</v>
      </c>
      <c r="J4700" s="0">
        <v>43</v>
      </c>
    </row>
    <row r="4701" spans="1:10" customHeight="0">
      <c r="A4701" s="0">
        <f>HYPERLINK("https://dl.dropboxusercontent.com/scl/fi/yed7dgq3ttw47aukv0is5/home-is.jpg?rlkey=xxm69kcz881b1x2p21yvi2fr6&amp;dl=0","Click to download Image")</f>
      </c>
      <c r="B4701" s="0">
        <f>HYPERLINK("https://dl.dropboxusercontent.com/scl/fi/l2yr43ln6346nhos9sn83/womens-t-shirt-size-chartsmarilynn-bamboo.jpg?rlkey=19ip8a1mecdfqzeju7kf2klmg&amp;dl=0","Click to download SizeChart")</f>
      </c>
      <c r="C4701" s="0" t="inlineStr">
        <is>
          <t>"Home Is..." Marilynn V-Neck </t>
        </is>
      </c>
      <c r="D4701" s="0" t="inlineStr">
        <is>
          <t>'113850</t>
        </is>
      </c>
      <c r="E4701" s="0" t="inlineStr">
        <is>
          <t>HOME IS BLACK MARILYNN:113850E-2XL</t>
        </is>
      </c>
      <c r="F4701" s="0" t="inlineStr">
        <is>
          <t>'898113850083</t>
        </is>
      </c>
      <c r="G4701" s="0" t="inlineStr">
        <is>
          <t>WOMENS</t>
        </is>
      </c>
      <c r="H4701" s="0" t="inlineStr">
        <is>
          <t>2XL</t>
        </is>
      </c>
      <c r="I4701" s="0">
        <v>27.99</v>
      </c>
      <c r="J4701" s="0">
        <v>0</v>
      </c>
    </row>
    <row r="4702" spans="1:10" customHeight="0">
      <c r="A4702" s="0">
        <f>HYPERLINK("https://dl.dropboxusercontent.com/scl/fi/yed7dgq3ttw47aukv0is5/home-is.jpg?rlkey=xxm69kcz881b1x2p21yvi2fr6&amp;dl=0","Click to download Image")</f>
      </c>
      <c r="B4702" s="0">
        <f>HYPERLINK("https://dl.dropboxusercontent.com/scl/fi/l2yr43ln6346nhos9sn83/womens-t-shirt-size-chartsmarilynn-bamboo.jpg?rlkey=19ip8a1mecdfqzeju7kf2klmg&amp;dl=0","Click to download SizeChart")</f>
      </c>
      <c r="C4702" s="0" t="inlineStr">
        <is>
          <t>"Home Is..." Marilynn V-Neck </t>
        </is>
      </c>
      <c r="D4702" s="0" t="inlineStr">
        <is>
          <t>'113850</t>
        </is>
      </c>
      <c r="E4702" s="0" t="inlineStr">
        <is>
          <t>HOME IS BLACK MARILYNN:113850F-3XL</t>
        </is>
      </c>
      <c r="F4702" s="0" t="inlineStr">
        <is>
          <t>'898113850090</t>
        </is>
      </c>
      <c r="G4702" s="0" t="inlineStr">
        <is>
          <t>WOMENS</t>
        </is>
      </c>
      <c r="H4702" s="0" t="inlineStr">
        <is>
          <t>3XL</t>
        </is>
      </c>
      <c r="I4702" s="0">
        <v>27.99</v>
      </c>
      <c r="J4702" s="0">
        <v>0</v>
      </c>
    </row>
    <row r="4703" spans="1:10" customHeight="0">
      <c r="A4703" s="0">
        <f>HYPERLINK("https://dl.dropboxusercontent.com/scl/fi/ndof1suc05q1vj2x0mlbf/isu.jpg?rlkey=c4tv0bjqgw8spfb8tp1v9e0rb&amp;dl=0","Click to download Image")</f>
      </c>
      <c r="B4703" s="0">
        <f>HYPERLINK("https://dl.dropboxusercontent.com/scl/fi/e4awf2yk81vydkrp725wd/womens-t-shirt-size-chartsmarilynn-bamboo.jpg?rlkey=50tk09fw7jrr6eg6cec0tmn3u&amp;dl=0","Click to download SizeChart")</f>
      </c>
      <c r="C4703" s="0" t="inlineStr">
        <is>
          <t>"Have My Heart" Marilynn V-Neck</t>
        </is>
      </c>
      <c r="D4703" s="0" t="inlineStr">
        <is>
          <t>'113848</t>
        </is>
      </c>
      <c r="E4703" s="0" t="inlineStr">
        <is>
          <t>ISU HAVE MY HEART:113848A-S</t>
        </is>
      </c>
      <c r="F4703" s="0" t="inlineStr">
        <is>
          <t>'801113848042</t>
        </is>
      </c>
      <c r="G4703" s="0" t="inlineStr">
        <is>
          <t>WOMENS</t>
        </is>
      </c>
      <c r="H4703" s="0" t="inlineStr">
        <is>
          <t>S</t>
        </is>
      </c>
      <c r="I4703" s="0">
        <v>29.99</v>
      </c>
      <c r="J4703" s="0">
        <v>28</v>
      </c>
    </row>
    <row r="4704" spans="1:10" customHeight="0">
      <c r="A4704" s="0">
        <f>HYPERLINK("https://dl.dropboxusercontent.com/scl/fi/ndof1suc05q1vj2x0mlbf/isu.jpg?rlkey=c4tv0bjqgw8spfb8tp1v9e0rb&amp;dl=0","Click to download Image")</f>
      </c>
      <c r="B4704" s="0">
        <f>HYPERLINK("https://dl.dropboxusercontent.com/scl/fi/e4awf2yk81vydkrp725wd/womens-t-shirt-size-chartsmarilynn-bamboo.jpg?rlkey=50tk09fw7jrr6eg6cec0tmn3u&amp;dl=0","Click to download SizeChart")</f>
      </c>
      <c r="C4704" s="0" t="inlineStr">
        <is>
          <t>"Have My Heart" Marilynn V-Neck</t>
        </is>
      </c>
      <c r="D4704" s="0" t="inlineStr">
        <is>
          <t>'113848</t>
        </is>
      </c>
      <c r="E4704" s="0" t="inlineStr">
        <is>
          <t>ISU HAVE MY HEART:113848B-M</t>
        </is>
      </c>
      <c r="F4704" s="0" t="inlineStr">
        <is>
          <t>'801113848059</t>
        </is>
      </c>
      <c r="G4704" s="0" t="inlineStr">
        <is>
          <t>WOMENS</t>
        </is>
      </c>
      <c r="H4704" s="0" t="inlineStr">
        <is>
          <t>M</t>
        </is>
      </c>
      <c r="I4704" s="0">
        <v>29.99</v>
      </c>
      <c r="J4704" s="0">
        <v>26</v>
      </c>
    </row>
    <row r="4705" spans="1:10" customHeight="0">
      <c r="A4705" s="0">
        <f>HYPERLINK("https://dl.dropboxusercontent.com/scl/fi/ndof1suc05q1vj2x0mlbf/isu.jpg?rlkey=c4tv0bjqgw8spfb8tp1v9e0rb&amp;dl=0","Click to download Image")</f>
      </c>
      <c r="B4705" s="0">
        <f>HYPERLINK("https://dl.dropboxusercontent.com/scl/fi/e4awf2yk81vydkrp725wd/womens-t-shirt-size-chartsmarilynn-bamboo.jpg?rlkey=50tk09fw7jrr6eg6cec0tmn3u&amp;dl=0","Click to download SizeChart")</f>
      </c>
      <c r="C4705" s="0" t="inlineStr">
        <is>
          <t>"Have My Heart" Marilynn V-Neck</t>
        </is>
      </c>
      <c r="D4705" s="0" t="inlineStr">
        <is>
          <t>'113848</t>
        </is>
      </c>
      <c r="E4705" s="0" t="inlineStr">
        <is>
          <t>ISU HAVE MY HEART:113848C-L</t>
        </is>
      </c>
      <c r="F4705" s="0" t="inlineStr">
        <is>
          <t>'801113848066</t>
        </is>
      </c>
      <c r="G4705" s="0" t="inlineStr">
        <is>
          <t>WOMENS</t>
        </is>
      </c>
      <c r="H4705" s="0" t="inlineStr">
        <is>
          <t>L</t>
        </is>
      </c>
      <c r="I4705" s="0">
        <v>29.99</v>
      </c>
      <c r="J4705" s="0">
        <v>27</v>
      </c>
    </row>
    <row r="4706" spans="1:10" customHeight="0">
      <c r="A4706" s="0">
        <f>HYPERLINK("https://dl.dropboxusercontent.com/scl/fi/ndof1suc05q1vj2x0mlbf/isu.jpg?rlkey=c4tv0bjqgw8spfb8tp1v9e0rb&amp;dl=0","Click to download Image")</f>
      </c>
      <c r="B4706" s="0">
        <f>HYPERLINK("https://dl.dropboxusercontent.com/scl/fi/e4awf2yk81vydkrp725wd/womens-t-shirt-size-chartsmarilynn-bamboo.jpg?rlkey=50tk09fw7jrr6eg6cec0tmn3u&amp;dl=0","Click to download SizeChart")</f>
      </c>
      <c r="C4706" s="0" t="inlineStr">
        <is>
          <t>"Have My Heart" Marilynn V-Neck</t>
        </is>
      </c>
      <c r="D4706" s="0" t="inlineStr">
        <is>
          <t>'113848</t>
        </is>
      </c>
      <c r="E4706" s="0" t="inlineStr">
        <is>
          <t>ISU HAVE MY HEART:113848D-XL</t>
        </is>
      </c>
      <c r="F4706" s="0" t="inlineStr">
        <is>
          <t>'801113848073</t>
        </is>
      </c>
      <c r="G4706" s="0" t="inlineStr">
        <is>
          <t>WOMENS</t>
        </is>
      </c>
      <c r="H4706" s="0" t="inlineStr">
        <is>
          <t>XL</t>
        </is>
      </c>
      <c r="I4706" s="0">
        <v>29.99</v>
      </c>
      <c r="J4706" s="0">
        <v>30</v>
      </c>
    </row>
    <row r="4707" spans="1:10" customHeight="0">
      <c r="A4707" s="0">
        <f>HYPERLINK("https://dl.dropboxusercontent.com/scl/fi/ndof1suc05q1vj2x0mlbf/isu.jpg?rlkey=c4tv0bjqgw8spfb8tp1v9e0rb&amp;dl=0","Click to download Image")</f>
      </c>
      <c r="B4707" s="0">
        <f>HYPERLINK("https://dl.dropboxusercontent.com/scl/fi/e4awf2yk81vydkrp725wd/womens-t-shirt-size-chartsmarilynn-bamboo.jpg?rlkey=50tk09fw7jrr6eg6cec0tmn3u&amp;dl=0","Click to download SizeChart")</f>
      </c>
      <c r="C4707" s="0" t="inlineStr">
        <is>
          <t>"Have My Heart" Marilynn V-Neck</t>
        </is>
      </c>
      <c r="D4707" s="0" t="inlineStr">
        <is>
          <t>'113848</t>
        </is>
      </c>
      <c r="E4707" s="0" t="inlineStr">
        <is>
          <t>ISU HAVE MY HEART:113848E-2XL</t>
        </is>
      </c>
      <c r="F4707" s="0" t="inlineStr">
        <is>
          <t>'801113848080</t>
        </is>
      </c>
      <c r="G4707" s="0" t="inlineStr">
        <is>
          <t>WOMENS</t>
        </is>
      </c>
      <c r="H4707" s="0" t="inlineStr">
        <is>
          <t>2XL</t>
        </is>
      </c>
      <c r="I4707" s="0">
        <v>29.99</v>
      </c>
      <c r="J4707" s="0">
        <v>0</v>
      </c>
    </row>
    <row r="4708" spans="1:10" customHeight="0">
      <c r="A4708" s="0">
        <f>HYPERLINK("https://dl.dropboxusercontent.com/scl/fi/ndof1suc05q1vj2x0mlbf/isu.jpg?rlkey=c4tv0bjqgw8spfb8tp1v9e0rb&amp;dl=0","Click to download Image")</f>
      </c>
      <c r="B4708" s="0">
        <f>HYPERLINK("https://dl.dropboxusercontent.com/scl/fi/e4awf2yk81vydkrp725wd/womens-t-shirt-size-chartsmarilynn-bamboo.jpg?rlkey=50tk09fw7jrr6eg6cec0tmn3u&amp;dl=0","Click to download SizeChart")</f>
      </c>
      <c r="C4708" s="0" t="inlineStr">
        <is>
          <t>"Have My Heart" Marilynn V-Neck</t>
        </is>
      </c>
      <c r="D4708" s="0" t="inlineStr">
        <is>
          <t>'113848</t>
        </is>
      </c>
      <c r="E4708" s="0" t="inlineStr">
        <is>
          <t>ISU HAVE MY HEART:113848F-3XL</t>
        </is>
      </c>
      <c r="F4708" s="0" t="inlineStr">
        <is>
          <t>'801113848097</t>
        </is>
      </c>
      <c r="G4708" s="0" t="inlineStr">
        <is>
          <t>WOMENS</t>
        </is>
      </c>
      <c r="H4708" s="0" t="inlineStr">
        <is>
          <t>3XL</t>
        </is>
      </c>
      <c r="I4708" s="0">
        <v>29.99</v>
      </c>
      <c r="J4708" s="0">
        <v>0</v>
      </c>
    </row>
    <row r="4709" spans="1:10" customHeight="0">
      <c r="A4709" s="0">
        <f>HYPERLINK("https://dl.dropboxusercontent.com/scl/fi/kg92lzf5lbfyzvgs10wvm/uni.jpg?rlkey=62l15j73sxr9mff0swwoxrxgq&amp;dl=0","Click to download Image")</f>
      </c>
      <c r="B4709" s="0">
        <f>HYPERLINK("https://dl.dropboxusercontent.com/scl/fi/e4awf2yk81vydkrp725wd/womens-t-shirt-size-chartsmarilynn-bamboo.jpg?rlkey=50tk09fw7jrr6eg6cec0tmn3u&amp;dl=0","Click to download SizeChart")</f>
      </c>
      <c r="C4709" s="0" t="inlineStr">
        <is>
          <t>"Have My Heart" Marilynn V-Neck</t>
        </is>
      </c>
      <c r="D4709" s="0" t="inlineStr">
        <is>
          <t>'113849</t>
        </is>
      </c>
      <c r="E4709" s="0" t="inlineStr">
        <is>
          <t>UNI HAVE MY HEART:113849A-S</t>
        </is>
      </c>
      <c r="F4709" s="0" t="inlineStr">
        <is>
          <t>'802113849046</t>
        </is>
      </c>
      <c r="G4709" s="0" t="inlineStr">
        <is>
          <t>WOMENS</t>
        </is>
      </c>
      <c r="H4709" s="0" t="inlineStr">
        <is>
          <t>S</t>
        </is>
      </c>
      <c r="I4709" s="0">
        <v>29.99</v>
      </c>
      <c r="J4709" s="0">
        <v>15</v>
      </c>
    </row>
    <row r="4710" spans="1:10" customHeight="0">
      <c r="A4710" s="0">
        <f>HYPERLINK("https://dl.dropboxusercontent.com/scl/fi/kg92lzf5lbfyzvgs10wvm/uni.jpg?rlkey=62l15j73sxr9mff0swwoxrxgq&amp;dl=0","Click to download Image")</f>
      </c>
      <c r="B4710" s="0">
        <f>HYPERLINK("https://dl.dropboxusercontent.com/scl/fi/e4awf2yk81vydkrp725wd/womens-t-shirt-size-chartsmarilynn-bamboo.jpg?rlkey=50tk09fw7jrr6eg6cec0tmn3u&amp;dl=0","Click to download SizeChart")</f>
      </c>
      <c r="C4710" s="0" t="inlineStr">
        <is>
          <t>"Have My Heart" Marilynn V-Neck</t>
        </is>
      </c>
      <c r="D4710" s="0" t="inlineStr">
        <is>
          <t>'113849</t>
        </is>
      </c>
      <c r="E4710" s="0" t="inlineStr">
        <is>
          <t>UNI HAVE MY HEART:113849B-M</t>
        </is>
      </c>
      <c r="F4710" s="0" t="inlineStr">
        <is>
          <t>'802113849053</t>
        </is>
      </c>
      <c r="G4710" s="0" t="inlineStr">
        <is>
          <t>WOMENS</t>
        </is>
      </c>
      <c r="H4710" s="0" t="inlineStr">
        <is>
          <t>M</t>
        </is>
      </c>
      <c r="I4710" s="0">
        <v>29.99</v>
      </c>
      <c r="J4710" s="0">
        <v>15</v>
      </c>
    </row>
    <row r="4711" spans="1:10" customHeight="0">
      <c r="A4711" s="0">
        <f>HYPERLINK("https://dl.dropboxusercontent.com/scl/fi/kg92lzf5lbfyzvgs10wvm/uni.jpg?rlkey=62l15j73sxr9mff0swwoxrxgq&amp;dl=0","Click to download Image")</f>
      </c>
      <c r="B4711" s="0">
        <f>HYPERLINK("https://dl.dropboxusercontent.com/scl/fi/e4awf2yk81vydkrp725wd/womens-t-shirt-size-chartsmarilynn-bamboo.jpg?rlkey=50tk09fw7jrr6eg6cec0tmn3u&amp;dl=0","Click to download SizeChart")</f>
      </c>
      <c r="C4711" s="0" t="inlineStr">
        <is>
          <t>"Have My Heart" Marilynn V-Neck</t>
        </is>
      </c>
      <c r="D4711" s="0" t="inlineStr">
        <is>
          <t>'113849</t>
        </is>
      </c>
      <c r="E4711" s="0" t="inlineStr">
        <is>
          <t>UNI HAVE MY HEART:113849C-L</t>
        </is>
      </c>
      <c r="F4711" s="0" t="inlineStr">
        <is>
          <t>'802113849060</t>
        </is>
      </c>
      <c r="G4711" s="0" t="inlineStr">
        <is>
          <t>WOMENS</t>
        </is>
      </c>
      <c r="H4711" s="0" t="inlineStr">
        <is>
          <t>L</t>
        </is>
      </c>
      <c r="I4711" s="0">
        <v>29.99</v>
      </c>
      <c r="J4711" s="0">
        <v>15</v>
      </c>
    </row>
    <row r="4712" spans="1:10" customHeight="0">
      <c r="A4712" s="0">
        <f>HYPERLINK("https://dl.dropboxusercontent.com/scl/fi/kg92lzf5lbfyzvgs10wvm/uni.jpg?rlkey=62l15j73sxr9mff0swwoxrxgq&amp;dl=0","Click to download Image")</f>
      </c>
      <c r="B4712" s="0">
        <f>HYPERLINK("https://dl.dropboxusercontent.com/scl/fi/e4awf2yk81vydkrp725wd/womens-t-shirt-size-chartsmarilynn-bamboo.jpg?rlkey=50tk09fw7jrr6eg6cec0tmn3u&amp;dl=0","Click to download SizeChart")</f>
      </c>
      <c r="C4712" s="0" t="inlineStr">
        <is>
          <t>"Have My Heart" Marilynn V-Neck</t>
        </is>
      </c>
      <c r="D4712" s="0" t="inlineStr">
        <is>
          <t>'113849</t>
        </is>
      </c>
      <c r="E4712" s="0" t="inlineStr">
        <is>
          <t>UNI HAVE MY HEART:113849D-XL</t>
        </is>
      </c>
      <c r="F4712" s="0" t="inlineStr">
        <is>
          <t>'802113849077</t>
        </is>
      </c>
      <c r="G4712" s="0" t="inlineStr">
        <is>
          <t>WOMENS</t>
        </is>
      </c>
      <c r="H4712" s="0" t="inlineStr">
        <is>
          <t>XL</t>
        </is>
      </c>
      <c r="I4712" s="0">
        <v>29.99</v>
      </c>
      <c r="J4712" s="0">
        <v>13</v>
      </c>
    </row>
    <row r="4713" spans="1:10" customHeight="0">
      <c r="A4713" s="0">
        <f>HYPERLINK("https://dl.dropboxusercontent.com/scl/fi/kg92lzf5lbfyzvgs10wvm/uni.jpg?rlkey=62l15j73sxr9mff0swwoxrxgq&amp;dl=0","Click to download Image")</f>
      </c>
      <c r="B4713" s="0">
        <f>HYPERLINK("https://dl.dropboxusercontent.com/scl/fi/e4awf2yk81vydkrp725wd/womens-t-shirt-size-chartsmarilynn-bamboo.jpg?rlkey=50tk09fw7jrr6eg6cec0tmn3u&amp;dl=0","Click to download SizeChart")</f>
      </c>
      <c r="C4713" s="0" t="inlineStr">
        <is>
          <t>"Have My Heart" Marilynn V-Neck</t>
        </is>
      </c>
      <c r="D4713" s="0" t="inlineStr">
        <is>
          <t>'113849</t>
        </is>
      </c>
      <c r="E4713" s="0" t="inlineStr">
        <is>
          <t>UNI HAVE MY HEART:113849E-2XL</t>
        </is>
      </c>
      <c r="F4713" s="0" t="inlineStr">
        <is>
          <t>'802113849084</t>
        </is>
      </c>
      <c r="G4713" s="0" t="inlineStr">
        <is>
          <t>WOMENS</t>
        </is>
      </c>
      <c r="H4713" s="0" t="inlineStr">
        <is>
          <t>2XL</t>
        </is>
      </c>
      <c r="I4713" s="0">
        <v>29.99</v>
      </c>
      <c r="J4713" s="0">
        <v>3</v>
      </c>
    </row>
    <row r="4714" spans="1:10" customHeight="0">
      <c r="A4714" s="0">
        <f>HYPERLINK("https://dl.dropboxusercontent.com/scl/fi/kg92lzf5lbfyzvgs10wvm/uni.jpg?rlkey=62l15j73sxr9mff0swwoxrxgq&amp;dl=0","Click to download Image")</f>
      </c>
      <c r="B4714" s="0">
        <f>HYPERLINK("https://dl.dropboxusercontent.com/scl/fi/e4awf2yk81vydkrp725wd/womens-t-shirt-size-chartsmarilynn-bamboo.jpg?rlkey=50tk09fw7jrr6eg6cec0tmn3u&amp;dl=0","Click to download SizeChart")</f>
      </c>
      <c r="C4714" s="0" t="inlineStr">
        <is>
          <t>"Have My Heart" Marilynn V-Neck</t>
        </is>
      </c>
      <c r="D4714" s="0" t="inlineStr">
        <is>
          <t>'113849</t>
        </is>
      </c>
      <c r="E4714" s="0" t="inlineStr">
        <is>
          <t>UNI HAVE MY HEART:113849F-3XL</t>
        </is>
      </c>
      <c r="F4714" s="0" t="inlineStr">
        <is>
          <t>'802113849091</t>
        </is>
      </c>
      <c r="G4714" s="0" t="inlineStr">
        <is>
          <t>WOMENS</t>
        </is>
      </c>
      <c r="H4714" s="0" t="inlineStr">
        <is>
          <t>3XL</t>
        </is>
      </c>
      <c r="I4714" s="0">
        <v>29.99</v>
      </c>
      <c r="J4714" s="0">
        <v>1</v>
      </c>
    </row>
    <row r="4715" spans="1:10" customHeight="0">
      <c r="A4715" s="0">
        <f>HYPERLINK("https://dl.dropboxusercontent.com/scl/fi/d8ud3p8tm9nqp3twld4s7/iowa.jpg?rlkey=gqh2g720qgjo3n7o10reqzfps&amp;dl=0","Click to download Image")</f>
      </c>
      <c r="B4715" s="0">
        <f>HYPERLINK("https://dl.dropboxusercontent.com/scl/fi/e4awf2yk81vydkrp725wd/womens-t-shirt-size-chartsmarilynn-bamboo.jpg?rlkey=50tk09fw7jrr6eg6cec0tmn3u&amp;dl=0","Click to download SizeChart")</f>
      </c>
      <c r="C4715" s="0" t="inlineStr">
        <is>
          <t>"Have My Heart" Marilynn V-Neck</t>
        </is>
      </c>
      <c r="D4715" s="0" t="inlineStr">
        <is>
          <t>'113847</t>
        </is>
      </c>
      <c r="E4715" s="0" t="inlineStr">
        <is>
          <t>IOWA HAVE MY HEART:113847A-S</t>
        </is>
      </c>
      <c r="F4715" s="0" t="inlineStr">
        <is>
          <t>'800113847048</t>
        </is>
      </c>
      <c r="G4715" s="0" t="inlineStr">
        <is>
          <t>WOMENS</t>
        </is>
      </c>
      <c r="H4715" s="0" t="inlineStr">
        <is>
          <t>S</t>
        </is>
      </c>
      <c r="I4715" s="0">
        <v>29.99</v>
      </c>
      <c r="J4715" s="0">
        <v>51</v>
      </c>
    </row>
    <row r="4716" spans="1:10" customHeight="0">
      <c r="A4716" s="0">
        <f>HYPERLINK("https://dl.dropboxusercontent.com/scl/fi/d8ud3p8tm9nqp3twld4s7/iowa.jpg?rlkey=gqh2g720qgjo3n7o10reqzfps&amp;dl=0","Click to download Image")</f>
      </c>
      <c r="B4716" s="0">
        <f>HYPERLINK("https://dl.dropboxusercontent.com/scl/fi/e4awf2yk81vydkrp725wd/womens-t-shirt-size-chartsmarilynn-bamboo.jpg?rlkey=50tk09fw7jrr6eg6cec0tmn3u&amp;dl=0","Click to download SizeChart")</f>
      </c>
      <c r="C4716" s="0" t="inlineStr">
        <is>
          <t>"Have My Heart" Marilynn V-Neck</t>
        </is>
      </c>
      <c r="D4716" s="0" t="inlineStr">
        <is>
          <t>'113847</t>
        </is>
      </c>
      <c r="E4716" s="0" t="inlineStr">
        <is>
          <t>IOWA HAVE MY HEART:113847B-M</t>
        </is>
      </c>
      <c r="F4716" s="0" t="inlineStr">
        <is>
          <t>'800113847055</t>
        </is>
      </c>
      <c r="G4716" s="0" t="inlineStr">
        <is>
          <t>WOMENS</t>
        </is>
      </c>
      <c r="H4716" s="0" t="inlineStr">
        <is>
          <t>M</t>
        </is>
      </c>
      <c r="I4716" s="0">
        <v>29.99</v>
      </c>
      <c r="J4716" s="0">
        <v>38</v>
      </c>
    </row>
    <row r="4717" spans="1:10" customHeight="0">
      <c r="A4717" s="0">
        <f>HYPERLINK("https://dl.dropboxusercontent.com/scl/fi/d8ud3p8tm9nqp3twld4s7/iowa.jpg?rlkey=gqh2g720qgjo3n7o10reqzfps&amp;dl=0","Click to download Image")</f>
      </c>
      <c r="B4717" s="0">
        <f>HYPERLINK("https://dl.dropboxusercontent.com/scl/fi/e4awf2yk81vydkrp725wd/womens-t-shirt-size-chartsmarilynn-bamboo.jpg?rlkey=50tk09fw7jrr6eg6cec0tmn3u&amp;dl=0","Click to download SizeChart")</f>
      </c>
      <c r="C4717" s="0" t="inlineStr">
        <is>
          <t>"Have My Heart" Marilynn V-Neck</t>
        </is>
      </c>
      <c r="D4717" s="0" t="inlineStr">
        <is>
          <t>'113847</t>
        </is>
      </c>
      <c r="E4717" s="0" t="inlineStr">
        <is>
          <t>IOWA HAVE MY HEART:113847C-L</t>
        </is>
      </c>
      <c r="F4717" s="0" t="inlineStr">
        <is>
          <t>'800113847062</t>
        </is>
      </c>
      <c r="G4717" s="0" t="inlineStr">
        <is>
          <t>WOMENS</t>
        </is>
      </c>
      <c r="H4717" s="0" t="inlineStr">
        <is>
          <t>L</t>
        </is>
      </c>
      <c r="I4717" s="0">
        <v>29.99</v>
      </c>
      <c r="J4717" s="0">
        <v>36</v>
      </c>
    </row>
    <row r="4718" spans="1:10" customHeight="0">
      <c r="A4718" s="0">
        <f>HYPERLINK("https://dl.dropboxusercontent.com/scl/fi/d8ud3p8tm9nqp3twld4s7/iowa.jpg?rlkey=gqh2g720qgjo3n7o10reqzfps&amp;dl=0","Click to download Image")</f>
      </c>
      <c r="B4718" s="0">
        <f>HYPERLINK("https://dl.dropboxusercontent.com/scl/fi/e4awf2yk81vydkrp725wd/womens-t-shirt-size-chartsmarilynn-bamboo.jpg?rlkey=50tk09fw7jrr6eg6cec0tmn3u&amp;dl=0","Click to download SizeChart")</f>
      </c>
      <c r="C4718" s="0" t="inlineStr">
        <is>
          <t>"Have My Heart" Marilynn V-Neck</t>
        </is>
      </c>
      <c r="D4718" s="0" t="inlineStr">
        <is>
          <t>'113847</t>
        </is>
      </c>
      <c r="E4718" s="0" t="inlineStr">
        <is>
          <t>IOWA HAVE MY HEART:113847D-XL</t>
        </is>
      </c>
      <c r="F4718" s="0" t="inlineStr">
        <is>
          <t>'800113847079</t>
        </is>
      </c>
      <c r="G4718" s="0" t="inlineStr">
        <is>
          <t>WOMENS</t>
        </is>
      </c>
      <c r="H4718" s="0" t="inlineStr">
        <is>
          <t>XL</t>
        </is>
      </c>
      <c r="I4718" s="0">
        <v>29.99</v>
      </c>
      <c r="J4718" s="0">
        <v>42</v>
      </c>
    </row>
    <row r="4719" spans="1:10" customHeight="0">
      <c r="A4719" s="0">
        <f>HYPERLINK("https://dl.dropboxusercontent.com/scl/fi/d8ud3p8tm9nqp3twld4s7/iowa.jpg?rlkey=gqh2g720qgjo3n7o10reqzfps&amp;dl=0","Click to download Image")</f>
      </c>
      <c r="B4719" s="0">
        <f>HYPERLINK("https://dl.dropboxusercontent.com/scl/fi/e4awf2yk81vydkrp725wd/womens-t-shirt-size-chartsmarilynn-bamboo.jpg?rlkey=50tk09fw7jrr6eg6cec0tmn3u&amp;dl=0","Click to download SizeChart")</f>
      </c>
      <c r="C4719" s="0" t="inlineStr">
        <is>
          <t>"Have My Heart" Marilynn V-Neck</t>
        </is>
      </c>
      <c r="D4719" s="0" t="inlineStr">
        <is>
          <t>'113847</t>
        </is>
      </c>
      <c r="E4719" s="0" t="inlineStr">
        <is>
          <t>IOWA HAVE MY HEART:113847E-2XL</t>
        </is>
      </c>
      <c r="F4719" s="0" t="inlineStr">
        <is>
          <t>'800113847086</t>
        </is>
      </c>
      <c r="G4719" s="0" t="inlineStr">
        <is>
          <t>WOMENS</t>
        </is>
      </c>
      <c r="H4719" s="0" t="inlineStr">
        <is>
          <t>2XL</t>
        </is>
      </c>
      <c r="I4719" s="0">
        <v>29.99</v>
      </c>
      <c r="J4719" s="0">
        <v>0</v>
      </c>
    </row>
    <row r="4720" spans="1:10" customHeight="0">
      <c r="A4720" s="0">
        <f>HYPERLINK("https://dl.dropboxusercontent.com/scl/fi/d8ud3p8tm9nqp3twld4s7/iowa.jpg?rlkey=gqh2g720qgjo3n7o10reqzfps&amp;dl=0","Click to download Image")</f>
      </c>
      <c r="B4720" s="0">
        <f>HYPERLINK("https://dl.dropboxusercontent.com/scl/fi/e4awf2yk81vydkrp725wd/womens-t-shirt-size-chartsmarilynn-bamboo.jpg?rlkey=50tk09fw7jrr6eg6cec0tmn3u&amp;dl=0","Click to download SizeChart")</f>
      </c>
      <c r="C4720" s="0" t="inlineStr">
        <is>
          <t>"Have My Heart" Marilynn V-Neck</t>
        </is>
      </c>
      <c r="D4720" s="0" t="inlineStr">
        <is>
          <t>'113847</t>
        </is>
      </c>
      <c r="E4720" s="0" t="inlineStr">
        <is>
          <t>IOWA HAVE MY HEART:113847F-3XL</t>
        </is>
      </c>
      <c r="F4720" s="0" t="inlineStr">
        <is>
          <t>'800113847093</t>
        </is>
      </c>
      <c r="G4720" s="0" t="inlineStr">
        <is>
          <t>WOMENS</t>
        </is>
      </c>
      <c r="H4720" s="0" t="inlineStr">
        <is>
          <t>3XL</t>
        </is>
      </c>
      <c r="I4720" s="0">
        <v>29.99</v>
      </c>
      <c r="J4720" s="0">
        <v>0</v>
      </c>
    </row>
    <row r="4721" spans="1:10" customHeight="0">
      <c r="A4721" s="0">
        <f>HYPERLINK("https://dl.dropboxusercontent.com/scl/fi/qhgmss9n6tez5ckvp7cqp/atheartisu.jpg?rlkey=t8gse4urgt9wf3zdlk4e3e1i6&amp;dl=0","Click to download Image")</f>
      </c>
      <c r="B4721" s="0">
        <f>HYPERLINK("https://dl.dropboxusercontent.com/scl/fi/ogvvoe64gygrrl8qzz8do/womens-t-shirt-size-chartsmarilynn-bamboo.jpg?rlkey=4rlehau9fcb2e87xqcs0xk6sk&amp;dl=0","Click to download SizeChart")</f>
      </c>
      <c r="C4721" s="0" t="inlineStr">
        <is>
          <t>"@ Heart" Marilynn V-Neck</t>
        </is>
      </c>
      <c r="D4721" s="0" t="inlineStr">
        <is>
          <t>'113845</t>
        </is>
      </c>
      <c r="E4721" s="0" t="inlineStr">
        <is>
          <t>ISU AT HEART MARILYNN:113845A-S</t>
        </is>
      </c>
      <c r="F4721" s="0" t="inlineStr">
        <is>
          <t>'801113845041</t>
        </is>
      </c>
      <c r="G4721" s="0" t="inlineStr">
        <is>
          <t>WOMENS</t>
        </is>
      </c>
      <c r="H4721" s="0" t="inlineStr">
        <is>
          <t>S</t>
        </is>
      </c>
      <c r="I4721" s="0">
        <v>29.99</v>
      </c>
      <c r="J4721" s="0">
        <v>21</v>
      </c>
    </row>
    <row r="4722" spans="1:10" customHeight="0">
      <c r="A4722" s="0">
        <f>HYPERLINK("https://dl.dropboxusercontent.com/scl/fi/qhgmss9n6tez5ckvp7cqp/atheartisu.jpg?rlkey=t8gse4urgt9wf3zdlk4e3e1i6&amp;dl=0","Click to download Image")</f>
      </c>
      <c r="B4722" s="0">
        <f>HYPERLINK("https://dl.dropboxusercontent.com/scl/fi/ogvvoe64gygrrl8qzz8do/womens-t-shirt-size-chartsmarilynn-bamboo.jpg?rlkey=4rlehau9fcb2e87xqcs0xk6sk&amp;dl=0","Click to download SizeChart")</f>
      </c>
      <c r="C4722" s="0" t="inlineStr">
        <is>
          <t>"@ Heart" Marilynn V-Neck</t>
        </is>
      </c>
      <c r="D4722" s="0" t="inlineStr">
        <is>
          <t>'113845</t>
        </is>
      </c>
      <c r="E4722" s="0" t="inlineStr">
        <is>
          <t>ISU AT HEART MARILYNN:113845B-M</t>
        </is>
      </c>
      <c r="F4722" s="0" t="inlineStr">
        <is>
          <t>'801113845058</t>
        </is>
      </c>
      <c r="G4722" s="0" t="inlineStr">
        <is>
          <t>WOMENS</t>
        </is>
      </c>
      <c r="H4722" s="0" t="inlineStr">
        <is>
          <t>M</t>
        </is>
      </c>
      <c r="I4722" s="0">
        <v>29.99</v>
      </c>
      <c r="J4722" s="0">
        <v>17</v>
      </c>
    </row>
    <row r="4723" spans="1:10" customHeight="0">
      <c r="A4723" s="0">
        <f>HYPERLINK("https://dl.dropboxusercontent.com/scl/fi/qhgmss9n6tez5ckvp7cqp/atheartisu.jpg?rlkey=t8gse4urgt9wf3zdlk4e3e1i6&amp;dl=0","Click to download Image")</f>
      </c>
      <c r="B4723" s="0">
        <f>HYPERLINK("https://dl.dropboxusercontent.com/scl/fi/ogvvoe64gygrrl8qzz8do/womens-t-shirt-size-chartsmarilynn-bamboo.jpg?rlkey=4rlehau9fcb2e87xqcs0xk6sk&amp;dl=0","Click to download SizeChart")</f>
      </c>
      <c r="C4723" s="0" t="inlineStr">
        <is>
          <t>"@ Heart" Marilynn V-Neck</t>
        </is>
      </c>
      <c r="D4723" s="0" t="inlineStr">
        <is>
          <t>'113845</t>
        </is>
      </c>
      <c r="E4723" s="0" t="inlineStr">
        <is>
          <t>ISU AT HEART MARILYNN:113845C-L</t>
        </is>
      </c>
      <c r="F4723" s="0" t="inlineStr">
        <is>
          <t>'801113845065</t>
        </is>
      </c>
      <c r="G4723" s="0" t="inlineStr">
        <is>
          <t>WOMENS</t>
        </is>
      </c>
      <c r="H4723" s="0" t="inlineStr">
        <is>
          <t>L</t>
        </is>
      </c>
      <c r="I4723" s="0">
        <v>29.99</v>
      </c>
      <c r="J4723" s="0">
        <v>10</v>
      </c>
    </row>
    <row r="4724" spans="1:10" customHeight="0">
      <c r="A4724" s="0">
        <f>HYPERLINK("https://dl.dropboxusercontent.com/scl/fi/qhgmss9n6tez5ckvp7cqp/atheartisu.jpg?rlkey=t8gse4urgt9wf3zdlk4e3e1i6&amp;dl=0","Click to download Image")</f>
      </c>
      <c r="B4724" s="0">
        <f>HYPERLINK("https://dl.dropboxusercontent.com/scl/fi/ogvvoe64gygrrl8qzz8do/womens-t-shirt-size-chartsmarilynn-bamboo.jpg?rlkey=4rlehau9fcb2e87xqcs0xk6sk&amp;dl=0","Click to download SizeChart")</f>
      </c>
      <c r="C4724" s="0" t="inlineStr">
        <is>
          <t>"@ Heart" Marilynn V-Neck</t>
        </is>
      </c>
      <c r="D4724" s="0" t="inlineStr">
        <is>
          <t>'113845</t>
        </is>
      </c>
      <c r="E4724" s="0" t="inlineStr">
        <is>
          <t>ISU AT HEART MARILYNN:113845D-XL</t>
        </is>
      </c>
      <c r="F4724" s="0" t="inlineStr">
        <is>
          <t>'801113845072</t>
        </is>
      </c>
      <c r="G4724" s="0" t="inlineStr">
        <is>
          <t>WOMENS</t>
        </is>
      </c>
      <c r="H4724" s="0" t="inlineStr">
        <is>
          <t>XL</t>
        </is>
      </c>
      <c r="I4724" s="0">
        <v>29.99</v>
      </c>
      <c r="J4724" s="0">
        <v>15</v>
      </c>
    </row>
    <row r="4725" spans="1:10" customHeight="0">
      <c r="A4725" s="0">
        <f>HYPERLINK("https://dl.dropboxusercontent.com/scl/fi/qhgmss9n6tez5ckvp7cqp/atheartisu.jpg?rlkey=t8gse4urgt9wf3zdlk4e3e1i6&amp;dl=0","Click to download Image")</f>
      </c>
      <c r="B4725" s="0">
        <f>HYPERLINK("https://dl.dropboxusercontent.com/scl/fi/ogvvoe64gygrrl8qzz8do/womens-t-shirt-size-chartsmarilynn-bamboo.jpg?rlkey=4rlehau9fcb2e87xqcs0xk6sk&amp;dl=0","Click to download SizeChart")</f>
      </c>
      <c r="C4725" s="0" t="inlineStr">
        <is>
          <t>"@ Heart" Marilynn V-Neck</t>
        </is>
      </c>
      <c r="D4725" s="0" t="inlineStr">
        <is>
          <t>'113845</t>
        </is>
      </c>
      <c r="E4725" s="0" t="inlineStr">
        <is>
          <t>ISU AT HEART MARILYNN:113845E-2XL</t>
        </is>
      </c>
      <c r="F4725" s="0" t="inlineStr">
        <is>
          <t>'801113845089</t>
        </is>
      </c>
      <c r="G4725" s="0" t="inlineStr">
        <is>
          <t>WOMENS</t>
        </is>
      </c>
      <c r="H4725" s="0" t="inlineStr">
        <is>
          <t>2XL</t>
        </is>
      </c>
      <c r="I4725" s="0">
        <v>31.99</v>
      </c>
      <c r="J4725" s="0">
        <v>0</v>
      </c>
    </row>
    <row r="4726" spans="1:10" customHeight="0">
      <c r="A4726" s="0">
        <f>HYPERLINK("https://dl.dropboxusercontent.com/scl/fi/qhgmss9n6tez5ckvp7cqp/atheartisu.jpg?rlkey=t8gse4urgt9wf3zdlk4e3e1i6&amp;dl=0","Click to download Image")</f>
      </c>
      <c r="B4726" s="0">
        <f>HYPERLINK("https://dl.dropboxusercontent.com/scl/fi/ogvvoe64gygrrl8qzz8do/womens-t-shirt-size-chartsmarilynn-bamboo.jpg?rlkey=4rlehau9fcb2e87xqcs0xk6sk&amp;dl=0","Click to download SizeChart")</f>
      </c>
      <c r="C4726" s="0" t="inlineStr">
        <is>
          <t>"@ Heart" Marilynn V-Neck</t>
        </is>
      </c>
      <c r="D4726" s="0" t="inlineStr">
        <is>
          <t>'113845</t>
        </is>
      </c>
      <c r="E4726" s="0" t="inlineStr">
        <is>
          <t>ISU AT HEART MARILYNN:113845F-3XL</t>
        </is>
      </c>
      <c r="F4726" s="0" t="inlineStr">
        <is>
          <t>'801113845096</t>
        </is>
      </c>
      <c r="G4726" s="0" t="inlineStr">
        <is>
          <t>WOMENS</t>
        </is>
      </c>
      <c r="H4726" s="0" t="inlineStr">
        <is>
          <t>3XL</t>
        </is>
      </c>
      <c r="I4726" s="0">
        <v>31.99</v>
      </c>
      <c r="J4726" s="0">
        <v>0</v>
      </c>
    </row>
    <row r="4727" spans="1:10" customHeight="0">
      <c r="A4727" s="0">
        <f>HYPERLINK("https://dl.dropboxusercontent.com/scl/fi/37ypenzso6lazqetziuex/ateheartuni.jpg?rlkey=h5267y4cvqiiosijof7z7vota&amp;dl=0","Click to download Image")</f>
      </c>
      <c r="B4727" s="0">
        <f>HYPERLINK("https://dl.dropboxusercontent.com/scl/fi/ogvvoe64gygrrl8qzz8do/womens-t-shirt-size-chartsmarilynn-bamboo.jpg?rlkey=4rlehau9fcb2e87xqcs0xk6sk&amp;dl=0","Click to download SizeChart")</f>
      </c>
      <c r="C4727" s="0" t="inlineStr">
        <is>
          <t>"@ Heart" Marilynn V-Neck</t>
        </is>
      </c>
      <c r="D4727" s="0" t="inlineStr">
        <is>
          <t>'113846</t>
        </is>
      </c>
      <c r="E4727" s="0" t="inlineStr">
        <is>
          <t>UNI AT HEART MARILYNN:113846A-S</t>
        </is>
      </c>
      <c r="F4727" s="0" t="inlineStr">
        <is>
          <t>'802113846045</t>
        </is>
      </c>
      <c r="G4727" s="0" t="inlineStr">
        <is>
          <t>WOMENS</t>
        </is>
      </c>
      <c r="H4727" s="0" t="inlineStr">
        <is>
          <t>S</t>
        </is>
      </c>
      <c r="I4727" s="0">
        <v>29.99</v>
      </c>
      <c r="J4727" s="0">
        <v>15</v>
      </c>
    </row>
    <row r="4728" spans="1:10" customHeight="0">
      <c r="A4728" s="0">
        <f>HYPERLINK("https://dl.dropboxusercontent.com/scl/fi/37ypenzso6lazqetziuex/ateheartuni.jpg?rlkey=h5267y4cvqiiosijof7z7vota&amp;dl=0","Click to download Image")</f>
      </c>
      <c r="B4728" s="0">
        <f>HYPERLINK("https://dl.dropboxusercontent.com/scl/fi/ogvvoe64gygrrl8qzz8do/womens-t-shirt-size-chartsmarilynn-bamboo.jpg?rlkey=4rlehau9fcb2e87xqcs0xk6sk&amp;dl=0","Click to download SizeChart")</f>
      </c>
      <c r="C4728" s="0" t="inlineStr">
        <is>
          <t>"@ Heart" Marilynn V-Neck</t>
        </is>
      </c>
      <c r="D4728" s="0" t="inlineStr">
        <is>
          <t>'113846</t>
        </is>
      </c>
      <c r="E4728" s="0" t="inlineStr">
        <is>
          <t>UNI AT HEART MARILYNN:113846B-M</t>
        </is>
      </c>
      <c r="F4728" s="0" t="inlineStr">
        <is>
          <t>'802113846052</t>
        </is>
      </c>
      <c r="G4728" s="0" t="inlineStr">
        <is>
          <t>WOMENS</t>
        </is>
      </c>
      <c r="H4728" s="0" t="inlineStr">
        <is>
          <t>M</t>
        </is>
      </c>
      <c r="I4728" s="0">
        <v>29.99</v>
      </c>
      <c r="J4728" s="0">
        <v>15</v>
      </c>
    </row>
    <row r="4729" spans="1:10" customHeight="0">
      <c r="A4729" s="0">
        <f>HYPERLINK("https://dl.dropboxusercontent.com/scl/fi/37ypenzso6lazqetziuex/ateheartuni.jpg?rlkey=h5267y4cvqiiosijof7z7vota&amp;dl=0","Click to download Image")</f>
      </c>
      <c r="B4729" s="0">
        <f>HYPERLINK("https://dl.dropboxusercontent.com/scl/fi/ogvvoe64gygrrl8qzz8do/womens-t-shirt-size-chartsmarilynn-bamboo.jpg?rlkey=4rlehau9fcb2e87xqcs0xk6sk&amp;dl=0","Click to download SizeChart")</f>
      </c>
      <c r="C4729" s="0" t="inlineStr">
        <is>
          <t>"@ Heart" Marilynn V-Neck</t>
        </is>
      </c>
      <c r="D4729" s="0" t="inlineStr">
        <is>
          <t>'113846</t>
        </is>
      </c>
      <c r="E4729" s="0" t="inlineStr">
        <is>
          <t>UNI AT HEART MARILYNN:113846C-L</t>
        </is>
      </c>
      <c r="F4729" s="0" t="inlineStr">
        <is>
          <t>'802113846069</t>
        </is>
      </c>
      <c r="G4729" s="0" t="inlineStr">
        <is>
          <t>WOMENS</t>
        </is>
      </c>
      <c r="H4729" s="0" t="inlineStr">
        <is>
          <t>L</t>
        </is>
      </c>
      <c r="I4729" s="0">
        <v>29.99</v>
      </c>
      <c r="J4729" s="0">
        <v>15</v>
      </c>
    </row>
    <row r="4730" spans="1:10" customHeight="0">
      <c r="A4730" s="0">
        <f>HYPERLINK("https://dl.dropboxusercontent.com/scl/fi/37ypenzso6lazqetziuex/ateheartuni.jpg?rlkey=h5267y4cvqiiosijof7z7vota&amp;dl=0","Click to download Image")</f>
      </c>
      <c r="B4730" s="0">
        <f>HYPERLINK("https://dl.dropboxusercontent.com/scl/fi/ogvvoe64gygrrl8qzz8do/womens-t-shirt-size-chartsmarilynn-bamboo.jpg?rlkey=4rlehau9fcb2e87xqcs0xk6sk&amp;dl=0","Click to download SizeChart")</f>
      </c>
      <c r="C4730" s="0" t="inlineStr">
        <is>
          <t>"@ Heart" Marilynn V-Neck</t>
        </is>
      </c>
      <c r="D4730" s="0" t="inlineStr">
        <is>
          <t>'113846</t>
        </is>
      </c>
      <c r="E4730" s="0" t="inlineStr">
        <is>
          <t>UNI AT HEART MARILYNN:113846D-XL</t>
        </is>
      </c>
      <c r="F4730" s="0" t="inlineStr">
        <is>
          <t>'802113846076</t>
        </is>
      </c>
      <c r="G4730" s="0" t="inlineStr">
        <is>
          <t>WOMENS</t>
        </is>
      </c>
      <c r="H4730" s="0" t="inlineStr">
        <is>
          <t>XL</t>
        </is>
      </c>
      <c r="I4730" s="0">
        <v>29.99</v>
      </c>
      <c r="J4730" s="0">
        <v>14</v>
      </c>
    </row>
    <row r="4731" spans="1:10" customHeight="0">
      <c r="A4731" s="0">
        <f>HYPERLINK("https://dl.dropboxusercontent.com/scl/fi/37ypenzso6lazqetziuex/ateheartuni.jpg?rlkey=h5267y4cvqiiosijof7z7vota&amp;dl=0","Click to download Image")</f>
      </c>
      <c r="B4731" s="0">
        <f>HYPERLINK("https://dl.dropboxusercontent.com/scl/fi/ogvvoe64gygrrl8qzz8do/womens-t-shirt-size-chartsmarilynn-bamboo.jpg?rlkey=4rlehau9fcb2e87xqcs0xk6sk&amp;dl=0","Click to download SizeChart")</f>
      </c>
      <c r="C4731" s="0" t="inlineStr">
        <is>
          <t>"@ Heart" Marilynn V-Neck</t>
        </is>
      </c>
      <c r="D4731" s="0" t="inlineStr">
        <is>
          <t>'113846</t>
        </is>
      </c>
      <c r="E4731" s="0" t="inlineStr">
        <is>
          <t>UNI AT HEART MARILYNN:113846E-2XL</t>
        </is>
      </c>
      <c r="F4731" s="0" t="inlineStr">
        <is>
          <t>'802113846083</t>
        </is>
      </c>
      <c r="G4731" s="0" t="inlineStr">
        <is>
          <t>WOMENS</t>
        </is>
      </c>
      <c r="H4731" s="0" t="inlineStr">
        <is>
          <t>2XL</t>
        </is>
      </c>
      <c r="I4731" s="0">
        <v>31.99</v>
      </c>
      <c r="J4731" s="0">
        <v>0</v>
      </c>
    </row>
    <row r="4732" spans="1:10" customHeight="0">
      <c r="A4732" s="0">
        <f>HYPERLINK("https://dl.dropboxusercontent.com/scl/fi/37ypenzso6lazqetziuex/ateheartuni.jpg?rlkey=h5267y4cvqiiosijof7z7vota&amp;dl=0","Click to download Image")</f>
      </c>
      <c r="B4732" s="0">
        <f>HYPERLINK("https://dl.dropboxusercontent.com/scl/fi/ogvvoe64gygrrl8qzz8do/womens-t-shirt-size-chartsmarilynn-bamboo.jpg?rlkey=4rlehau9fcb2e87xqcs0xk6sk&amp;dl=0","Click to download SizeChart")</f>
      </c>
      <c r="C4732" s="0" t="inlineStr">
        <is>
          <t>"@ Heart" Marilynn V-Neck</t>
        </is>
      </c>
      <c r="D4732" s="0" t="inlineStr">
        <is>
          <t>'113846</t>
        </is>
      </c>
      <c r="E4732" s="0" t="inlineStr">
        <is>
          <t>UNI AT HEART MARILYNN:113846F-3XL</t>
        </is>
      </c>
      <c r="F4732" s="0" t="inlineStr">
        <is>
          <t>'802113846090</t>
        </is>
      </c>
      <c r="G4732" s="0" t="inlineStr">
        <is>
          <t>WOMENS</t>
        </is>
      </c>
      <c r="H4732" s="0" t="inlineStr">
        <is>
          <t>3XL</t>
        </is>
      </c>
      <c r="I4732" s="0">
        <v>31.99</v>
      </c>
      <c r="J4732" s="0">
        <v>0</v>
      </c>
    </row>
    <row r="4733" spans="1:10" customHeight="0">
      <c r="A4733" s="0">
        <f>HYPERLINK("https://dl.dropboxusercontent.com/scl/fi/g5iu6na4qfmxfh3zubhy5/heartiowa.jpg?rlkey=l4zgkvzyjydhjglnchkkzzjlo&amp;dl=0","Click to download Image")</f>
      </c>
      <c r="B4733" s="0">
        <f>HYPERLINK("https://dl.dropboxusercontent.com/scl/fi/ogvvoe64gygrrl8qzz8do/womens-t-shirt-size-chartsmarilynn-bamboo.jpg?rlkey=4rlehau9fcb2e87xqcs0xk6sk&amp;dl=0","Click to download SizeChart")</f>
      </c>
      <c r="C4733" s="0" t="inlineStr">
        <is>
          <t>"@ Heart" Marilynn V-Neck</t>
        </is>
      </c>
      <c r="D4733" s="0" t="inlineStr">
        <is>
          <t>'113844</t>
        </is>
      </c>
      <c r="E4733" s="0" t="inlineStr">
        <is>
          <t>IOWA AT HEART MARILYNN:113844A-S</t>
        </is>
      </c>
      <c r="F4733" s="0" t="inlineStr">
        <is>
          <t>'800113844047</t>
        </is>
      </c>
      <c r="G4733" s="0" t="inlineStr">
        <is>
          <t>WOMENS</t>
        </is>
      </c>
      <c r="H4733" s="0" t="inlineStr">
        <is>
          <t>S</t>
        </is>
      </c>
      <c r="I4733" s="0">
        <v>29.99</v>
      </c>
      <c r="J4733" s="0">
        <v>57</v>
      </c>
    </row>
    <row r="4734" spans="1:10" customHeight="0">
      <c r="A4734" s="0">
        <f>HYPERLINK("https://dl.dropboxusercontent.com/scl/fi/g5iu6na4qfmxfh3zubhy5/heartiowa.jpg?rlkey=l4zgkvzyjydhjglnchkkzzjlo&amp;dl=0","Click to download Image")</f>
      </c>
      <c r="B4734" s="0">
        <f>HYPERLINK("https://dl.dropboxusercontent.com/scl/fi/ogvvoe64gygrrl8qzz8do/womens-t-shirt-size-chartsmarilynn-bamboo.jpg?rlkey=4rlehau9fcb2e87xqcs0xk6sk&amp;dl=0","Click to download SizeChart")</f>
      </c>
      <c r="C4734" s="0" t="inlineStr">
        <is>
          <t>"@ Heart" Marilynn V-Neck</t>
        </is>
      </c>
      <c r="D4734" s="0" t="inlineStr">
        <is>
          <t>'113844</t>
        </is>
      </c>
      <c r="E4734" s="0" t="inlineStr">
        <is>
          <t>IOWA AT HEART MARILYNN:113844B-M</t>
        </is>
      </c>
      <c r="F4734" s="0" t="inlineStr">
        <is>
          <t>'800113844054</t>
        </is>
      </c>
      <c r="G4734" s="0" t="inlineStr">
        <is>
          <t>WOMENS</t>
        </is>
      </c>
      <c r="H4734" s="0" t="inlineStr">
        <is>
          <t>M</t>
        </is>
      </c>
      <c r="I4734" s="0">
        <v>29.99</v>
      </c>
      <c r="J4734" s="0">
        <v>49</v>
      </c>
    </row>
    <row r="4735" spans="1:10" customHeight="0">
      <c r="A4735" s="0">
        <f>HYPERLINK("https://dl.dropboxusercontent.com/scl/fi/g5iu6na4qfmxfh3zubhy5/heartiowa.jpg?rlkey=l4zgkvzyjydhjglnchkkzzjlo&amp;dl=0","Click to download Image")</f>
      </c>
      <c r="B4735" s="0">
        <f>HYPERLINK("https://dl.dropboxusercontent.com/scl/fi/ogvvoe64gygrrl8qzz8do/womens-t-shirt-size-chartsmarilynn-bamboo.jpg?rlkey=4rlehau9fcb2e87xqcs0xk6sk&amp;dl=0","Click to download SizeChart")</f>
      </c>
      <c r="C4735" s="0" t="inlineStr">
        <is>
          <t>"@ Heart" Marilynn V-Neck</t>
        </is>
      </c>
      <c r="D4735" s="0" t="inlineStr">
        <is>
          <t>'113844</t>
        </is>
      </c>
      <c r="E4735" s="0" t="inlineStr">
        <is>
          <t>IOWA AT HEART MARILYNN:113844C-L</t>
        </is>
      </c>
      <c r="F4735" s="0" t="inlineStr">
        <is>
          <t>'800113844061</t>
        </is>
      </c>
      <c r="G4735" s="0" t="inlineStr">
        <is>
          <t>WOMENS</t>
        </is>
      </c>
      <c r="H4735" s="0" t="inlineStr">
        <is>
          <t>L</t>
        </is>
      </c>
      <c r="I4735" s="0">
        <v>29.99</v>
      </c>
      <c r="J4735" s="0">
        <v>49</v>
      </c>
    </row>
    <row r="4736" spans="1:10" customHeight="0">
      <c r="A4736" s="0">
        <f>HYPERLINK("https://dl.dropboxusercontent.com/scl/fi/g5iu6na4qfmxfh3zubhy5/heartiowa.jpg?rlkey=l4zgkvzyjydhjglnchkkzzjlo&amp;dl=0","Click to download Image")</f>
      </c>
      <c r="B4736" s="0">
        <f>HYPERLINK("https://dl.dropboxusercontent.com/scl/fi/ogvvoe64gygrrl8qzz8do/womens-t-shirt-size-chartsmarilynn-bamboo.jpg?rlkey=4rlehau9fcb2e87xqcs0xk6sk&amp;dl=0","Click to download SizeChart")</f>
      </c>
      <c r="C4736" s="0" t="inlineStr">
        <is>
          <t>"@ Heart" Marilynn V-Neck</t>
        </is>
      </c>
      <c r="D4736" s="0" t="inlineStr">
        <is>
          <t>'113844</t>
        </is>
      </c>
      <c r="E4736" s="0" t="inlineStr">
        <is>
          <t>IOWA AT HEART MARILYNN:113844D-XL</t>
        </is>
      </c>
      <c r="F4736" s="0" t="inlineStr">
        <is>
          <t>'800113844078</t>
        </is>
      </c>
      <c r="G4736" s="0" t="inlineStr">
        <is>
          <t>WOMENS</t>
        </is>
      </c>
      <c r="H4736" s="0" t="inlineStr">
        <is>
          <t>XL</t>
        </is>
      </c>
      <c r="I4736" s="0">
        <v>29.99</v>
      </c>
      <c r="J4736" s="0">
        <v>48</v>
      </c>
    </row>
    <row r="4737" spans="1:10" customHeight="0">
      <c r="A4737" s="0">
        <f>HYPERLINK("https://dl.dropboxusercontent.com/scl/fi/g5iu6na4qfmxfh3zubhy5/heartiowa.jpg?rlkey=l4zgkvzyjydhjglnchkkzzjlo&amp;dl=0","Click to download Image")</f>
      </c>
      <c r="B4737" s="0">
        <f>HYPERLINK("https://dl.dropboxusercontent.com/scl/fi/ogvvoe64gygrrl8qzz8do/womens-t-shirt-size-chartsmarilynn-bamboo.jpg?rlkey=4rlehau9fcb2e87xqcs0xk6sk&amp;dl=0","Click to download SizeChart")</f>
      </c>
      <c r="C4737" s="0" t="inlineStr">
        <is>
          <t>"@ Heart" Marilynn V-Neck</t>
        </is>
      </c>
      <c r="D4737" s="0" t="inlineStr">
        <is>
          <t>'113844</t>
        </is>
      </c>
      <c r="E4737" s="0" t="inlineStr">
        <is>
          <t>IOWA AT HEART MARILYNN:113844E-2XL</t>
        </is>
      </c>
      <c r="F4737" s="0" t="inlineStr">
        <is>
          <t>'800113844085</t>
        </is>
      </c>
      <c r="G4737" s="0" t="inlineStr">
        <is>
          <t>WOMENS</t>
        </is>
      </c>
      <c r="H4737" s="0" t="inlineStr">
        <is>
          <t>2XL</t>
        </is>
      </c>
      <c r="I4737" s="0">
        <v>31.99</v>
      </c>
      <c r="J4737" s="0">
        <v>0</v>
      </c>
    </row>
    <row r="4738" spans="1:10" customHeight="0">
      <c r="A4738" s="0">
        <f>HYPERLINK("https://dl.dropboxusercontent.com/scl/fi/g5iu6na4qfmxfh3zubhy5/heartiowa.jpg?rlkey=l4zgkvzyjydhjglnchkkzzjlo&amp;dl=0","Click to download Image")</f>
      </c>
      <c r="B4738" s="0">
        <f>HYPERLINK("https://dl.dropboxusercontent.com/scl/fi/ogvvoe64gygrrl8qzz8do/womens-t-shirt-size-chartsmarilynn-bamboo.jpg?rlkey=4rlehau9fcb2e87xqcs0xk6sk&amp;dl=0","Click to download SizeChart")</f>
      </c>
      <c r="C4738" s="0" t="inlineStr">
        <is>
          <t>"@ Heart" Marilynn V-Neck</t>
        </is>
      </c>
      <c r="D4738" s="0" t="inlineStr">
        <is>
          <t>'113844</t>
        </is>
      </c>
      <c r="E4738" s="0" t="inlineStr">
        <is>
          <t>IOWA AT HEART MARILYNN:113844F-3XL</t>
        </is>
      </c>
      <c r="F4738" s="0" t="inlineStr">
        <is>
          <t>'800113844092</t>
        </is>
      </c>
      <c r="G4738" s="0" t="inlineStr">
        <is>
          <t>WOMENS</t>
        </is>
      </c>
      <c r="H4738" s="0" t="inlineStr">
        <is>
          <t>3XL</t>
        </is>
      </c>
      <c r="I4738" s="0">
        <v>31.99</v>
      </c>
      <c r="J4738" s="0">
        <v>0</v>
      </c>
    </row>
    <row r="4739" spans="1:10" customHeight="0">
      <c r="A4739" s="0">
        <f>HYPERLINK("https://dl.dropboxusercontent.com/scl/fi/na9oa2vb2dbt7e6wltjsh/99616af60566.jpg?rlkey=i95trnmqthjguukejab2dp53n&amp;dl=0","Click to download Image")</f>
      </c>
      <c r="C4739" s="0" t="inlineStr">
        <is>
          <t>Knot Breast Cancer Visor</t>
        </is>
      </c>
      <c r="D4739" s="0" t="inlineStr">
        <is>
          <t>'99616</t>
        </is>
      </c>
      <c r="E4739" s="0" t="inlineStr">
        <is>
          <t>THINK PINK:99616</t>
        </is>
      </c>
      <c r="F4739" s="0" t="inlineStr">
        <is>
          <t>'700099616013</t>
        </is>
      </c>
      <c r="G4739" s="0" t="inlineStr">
        <is>
          <t>WOMENS</t>
        </is>
      </c>
      <c r="H4739" s="0" t="inlineStr">
        <is>
          <t>WOMENS</t>
        </is>
      </c>
      <c r="I4739" s="0">
        <v>15.99</v>
      </c>
      <c r="J4739" s="0">
        <v>137</v>
      </c>
    </row>
    <row r="4740" spans="1:10" customHeight="0">
      <c r="A4740" s="0">
        <f>HYPERLINK("https://dl.dropboxusercontent.com/scl/fi/epr486bzxva9pqg4lyv4r/105406f33597.jpg?rlkey=h2xs14l7v4tfjyxc986tkhstg&amp;dl=0","Click to download Image")</f>
      </c>
      <c r="C4740" s="0" t="inlineStr">
        <is>
          <t>Borne Men's French Terry Sweatshirt</t>
        </is>
      </c>
      <c r="D4740" s="0" t="inlineStr">
        <is>
          <t>'105406</t>
        </is>
      </c>
      <c r="E4740" s="0" t="inlineStr">
        <is>
          <t>BORNE:105406A-S</t>
        </is>
      </c>
      <c r="F4740" s="0" t="inlineStr">
        <is>
          <t>'000000000000</t>
        </is>
      </c>
      <c r="G4740" s="0" t="inlineStr">
        <is>
          <t>MENS</t>
        </is>
      </c>
      <c r="H4740" s="0" t="inlineStr">
        <is>
          <t>S</t>
        </is>
      </c>
      <c r="I4740" s="0">
        <v>39.99</v>
      </c>
      <c r="J4740" s="0">
        <v>12</v>
      </c>
    </row>
    <row r="4741" spans="1:10" customHeight="0">
      <c r="A4741" s="0">
        <f>HYPERLINK("https://dl.dropboxusercontent.com/scl/fi/epr486bzxva9pqg4lyv4r/105406f33597.jpg?rlkey=h2xs14l7v4tfjyxc986tkhstg&amp;dl=0","Click to download Image")</f>
      </c>
      <c r="C4741" s="0" t="inlineStr">
        <is>
          <t>Borne Men's French Terry Sweatshirt</t>
        </is>
      </c>
      <c r="D4741" s="0" t="inlineStr">
        <is>
          <t>'105406</t>
        </is>
      </c>
      <c r="E4741" s="0" t="inlineStr">
        <is>
          <t>BORNE:105406B-M</t>
        </is>
      </c>
      <c r="F4741" s="0" t="inlineStr">
        <is>
          <t>'000000000000</t>
        </is>
      </c>
      <c r="G4741" s="0" t="inlineStr">
        <is>
          <t>MENS</t>
        </is>
      </c>
      <c r="H4741" s="0" t="inlineStr">
        <is>
          <t>M</t>
        </is>
      </c>
      <c r="I4741" s="0">
        <v>39.99</v>
      </c>
      <c r="J4741" s="0">
        <v>26</v>
      </c>
    </row>
    <row r="4742" spans="1:10" customHeight="0">
      <c r="A4742" s="0">
        <f>HYPERLINK("https://dl.dropboxusercontent.com/scl/fi/epr486bzxva9pqg4lyv4r/105406f33597.jpg?rlkey=h2xs14l7v4tfjyxc986tkhstg&amp;dl=0","Click to download Image")</f>
      </c>
      <c r="C4742" s="0" t="inlineStr">
        <is>
          <t>Borne Men's French Terry Sweatshirt</t>
        </is>
      </c>
      <c r="D4742" s="0" t="inlineStr">
        <is>
          <t>'105406</t>
        </is>
      </c>
      <c r="E4742" s="0" t="inlineStr">
        <is>
          <t>BORNE:105406F-3XL</t>
        </is>
      </c>
      <c r="F4742" s="0" t="inlineStr">
        <is>
          <t>'000000000000</t>
        </is>
      </c>
      <c r="G4742" s="0" t="inlineStr">
        <is>
          <t>MENS</t>
        </is>
      </c>
      <c r="H4742" s="0" t="inlineStr">
        <is>
          <t>3XL</t>
        </is>
      </c>
      <c r="I4742" s="0">
        <v>41.99</v>
      </c>
      <c r="J4742" s="0">
        <v>11</v>
      </c>
    </row>
    <row r="4743" spans="1:10" customHeight="0">
      <c r="A4743" s="0">
        <f>HYPERLINK("https://dl.dropboxusercontent.com/scl/fi/hvgz59lo7p23cdwm8n1hi/105482f71169.jpg?rlkey=qn0jwgzc3p55e6k3nymzrybdp&amp;dl=0","Click to download Image")</f>
      </c>
      <c r="C4743" s="0" t="inlineStr">
        <is>
          <t>Borne Men's French Terry Sweatshirt</t>
        </is>
      </c>
      <c r="D4743" s="0" t="inlineStr">
        <is>
          <t>'105482</t>
        </is>
      </c>
      <c r="E4743" s="0" t="inlineStr">
        <is>
          <t>BORNE:105482A-S</t>
        </is>
      </c>
      <c r="F4743" s="0" t="inlineStr">
        <is>
          <t>'000000000000</t>
        </is>
      </c>
      <c r="G4743" s="0" t="inlineStr">
        <is>
          <t>MENS</t>
        </is>
      </c>
      <c r="H4743" s="0" t="inlineStr">
        <is>
          <t>S</t>
        </is>
      </c>
      <c r="I4743" s="0">
        <v>39.99</v>
      </c>
      <c r="J4743" s="0">
        <v>48</v>
      </c>
    </row>
    <row r="4744" spans="1:10" customHeight="0">
      <c r="A4744" s="0">
        <f>HYPERLINK("https://dl.dropboxusercontent.com/scl/fi/hvgz59lo7p23cdwm8n1hi/105482f71169.jpg?rlkey=qn0jwgzc3p55e6k3nymzrybdp&amp;dl=0","Click to download Image")</f>
      </c>
      <c r="C4744" s="0" t="inlineStr">
        <is>
          <t>Borne Men's French Terry Sweatshirt</t>
        </is>
      </c>
      <c r="D4744" s="0" t="inlineStr">
        <is>
          <t>'105482</t>
        </is>
      </c>
      <c r="E4744" s="0" t="inlineStr">
        <is>
          <t>BORNE:105482B-M</t>
        </is>
      </c>
      <c r="F4744" s="0" t="inlineStr">
        <is>
          <t>'000000000000</t>
        </is>
      </c>
      <c r="G4744" s="0" t="inlineStr">
        <is>
          <t>MENS</t>
        </is>
      </c>
      <c r="H4744" s="0" t="inlineStr">
        <is>
          <t>M</t>
        </is>
      </c>
      <c r="I4744" s="0">
        <v>39.99</v>
      </c>
      <c r="J4744" s="0">
        <v>27</v>
      </c>
    </row>
    <row r="4745" spans="1:10" customHeight="0">
      <c r="A4745" s="0">
        <f>HYPERLINK("https://dl.dropboxusercontent.com/scl/fi/hvgz59lo7p23cdwm8n1hi/105482f71169.jpg?rlkey=qn0jwgzc3p55e6k3nymzrybdp&amp;dl=0","Click to download Image")</f>
      </c>
      <c r="C4745" s="0" t="inlineStr">
        <is>
          <t>Borne Men's French Terry Sweatshirt</t>
        </is>
      </c>
      <c r="D4745" s="0" t="inlineStr">
        <is>
          <t>'105482</t>
        </is>
      </c>
      <c r="E4745" s="0" t="inlineStr">
        <is>
          <t>BORNE:105482E-2XL</t>
        </is>
      </c>
      <c r="F4745" s="0" t="inlineStr">
        <is>
          <t>'000000000000</t>
        </is>
      </c>
      <c r="G4745" s="0" t="inlineStr">
        <is>
          <t>MENS</t>
        </is>
      </c>
      <c r="H4745" s="0" t="inlineStr">
        <is>
          <t>2XL</t>
        </is>
      </c>
      <c r="I4745" s="0">
        <v>41.99</v>
      </c>
      <c r="J4745" s="0">
        <v>17</v>
      </c>
    </row>
    <row r="4746" spans="1:10" customHeight="0">
      <c r="A4746" s="0">
        <f>HYPERLINK("https://dl.dropboxusercontent.com/scl/fi/hvgz59lo7p23cdwm8n1hi/105482f71169.jpg?rlkey=qn0jwgzc3p55e6k3nymzrybdp&amp;dl=0","Click to download Image")</f>
      </c>
      <c r="C4746" s="0" t="inlineStr">
        <is>
          <t>Borne Men's French Terry Sweatshirt</t>
        </is>
      </c>
      <c r="D4746" s="0" t="inlineStr">
        <is>
          <t>'105482</t>
        </is>
      </c>
      <c r="E4746" s="0" t="inlineStr">
        <is>
          <t>BORNE:105482F-3XL</t>
        </is>
      </c>
      <c r="F4746" s="0" t="inlineStr">
        <is>
          <t>'000000000000</t>
        </is>
      </c>
      <c r="G4746" s="0" t="inlineStr">
        <is>
          <t>MENS</t>
        </is>
      </c>
      <c r="H4746" s="0" t="inlineStr">
        <is>
          <t>3XL</t>
        </is>
      </c>
      <c r="I4746" s="0">
        <v>41.99</v>
      </c>
      <c r="J4746" s="0">
        <v>17</v>
      </c>
    </row>
    <row r="4747" spans="1:10" customHeight="0">
      <c r="A4747" s="0">
        <f>HYPERLINK("https://dl.dropboxusercontent.com/scl/fi/znqf28n1d495w04uh6792/af.jpg?rlkey=w0zk18j93bmwy4sotx5notlsa&amp;dl=0","Click to download Image")</f>
      </c>
      <c r="C4747" s="0" t="inlineStr">
        <is>
          <t>Jasmine Breast Cancer Runner</t>
        </is>
      </c>
      <c r="D4747" s="0" t="inlineStr">
        <is>
          <t>'99618</t>
        </is>
      </c>
      <c r="E4747" s="0" t="inlineStr">
        <is>
          <t>THINK PINK:99618</t>
        </is>
      </c>
      <c r="F4747" s="0" t="inlineStr">
        <is>
          <t>'700099618017</t>
        </is>
      </c>
      <c r="G4747" s="0" t="inlineStr">
        <is>
          <t>WOMENS</t>
        </is>
      </c>
      <c r="H4747" s="0" t="inlineStr">
        <is>
          <t>WOMENS</t>
        </is>
      </c>
      <c r="I4747" s="0">
        <v>15.99</v>
      </c>
      <c r="J4747" s="0">
        <v>149</v>
      </c>
    </row>
    <row r="4748" spans="1:10" customHeight="0">
      <c r="A4748" s="0">
        <f>HYPERLINK("https://dl.dropboxusercontent.com/scl/fi/uyjva3zcammtodclj3hf4/af.jpg?rlkey=d6i9z6xa4g2oxw953r6flynw1&amp;dl=0","Click to download Image")</f>
      </c>
      <c r="C4748" s="0" t="inlineStr">
        <is>
          <t>Blaze Breast Cancer Cap</t>
        </is>
      </c>
      <c r="D4748" s="0" t="inlineStr">
        <is>
          <t>'99619</t>
        </is>
      </c>
      <c r="E4748" s="0" t="inlineStr">
        <is>
          <t>THINK PINK:99619</t>
        </is>
      </c>
      <c r="F4748" s="0" t="inlineStr">
        <is>
          <t>'700099619014</t>
        </is>
      </c>
      <c r="G4748" s="0" t="inlineStr">
        <is>
          <t>WOMENS</t>
        </is>
      </c>
      <c r="H4748" s="0" t="inlineStr">
        <is>
          <t>WOMENS</t>
        </is>
      </c>
      <c r="I4748" s="0">
        <v>15.99</v>
      </c>
      <c r="J4748" s="0">
        <v>122</v>
      </c>
    </row>
    <row r="4749" spans="1:10" customHeight="0">
      <c r="A4749" s="0">
        <f>HYPERLINK("https://dl.dropboxusercontent.com/scl/fi/m935b54igmf2grpu15od5/af.jpg?rlkey=c99hi3g1dtgtq0jfz8unmvkjr&amp;dl=0","Click to download Image")</f>
      </c>
      <c r="C4749" s="0" t="inlineStr">
        <is>
          <t>Lexi Breast Cancer Cap</t>
        </is>
      </c>
      <c r="D4749" s="0" t="inlineStr">
        <is>
          <t>'99642</t>
        </is>
      </c>
      <c r="E4749" s="0" t="inlineStr">
        <is>
          <t>THINK PINK:99642</t>
        </is>
      </c>
      <c r="F4749" s="0" t="inlineStr">
        <is>
          <t>'700099642012</t>
        </is>
      </c>
      <c r="G4749" s="0" t="inlineStr">
        <is>
          <t>WOMENS</t>
        </is>
      </c>
      <c r="H4749" s="0" t="inlineStr">
        <is>
          <t>WOMENS</t>
        </is>
      </c>
      <c r="I4749" s="0">
        <v>15.99</v>
      </c>
      <c r="J4749" s="0">
        <v>106</v>
      </c>
    </row>
    <row r="4750" spans="1:10" customHeight="0">
      <c r="A4750" s="0">
        <f>HYPERLINK("https://dl.dropboxusercontent.com/scl/fi/xkbe9p9srgafvr7jsyluw/99620af72827.jpg?rlkey=fbbr0cn2x1nu4zcis7dm7l3ef&amp;dl=0","Click to download Image")</f>
      </c>
      <c r="C4750" s="0" t="inlineStr">
        <is>
          <t>Alaina Breast Cancer Cap</t>
        </is>
      </c>
      <c r="D4750" s="0" t="inlineStr">
        <is>
          <t>'99620</t>
        </is>
      </c>
      <c r="E4750" s="0" t="inlineStr">
        <is>
          <t>THINK PINK:99620</t>
        </is>
      </c>
      <c r="F4750" s="0" t="inlineStr">
        <is>
          <t>'700099620010</t>
        </is>
      </c>
      <c r="G4750" s="0" t="inlineStr">
        <is>
          <t>WOMENS</t>
        </is>
      </c>
      <c r="H4750" s="0" t="inlineStr">
        <is>
          <t>WOMENS</t>
        </is>
      </c>
      <c r="I4750" s="0">
        <v>15.99</v>
      </c>
      <c r="J4750" s="0">
        <v>130</v>
      </c>
    </row>
    <row r="4751" spans="1:10" customHeight="0">
      <c r="A4751" s="0">
        <f>HYPERLINK("https://dl.dropboxusercontent.com/scl/fi/jje8p1an0bumduqksxe1d/99624af52332.jpg?rlkey=l48haete571if13u83v5vv7yj&amp;dl=0","Click to download Image")</f>
      </c>
      <c r="C4751" s="0" t="inlineStr">
        <is>
          <t>Benita Breast Cancer Cap</t>
        </is>
      </c>
      <c r="D4751" s="0" t="inlineStr">
        <is>
          <t>'99624</t>
        </is>
      </c>
      <c r="E4751" s="0" t="inlineStr">
        <is>
          <t>THINK PINK:99624BLACK</t>
        </is>
      </c>
      <c r="F4751" s="0" t="inlineStr">
        <is>
          <t>'700099624018</t>
        </is>
      </c>
      <c r="G4751" s="0" t="inlineStr">
        <is>
          <t>WOMENS</t>
        </is>
      </c>
      <c r="H4751" s="0" t="inlineStr">
        <is>
          <t>WOMENS</t>
        </is>
      </c>
      <c r="I4751" s="0">
        <v>15.99</v>
      </c>
      <c r="J4751" s="0">
        <v>29</v>
      </c>
    </row>
    <row r="4752" spans="1:10" customHeight="0">
      <c r="A4752" s="0">
        <f>HYPERLINK("https://dl.dropboxusercontent.com/scl/fi/u34smrx2bh29xs037wy87/benita99624af66762.jpg?rlkey=vb3ms30r92dz31jehaymaa943&amp;dl=0","Click to download Image")</f>
      </c>
      <c r="C4752" s="0" t="inlineStr">
        <is>
          <t>Benita Breast Cancer Cap</t>
        </is>
      </c>
      <c r="D4752" s="0" t="inlineStr">
        <is>
          <t>'99624</t>
        </is>
      </c>
      <c r="E4752" s="0" t="inlineStr">
        <is>
          <t>PINK BENITA W PK:99624</t>
        </is>
      </c>
      <c r="F4752" s="0" t="inlineStr">
        <is>
          <t>'700099624018</t>
        </is>
      </c>
      <c r="G4752" s="0" t="inlineStr">
        <is>
          <t>WOMENS</t>
        </is>
      </c>
      <c r="H4752" s="0" t="inlineStr">
        <is>
          <t>WOMENS</t>
        </is>
      </c>
      <c r="I4752" s="0">
        <v>15.99</v>
      </c>
      <c r="J4752" s="0">
        <v>52</v>
      </c>
    </row>
    <row r="4753" spans="1:10" customHeight="0">
      <c r="A4753" s="0">
        <f>HYPERLINK("https://dl.dropboxusercontent.com/scl/fi/tk41vw0dpb7k2i1uona1r/benita99624-1af79035.jpg?rlkey=il774db6gj5gd33cx4ax8ksge&amp;dl=0","Click to download Image")</f>
      </c>
      <c r="C4753" s="0" t="inlineStr">
        <is>
          <t>Benita Breast Cancer Cap</t>
        </is>
      </c>
      <c r="D4753" s="0" t="inlineStr">
        <is>
          <t>'99624</t>
        </is>
      </c>
      <c r="E4753" s="0" t="inlineStr">
        <is>
          <t>PINK BENITA W WE:99624</t>
        </is>
      </c>
      <c r="F4753" s="0" t="inlineStr">
        <is>
          <t>'700099624025</t>
        </is>
      </c>
      <c r="G4753" s="0" t="inlineStr">
        <is>
          <t>WOMENS</t>
        </is>
      </c>
      <c r="H4753" s="0" t="inlineStr">
        <is>
          <t>WOMENS</t>
        </is>
      </c>
      <c r="I4753" s="0">
        <v>15.99</v>
      </c>
      <c r="J4753" s="0">
        <v>46</v>
      </c>
    </row>
    <row r="4754" spans="1:10" customHeight="0">
      <c r="A4754" s="0">
        <f>HYPERLINK("https://dl.dropboxusercontent.com/scl/fi/l75j01odsiv58p9c9j7k0/109172-af3.jpg?rlkey=29qvdxihkbo2dehoux7mnnaz8&amp;dl=0","Click to download Image")</f>
      </c>
      <c r="B4754" s="0">
        <f>HYPERLINK("https://dl.dropboxusercontent.com/scl/fi/2odw75yvoyvtzh9pz2zyo/womens-size-chartsaria.jpg?rlkey=7crx8eipd4qc2m2c9odxz23gm&amp;dl=0","Click to download SizeChart")</f>
      </c>
      <c r="C4754" s="0" t="inlineStr">
        <is>
          <t>Aria Women's Reversible Quilted Sherpa Vest</t>
        </is>
      </c>
      <c r="D4754" s="0" t="inlineStr">
        <is>
          <t>'109172</t>
        </is>
      </c>
      <c r="E4754" s="0" t="inlineStr">
        <is>
          <t>CREIGHTON ARIA:109172A-S</t>
        </is>
      </c>
      <c r="F4754" s="0" t="inlineStr">
        <is>
          <t>'800109172017</t>
        </is>
      </c>
      <c r="G4754" s="0" t="inlineStr">
        <is>
          <t>WOMENS</t>
        </is>
      </c>
      <c r="H4754" s="0" t="inlineStr">
        <is>
          <t>S</t>
        </is>
      </c>
      <c r="I4754" s="0">
        <v>54.99</v>
      </c>
      <c r="J4754" s="0">
        <v>4</v>
      </c>
    </row>
    <row r="4755" spans="1:10" customHeight="0">
      <c r="A4755" s="0">
        <f>HYPERLINK("https://dl.dropboxusercontent.com/scl/fi/l75j01odsiv58p9c9j7k0/109172-af3.jpg?rlkey=29qvdxihkbo2dehoux7mnnaz8&amp;dl=0","Click to download Image")</f>
      </c>
      <c r="B4755" s="0">
        <f>HYPERLINK("https://dl.dropboxusercontent.com/scl/fi/2odw75yvoyvtzh9pz2zyo/womens-size-chartsaria.jpg?rlkey=7crx8eipd4qc2m2c9odxz23gm&amp;dl=0","Click to download SizeChart")</f>
      </c>
      <c r="C4755" s="0" t="inlineStr">
        <is>
          <t>Aria Women's Reversible Quilted Sherpa Vest</t>
        </is>
      </c>
      <c r="D4755" s="0" t="inlineStr">
        <is>
          <t>'109172</t>
        </is>
      </c>
      <c r="E4755" s="0" t="inlineStr">
        <is>
          <t>CREIGHTON ARIA:109172B-M</t>
        </is>
      </c>
      <c r="F4755" s="0" t="inlineStr">
        <is>
          <t>'800109172024</t>
        </is>
      </c>
      <c r="G4755" s="0" t="inlineStr">
        <is>
          <t>WOMENS</t>
        </is>
      </c>
      <c r="H4755" s="0" t="inlineStr">
        <is>
          <t>M</t>
        </is>
      </c>
      <c r="I4755" s="0">
        <v>54.99</v>
      </c>
      <c r="J4755" s="0">
        <v>7</v>
      </c>
    </row>
    <row r="4756" spans="1:10" customHeight="0">
      <c r="A4756" s="0">
        <f>HYPERLINK("https://dl.dropboxusercontent.com/scl/fi/l75j01odsiv58p9c9j7k0/109172-af3.jpg?rlkey=29qvdxihkbo2dehoux7mnnaz8&amp;dl=0","Click to download Image")</f>
      </c>
      <c r="B4756" s="0">
        <f>HYPERLINK("https://dl.dropboxusercontent.com/scl/fi/2odw75yvoyvtzh9pz2zyo/womens-size-chartsaria.jpg?rlkey=7crx8eipd4qc2m2c9odxz23gm&amp;dl=0","Click to download SizeChart")</f>
      </c>
      <c r="C4756" s="0" t="inlineStr">
        <is>
          <t>Aria Women's Reversible Quilted Sherpa Vest</t>
        </is>
      </c>
      <c r="D4756" s="0" t="inlineStr">
        <is>
          <t>'109172</t>
        </is>
      </c>
      <c r="E4756" s="0" t="inlineStr">
        <is>
          <t>CREIGHTON ARIA:109172C-L</t>
        </is>
      </c>
      <c r="F4756" s="0" t="inlineStr">
        <is>
          <t>'800109172031</t>
        </is>
      </c>
      <c r="G4756" s="0" t="inlineStr">
        <is>
          <t>WOMENS</t>
        </is>
      </c>
      <c r="H4756" s="0" t="inlineStr">
        <is>
          <t>L</t>
        </is>
      </c>
      <c r="I4756" s="0">
        <v>54.99</v>
      </c>
      <c r="J4756" s="0">
        <v>8</v>
      </c>
    </row>
    <row r="4757" spans="1:10" customHeight="0">
      <c r="A4757" s="0">
        <f>HYPERLINK("https://dl.dropboxusercontent.com/scl/fi/l75j01odsiv58p9c9j7k0/109172-af3.jpg?rlkey=29qvdxihkbo2dehoux7mnnaz8&amp;dl=0","Click to download Image")</f>
      </c>
      <c r="B4757" s="0">
        <f>HYPERLINK("https://dl.dropboxusercontent.com/scl/fi/2odw75yvoyvtzh9pz2zyo/womens-size-chartsaria.jpg?rlkey=7crx8eipd4qc2m2c9odxz23gm&amp;dl=0","Click to download SizeChart")</f>
      </c>
      <c r="C4757" s="0" t="inlineStr">
        <is>
          <t>Aria Women's Reversible Quilted Sherpa Vest</t>
        </is>
      </c>
      <c r="D4757" s="0" t="inlineStr">
        <is>
          <t>'109172</t>
        </is>
      </c>
      <c r="E4757" s="0" t="inlineStr">
        <is>
          <t>CREIGHTON ARIA:109172D-XL</t>
        </is>
      </c>
      <c r="F4757" s="0" t="inlineStr">
        <is>
          <t>'800109172048</t>
        </is>
      </c>
      <c r="G4757" s="0" t="inlineStr">
        <is>
          <t>WOMENS</t>
        </is>
      </c>
      <c r="H4757" s="0" t="inlineStr">
        <is>
          <t>XL</t>
        </is>
      </c>
      <c r="I4757" s="0">
        <v>54.99</v>
      </c>
      <c r="J4757" s="0">
        <v>4</v>
      </c>
    </row>
    <row r="4758" spans="1:10" customHeight="0">
      <c r="A4758" s="0">
        <f>HYPERLINK("https://dl.dropboxusercontent.com/scl/fi/l75j01odsiv58p9c9j7k0/109172-af3.jpg?rlkey=29qvdxihkbo2dehoux7mnnaz8&amp;dl=0","Click to download Image")</f>
      </c>
      <c r="B4758" s="0">
        <f>HYPERLINK("https://dl.dropboxusercontent.com/scl/fi/2odw75yvoyvtzh9pz2zyo/womens-size-chartsaria.jpg?rlkey=7crx8eipd4qc2m2c9odxz23gm&amp;dl=0","Click to download SizeChart")</f>
      </c>
      <c r="C4758" s="0" t="inlineStr">
        <is>
          <t>Aria Women's Reversible Quilted Sherpa Vest</t>
        </is>
      </c>
      <c r="D4758" s="0" t="inlineStr">
        <is>
          <t>'109172</t>
        </is>
      </c>
      <c r="E4758" s="0" t="inlineStr">
        <is>
          <t>CREIGHTON ARIA:109172E-2XL</t>
        </is>
      </c>
      <c r="F4758" s="0" t="inlineStr">
        <is>
          <t>'800109172055</t>
        </is>
      </c>
      <c r="G4758" s="0" t="inlineStr">
        <is>
          <t>WOMENS</t>
        </is>
      </c>
      <c r="H4758" s="0" t="inlineStr">
        <is>
          <t>2XL</t>
        </is>
      </c>
      <c r="I4758" s="0">
        <v>56.99</v>
      </c>
      <c r="J4758" s="0">
        <v>1</v>
      </c>
    </row>
    <row r="4759" spans="1:10" customHeight="0">
      <c r="A4759" s="0">
        <f>HYPERLINK("https://dl.dropboxusercontent.com/scl/fi/l75j01odsiv58p9c9j7k0/109172-af3.jpg?rlkey=29qvdxihkbo2dehoux7mnnaz8&amp;dl=0","Click to download Image")</f>
      </c>
      <c r="B4759" s="0">
        <f>HYPERLINK("https://dl.dropboxusercontent.com/scl/fi/2odw75yvoyvtzh9pz2zyo/womens-size-chartsaria.jpg?rlkey=7crx8eipd4qc2m2c9odxz23gm&amp;dl=0","Click to download SizeChart")</f>
      </c>
      <c r="C4759" s="0" t="inlineStr">
        <is>
          <t>Aria Women's Reversible Quilted Sherpa Vest</t>
        </is>
      </c>
      <c r="D4759" s="0" t="inlineStr">
        <is>
          <t>'109172</t>
        </is>
      </c>
      <c r="E4759" s="0" t="inlineStr">
        <is>
          <t>CREIGHTON ARIA:109172F-3XL</t>
        </is>
      </c>
      <c r="F4759" s="0" t="inlineStr">
        <is>
          <t>'800109172062</t>
        </is>
      </c>
      <c r="G4759" s="0" t="inlineStr">
        <is>
          <t>WOMENS</t>
        </is>
      </c>
      <c r="H4759" s="0" t="inlineStr">
        <is>
          <t>3XL</t>
        </is>
      </c>
      <c r="I4759" s="0">
        <v>56.99</v>
      </c>
      <c r="J4759" s="0">
        <v>1</v>
      </c>
    </row>
    <row r="4760" spans="1:10" customHeight="0">
      <c r="A4760" s="0">
        <f>HYPERLINK("https://dl.dropboxusercontent.com/scl/fi/1nxb62ougz2y68rx1ie1r/109170-af3.jpg?rlkey=01mw8lu5sy2q0ms6qqu0dkms6&amp;dl=0","Click to download Image")</f>
      </c>
      <c r="B4760" s="0">
        <f>HYPERLINK("https://dl.dropboxusercontent.com/scl/fi/2odw75yvoyvtzh9pz2zyo/womens-size-chartsaria.jpg?rlkey=7crx8eipd4qc2m2c9odxz23gm&amp;dl=0","Click to download SizeChart")</f>
      </c>
      <c r="C4760" s="0" t="inlineStr">
        <is>
          <t>Aria Women's Reversible Quilted Sherpa Vest</t>
        </is>
      </c>
      <c r="D4760" s="0" t="inlineStr">
        <is>
          <t>'109170</t>
        </is>
      </c>
      <c r="E4760" s="0" t="inlineStr">
        <is>
          <t>KSU ARIA:109170A-S</t>
        </is>
      </c>
      <c r="F4760" s="0" t="inlineStr">
        <is>
          <t>'800109170013</t>
        </is>
      </c>
      <c r="G4760" s="0" t="inlineStr">
        <is>
          <t>WOMENS</t>
        </is>
      </c>
      <c r="H4760" s="0" t="inlineStr">
        <is>
          <t>S</t>
        </is>
      </c>
      <c r="I4760" s="0">
        <v>54.99</v>
      </c>
      <c r="J4760" s="0">
        <v>0</v>
      </c>
    </row>
    <row r="4761" spans="1:10" customHeight="0">
      <c r="A4761" s="0">
        <f>HYPERLINK("https://dl.dropboxusercontent.com/scl/fi/1nxb62ougz2y68rx1ie1r/109170-af3.jpg?rlkey=01mw8lu5sy2q0ms6qqu0dkms6&amp;dl=0","Click to download Image")</f>
      </c>
      <c r="B4761" s="0">
        <f>HYPERLINK("https://dl.dropboxusercontent.com/scl/fi/2odw75yvoyvtzh9pz2zyo/womens-size-chartsaria.jpg?rlkey=7crx8eipd4qc2m2c9odxz23gm&amp;dl=0","Click to download SizeChart")</f>
      </c>
      <c r="C4761" s="0" t="inlineStr">
        <is>
          <t>Aria Women's Reversible Quilted Sherpa Vest</t>
        </is>
      </c>
      <c r="D4761" s="0" t="inlineStr">
        <is>
          <t>'109170</t>
        </is>
      </c>
      <c r="E4761" s="0" t="inlineStr">
        <is>
          <t>KSU ARIA:109170B-M</t>
        </is>
      </c>
      <c r="F4761" s="0" t="inlineStr">
        <is>
          <t>'800109170020</t>
        </is>
      </c>
      <c r="G4761" s="0" t="inlineStr">
        <is>
          <t>WOMENS</t>
        </is>
      </c>
      <c r="H4761" s="0" t="inlineStr">
        <is>
          <t>M</t>
        </is>
      </c>
      <c r="I4761" s="0">
        <v>54.99</v>
      </c>
      <c r="J4761" s="0">
        <v>23</v>
      </c>
    </row>
    <row r="4762" spans="1:10" customHeight="0">
      <c r="A4762" s="0">
        <f>HYPERLINK("https://dl.dropboxusercontent.com/scl/fi/1nxb62ougz2y68rx1ie1r/109170-af3.jpg?rlkey=01mw8lu5sy2q0ms6qqu0dkms6&amp;dl=0","Click to download Image")</f>
      </c>
      <c r="B4762" s="0">
        <f>HYPERLINK("https://dl.dropboxusercontent.com/scl/fi/2odw75yvoyvtzh9pz2zyo/womens-size-chartsaria.jpg?rlkey=7crx8eipd4qc2m2c9odxz23gm&amp;dl=0","Click to download SizeChart")</f>
      </c>
      <c r="C4762" s="0" t="inlineStr">
        <is>
          <t>Aria Women's Reversible Quilted Sherpa Vest</t>
        </is>
      </c>
      <c r="D4762" s="0" t="inlineStr">
        <is>
          <t>'109170</t>
        </is>
      </c>
      <c r="E4762" s="0" t="inlineStr">
        <is>
          <t>KSU ARIA:109170C-L</t>
        </is>
      </c>
      <c r="F4762" s="0" t="inlineStr">
        <is>
          <t>'800109170037</t>
        </is>
      </c>
      <c r="G4762" s="0" t="inlineStr">
        <is>
          <t>WOMENS</t>
        </is>
      </c>
      <c r="H4762" s="0" t="inlineStr">
        <is>
          <t>L</t>
        </is>
      </c>
      <c r="I4762" s="0">
        <v>54.99</v>
      </c>
      <c r="J4762" s="0">
        <v>24</v>
      </c>
    </row>
    <row r="4763" spans="1:10" customHeight="0">
      <c r="A4763" s="0">
        <f>HYPERLINK("https://dl.dropboxusercontent.com/scl/fi/1nxb62ougz2y68rx1ie1r/109170-af3.jpg?rlkey=01mw8lu5sy2q0ms6qqu0dkms6&amp;dl=0","Click to download Image")</f>
      </c>
      <c r="B4763" s="0">
        <f>HYPERLINK("https://dl.dropboxusercontent.com/scl/fi/2odw75yvoyvtzh9pz2zyo/womens-size-chartsaria.jpg?rlkey=7crx8eipd4qc2m2c9odxz23gm&amp;dl=0","Click to download SizeChart")</f>
      </c>
      <c r="C4763" s="0" t="inlineStr">
        <is>
          <t>Aria Women's Reversible Quilted Sherpa Vest</t>
        </is>
      </c>
      <c r="D4763" s="0" t="inlineStr">
        <is>
          <t>'109170</t>
        </is>
      </c>
      <c r="E4763" s="0" t="inlineStr">
        <is>
          <t>KSU ARIA:109170D-XL</t>
        </is>
      </c>
      <c r="F4763" s="0" t="inlineStr">
        <is>
          <t>'800109170044</t>
        </is>
      </c>
      <c r="G4763" s="0" t="inlineStr">
        <is>
          <t>WOMENS</t>
        </is>
      </c>
      <c r="H4763" s="0" t="inlineStr">
        <is>
          <t>XL</t>
        </is>
      </c>
      <c r="I4763" s="0">
        <v>54.99</v>
      </c>
      <c r="J4763" s="0">
        <v>11</v>
      </c>
    </row>
    <row r="4764" spans="1:10" customHeight="0">
      <c r="A4764" s="0">
        <f>HYPERLINK("https://dl.dropboxusercontent.com/scl/fi/1nxb62ougz2y68rx1ie1r/109170-af3.jpg?rlkey=01mw8lu5sy2q0ms6qqu0dkms6&amp;dl=0","Click to download Image")</f>
      </c>
      <c r="B4764" s="0">
        <f>HYPERLINK("https://dl.dropboxusercontent.com/scl/fi/2odw75yvoyvtzh9pz2zyo/womens-size-chartsaria.jpg?rlkey=7crx8eipd4qc2m2c9odxz23gm&amp;dl=0","Click to download SizeChart")</f>
      </c>
      <c r="C4764" s="0" t="inlineStr">
        <is>
          <t>Aria Women's Reversible Quilted Sherpa Vest</t>
        </is>
      </c>
      <c r="D4764" s="0" t="inlineStr">
        <is>
          <t>'109170</t>
        </is>
      </c>
      <c r="E4764" s="0" t="inlineStr">
        <is>
          <t>KSU ARIA:109170E-2XL</t>
        </is>
      </c>
      <c r="F4764" s="0" t="inlineStr">
        <is>
          <t>'800109170051</t>
        </is>
      </c>
      <c r="G4764" s="0" t="inlineStr">
        <is>
          <t>WOMENS</t>
        </is>
      </c>
      <c r="H4764" s="0" t="inlineStr">
        <is>
          <t>2XL</t>
        </is>
      </c>
      <c r="I4764" s="0">
        <v>56.99</v>
      </c>
      <c r="J4764" s="0">
        <v>4</v>
      </c>
    </row>
    <row r="4765" spans="1:10" customHeight="0">
      <c r="A4765" s="0">
        <f>HYPERLINK("https://dl.dropboxusercontent.com/scl/fi/1nxb62ougz2y68rx1ie1r/109170-af3.jpg?rlkey=01mw8lu5sy2q0ms6qqu0dkms6&amp;dl=0","Click to download Image")</f>
      </c>
      <c r="B4765" s="0">
        <f>HYPERLINK("https://dl.dropboxusercontent.com/scl/fi/2odw75yvoyvtzh9pz2zyo/womens-size-chartsaria.jpg?rlkey=7crx8eipd4qc2m2c9odxz23gm&amp;dl=0","Click to download SizeChart")</f>
      </c>
      <c r="C4765" s="0" t="inlineStr">
        <is>
          <t>Aria Women's Reversible Quilted Sherpa Vest</t>
        </is>
      </c>
      <c r="D4765" s="0" t="inlineStr">
        <is>
          <t>'109170</t>
        </is>
      </c>
      <c r="E4765" s="0" t="inlineStr">
        <is>
          <t>KSU ARIA:109170F-3XL</t>
        </is>
      </c>
      <c r="F4765" s="0" t="inlineStr">
        <is>
          <t>'800109170068</t>
        </is>
      </c>
      <c r="G4765" s="0" t="inlineStr">
        <is>
          <t>WOMENS</t>
        </is>
      </c>
      <c r="H4765" s="0" t="inlineStr">
        <is>
          <t>3XL</t>
        </is>
      </c>
      <c r="I4765" s="0">
        <v>56.99</v>
      </c>
      <c r="J4765" s="0">
        <v>2</v>
      </c>
    </row>
    <row r="4766" spans="1:10" customHeight="0">
      <c r="A4766" s="0">
        <f>HYPERLINK("https://dl.dropboxusercontent.com/scl/fi/qxwy3k9l6xmpsxd6rt2vd/aria.jpg?rlkey=8jlynhea2vil3u5cyhnxretdf&amp;dl=0","Click to download Image")</f>
      </c>
      <c r="B4766" s="0">
        <f>HYPERLINK("https://dl.dropboxusercontent.com/scl/fi/2odw75yvoyvtzh9pz2zyo/womens-size-chartsaria.jpg?rlkey=7crx8eipd4qc2m2c9odxz23gm&amp;dl=0","Click to download SizeChart")</f>
      </c>
      <c r="C4766" s="0" t="inlineStr">
        <is>
          <t>Aria Women's Reversible Quilted Sherpa Vest</t>
        </is>
      </c>
      <c r="D4766" s="0" t="inlineStr">
        <is>
          <t>'109169</t>
        </is>
      </c>
      <c r="E4766" s="0" t="inlineStr">
        <is>
          <t>PURDUE ARIA:109169A-S</t>
        </is>
      </c>
      <c r="F4766" s="0" t="inlineStr">
        <is>
          <t>'800109169017</t>
        </is>
      </c>
      <c r="G4766" s="0" t="inlineStr">
        <is>
          <t>WOMENS</t>
        </is>
      </c>
      <c r="H4766" s="0" t="inlineStr">
        <is>
          <t>S</t>
        </is>
      </c>
      <c r="I4766" s="0">
        <v>54.99</v>
      </c>
      <c r="J4766" s="0">
        <v>1</v>
      </c>
    </row>
    <row r="4767" spans="1:10" customHeight="0">
      <c r="A4767" s="0">
        <f>HYPERLINK("https://dl.dropboxusercontent.com/scl/fi/qxwy3k9l6xmpsxd6rt2vd/aria.jpg?rlkey=8jlynhea2vil3u5cyhnxretdf&amp;dl=0","Click to download Image")</f>
      </c>
      <c r="B4767" s="0">
        <f>HYPERLINK("https://dl.dropboxusercontent.com/scl/fi/2odw75yvoyvtzh9pz2zyo/womens-size-chartsaria.jpg?rlkey=7crx8eipd4qc2m2c9odxz23gm&amp;dl=0","Click to download SizeChart")</f>
      </c>
      <c r="C4767" s="0" t="inlineStr">
        <is>
          <t>Aria Women's Reversible Quilted Sherpa Vest</t>
        </is>
      </c>
      <c r="D4767" s="0" t="inlineStr">
        <is>
          <t>'109169</t>
        </is>
      </c>
      <c r="E4767" s="0" t="inlineStr">
        <is>
          <t>PURDUE ARIA:109169B-M</t>
        </is>
      </c>
      <c r="F4767" s="0" t="inlineStr">
        <is>
          <t>'800109169024</t>
        </is>
      </c>
      <c r="G4767" s="0" t="inlineStr">
        <is>
          <t>WOMENS</t>
        </is>
      </c>
      <c r="H4767" s="0" t="inlineStr">
        <is>
          <t>M</t>
        </is>
      </c>
      <c r="I4767" s="0">
        <v>54.99</v>
      </c>
      <c r="J4767" s="0">
        <v>14</v>
      </c>
    </row>
    <row r="4768" spans="1:10" customHeight="0">
      <c r="A4768" s="0">
        <f>HYPERLINK("https://dl.dropboxusercontent.com/scl/fi/qxwy3k9l6xmpsxd6rt2vd/aria.jpg?rlkey=8jlynhea2vil3u5cyhnxretdf&amp;dl=0","Click to download Image")</f>
      </c>
      <c r="B4768" s="0">
        <f>HYPERLINK("https://dl.dropboxusercontent.com/scl/fi/2odw75yvoyvtzh9pz2zyo/womens-size-chartsaria.jpg?rlkey=7crx8eipd4qc2m2c9odxz23gm&amp;dl=0","Click to download SizeChart")</f>
      </c>
      <c r="C4768" s="0" t="inlineStr">
        <is>
          <t>Aria Women's Reversible Quilted Sherpa Vest</t>
        </is>
      </c>
      <c r="D4768" s="0" t="inlineStr">
        <is>
          <t>'109169</t>
        </is>
      </c>
      <c r="E4768" s="0" t="inlineStr">
        <is>
          <t>PURDUE ARIA:109169C-L</t>
        </is>
      </c>
      <c r="F4768" s="0" t="inlineStr">
        <is>
          <t>'800109169031</t>
        </is>
      </c>
      <c r="G4768" s="0" t="inlineStr">
        <is>
          <t>WOMENS</t>
        </is>
      </c>
      <c r="H4768" s="0" t="inlineStr">
        <is>
          <t>L</t>
        </is>
      </c>
      <c r="I4768" s="0">
        <v>54.99</v>
      </c>
      <c r="J4768" s="0">
        <v>16</v>
      </c>
    </row>
    <row r="4769" spans="1:10" customHeight="0">
      <c r="A4769" s="0">
        <f>HYPERLINK("https://dl.dropboxusercontent.com/scl/fi/qxwy3k9l6xmpsxd6rt2vd/aria.jpg?rlkey=8jlynhea2vil3u5cyhnxretdf&amp;dl=0","Click to download Image")</f>
      </c>
      <c r="B4769" s="0">
        <f>HYPERLINK("https://dl.dropboxusercontent.com/scl/fi/2odw75yvoyvtzh9pz2zyo/womens-size-chartsaria.jpg?rlkey=7crx8eipd4qc2m2c9odxz23gm&amp;dl=0","Click to download SizeChart")</f>
      </c>
      <c r="C4769" s="0" t="inlineStr">
        <is>
          <t>Aria Women's Reversible Quilted Sherpa Vest</t>
        </is>
      </c>
      <c r="D4769" s="0" t="inlineStr">
        <is>
          <t>'109169</t>
        </is>
      </c>
      <c r="E4769" s="0" t="inlineStr">
        <is>
          <t>PURDUE ARIA:109169D-XL</t>
        </is>
      </c>
      <c r="F4769" s="0" t="inlineStr">
        <is>
          <t>'800109169048</t>
        </is>
      </c>
      <c r="G4769" s="0" t="inlineStr">
        <is>
          <t>WOMENS</t>
        </is>
      </c>
      <c r="H4769" s="0" t="inlineStr">
        <is>
          <t>XL</t>
        </is>
      </c>
      <c r="I4769" s="0">
        <v>54.99</v>
      </c>
      <c r="J4769" s="0">
        <v>8</v>
      </c>
    </row>
    <row r="4770" spans="1:10" customHeight="0">
      <c r="A4770" s="0">
        <f>HYPERLINK("https://dl.dropboxusercontent.com/scl/fi/qxwy3k9l6xmpsxd6rt2vd/aria.jpg?rlkey=8jlynhea2vil3u5cyhnxretdf&amp;dl=0","Click to download Image")</f>
      </c>
      <c r="B4770" s="0">
        <f>HYPERLINK("https://dl.dropboxusercontent.com/scl/fi/2odw75yvoyvtzh9pz2zyo/womens-size-chartsaria.jpg?rlkey=7crx8eipd4qc2m2c9odxz23gm&amp;dl=0","Click to download SizeChart")</f>
      </c>
      <c r="C4770" s="0" t="inlineStr">
        <is>
          <t>Aria Women's Reversible Quilted Sherpa Vest</t>
        </is>
      </c>
      <c r="D4770" s="0" t="inlineStr">
        <is>
          <t>'109169</t>
        </is>
      </c>
      <c r="E4770" s="0" t="inlineStr">
        <is>
          <t>PURDUE ARIA:109169E-2XL</t>
        </is>
      </c>
      <c r="F4770" s="0" t="inlineStr">
        <is>
          <t>'800109169055</t>
        </is>
      </c>
      <c r="G4770" s="0" t="inlineStr">
        <is>
          <t>WOMENS</t>
        </is>
      </c>
      <c r="H4770" s="0" t="inlineStr">
        <is>
          <t>2XL</t>
        </is>
      </c>
      <c r="I4770" s="0">
        <v>56.99</v>
      </c>
      <c r="J4770" s="0">
        <v>4</v>
      </c>
    </row>
    <row r="4771" spans="1:10" customHeight="0">
      <c r="A4771" s="0">
        <f>HYPERLINK("https://dl.dropboxusercontent.com/scl/fi/qxwy3k9l6xmpsxd6rt2vd/aria.jpg?rlkey=8jlynhea2vil3u5cyhnxretdf&amp;dl=0","Click to download Image")</f>
      </c>
      <c r="B4771" s="0">
        <f>HYPERLINK("https://dl.dropboxusercontent.com/scl/fi/2odw75yvoyvtzh9pz2zyo/womens-size-chartsaria.jpg?rlkey=7crx8eipd4qc2m2c9odxz23gm&amp;dl=0","Click to download SizeChart")</f>
      </c>
      <c r="C4771" s="0" t="inlineStr">
        <is>
          <t>Aria Women's Reversible Quilted Sherpa Vest</t>
        </is>
      </c>
      <c r="D4771" s="0" t="inlineStr">
        <is>
          <t>'109169</t>
        </is>
      </c>
      <c r="E4771" s="0" t="inlineStr">
        <is>
          <t>PURDUE ARIA:109169F-3XL</t>
        </is>
      </c>
      <c r="F4771" s="0" t="inlineStr">
        <is>
          <t>'800109169062</t>
        </is>
      </c>
      <c r="G4771" s="0" t="inlineStr">
        <is>
          <t>WOMENS</t>
        </is>
      </c>
      <c r="H4771" s="0" t="inlineStr">
        <is>
          <t>3XL</t>
        </is>
      </c>
      <c r="I4771" s="0">
        <v>56.99</v>
      </c>
      <c r="J4771" s="0">
        <v>4</v>
      </c>
    </row>
    <row r="4772" spans="1:10" customHeight="0">
      <c r="A4772" s="0">
        <f>HYPERLINK("https://dl.dropboxusercontent.com/scl/fi/dnsw0nltlib6ubu0ufp8w/aria-02.jpg?rlkey=zzyfqvbxkby2y8wjic9rg1xii&amp;dl=0","Click to download Image")</f>
      </c>
      <c r="B4772" s="0">
        <f>HYPERLINK("https://dl.dropboxusercontent.com/scl/fi/2odw75yvoyvtzh9pz2zyo/womens-size-chartsaria.jpg?rlkey=7crx8eipd4qc2m2c9odxz23gm&amp;dl=0","Click to download SizeChart")</f>
      </c>
      <c r="C4772" s="0" t="inlineStr">
        <is>
          <t>Aria Women's Reversible Quilted Sherpa Vest</t>
        </is>
      </c>
      <c r="D4772" s="0" t="inlineStr">
        <is>
          <t>'109168</t>
        </is>
      </c>
      <c r="E4772" s="0" t="inlineStr">
        <is>
          <t>MU ARIA:109168A-S</t>
        </is>
      </c>
      <c r="F4772" s="0" t="inlineStr">
        <is>
          <t>'800109168010</t>
        </is>
      </c>
      <c r="G4772" s="0" t="inlineStr">
        <is>
          <t>WOMENS</t>
        </is>
      </c>
      <c r="H4772" s="0" t="inlineStr">
        <is>
          <t>S</t>
        </is>
      </c>
      <c r="I4772" s="0">
        <v>54.99</v>
      </c>
      <c r="J4772" s="0">
        <v>5</v>
      </c>
    </row>
    <row r="4773" spans="1:10" customHeight="0">
      <c r="A4773" s="0">
        <f>HYPERLINK("https://dl.dropboxusercontent.com/scl/fi/dnsw0nltlib6ubu0ufp8w/aria-02.jpg?rlkey=zzyfqvbxkby2y8wjic9rg1xii&amp;dl=0","Click to download Image")</f>
      </c>
      <c r="B4773" s="0">
        <f>HYPERLINK("https://dl.dropboxusercontent.com/scl/fi/2odw75yvoyvtzh9pz2zyo/womens-size-chartsaria.jpg?rlkey=7crx8eipd4qc2m2c9odxz23gm&amp;dl=0","Click to download SizeChart")</f>
      </c>
      <c r="C4773" s="0" t="inlineStr">
        <is>
          <t>Aria Women's Reversible Quilted Sherpa Vest</t>
        </is>
      </c>
      <c r="D4773" s="0" t="inlineStr">
        <is>
          <t>'109168</t>
        </is>
      </c>
      <c r="E4773" s="0" t="inlineStr">
        <is>
          <t>MU ARIA:109168B-M</t>
        </is>
      </c>
      <c r="F4773" s="0" t="inlineStr">
        <is>
          <t>'800109168027</t>
        </is>
      </c>
      <c r="G4773" s="0" t="inlineStr">
        <is>
          <t>WOMENS</t>
        </is>
      </c>
      <c r="H4773" s="0" t="inlineStr">
        <is>
          <t>M</t>
        </is>
      </c>
      <c r="I4773" s="0">
        <v>54.99</v>
      </c>
      <c r="J4773" s="0">
        <v>13</v>
      </c>
    </row>
    <row r="4774" spans="1:10" customHeight="0">
      <c r="A4774" s="0">
        <f>HYPERLINK("https://dl.dropboxusercontent.com/scl/fi/dnsw0nltlib6ubu0ufp8w/aria-02.jpg?rlkey=zzyfqvbxkby2y8wjic9rg1xii&amp;dl=0","Click to download Image")</f>
      </c>
      <c r="B4774" s="0">
        <f>HYPERLINK("https://dl.dropboxusercontent.com/scl/fi/2odw75yvoyvtzh9pz2zyo/womens-size-chartsaria.jpg?rlkey=7crx8eipd4qc2m2c9odxz23gm&amp;dl=0","Click to download SizeChart")</f>
      </c>
      <c r="C4774" s="0" t="inlineStr">
        <is>
          <t>Aria Women's Reversible Quilted Sherpa Vest</t>
        </is>
      </c>
      <c r="D4774" s="0" t="inlineStr">
        <is>
          <t>'109168</t>
        </is>
      </c>
      <c r="E4774" s="0" t="inlineStr">
        <is>
          <t>MU ARIA:109168C-L</t>
        </is>
      </c>
      <c r="F4774" s="0" t="inlineStr">
        <is>
          <t>'800109168034</t>
        </is>
      </c>
      <c r="G4774" s="0" t="inlineStr">
        <is>
          <t>WOMENS</t>
        </is>
      </c>
      <c r="H4774" s="0" t="inlineStr">
        <is>
          <t>L</t>
        </is>
      </c>
      <c r="I4774" s="0">
        <v>54.99</v>
      </c>
      <c r="J4774" s="0">
        <v>11</v>
      </c>
    </row>
    <row r="4775" spans="1:10" customHeight="0">
      <c r="A4775" s="0">
        <f>HYPERLINK("https://dl.dropboxusercontent.com/scl/fi/dnsw0nltlib6ubu0ufp8w/aria-02.jpg?rlkey=zzyfqvbxkby2y8wjic9rg1xii&amp;dl=0","Click to download Image")</f>
      </c>
      <c r="B4775" s="0">
        <f>HYPERLINK("https://dl.dropboxusercontent.com/scl/fi/2odw75yvoyvtzh9pz2zyo/womens-size-chartsaria.jpg?rlkey=7crx8eipd4qc2m2c9odxz23gm&amp;dl=0","Click to download SizeChart")</f>
      </c>
      <c r="C4775" s="0" t="inlineStr">
        <is>
          <t>Aria Women's Reversible Quilted Sherpa Vest</t>
        </is>
      </c>
      <c r="D4775" s="0" t="inlineStr">
        <is>
          <t>'109168</t>
        </is>
      </c>
      <c r="E4775" s="0" t="inlineStr">
        <is>
          <t>MU ARIA:109168D-XL</t>
        </is>
      </c>
      <c r="F4775" s="0" t="inlineStr">
        <is>
          <t>'800109168041</t>
        </is>
      </c>
      <c r="G4775" s="0" t="inlineStr">
        <is>
          <t>WOMENS</t>
        </is>
      </c>
      <c r="H4775" s="0" t="inlineStr">
        <is>
          <t>XL</t>
        </is>
      </c>
      <c r="I4775" s="0">
        <v>54.99</v>
      </c>
      <c r="J4775" s="0">
        <v>2</v>
      </c>
    </row>
    <row r="4776" spans="1:10" customHeight="0">
      <c r="A4776" s="0">
        <f>HYPERLINK("https://dl.dropboxusercontent.com/scl/fi/dnsw0nltlib6ubu0ufp8w/aria-02.jpg?rlkey=zzyfqvbxkby2y8wjic9rg1xii&amp;dl=0","Click to download Image")</f>
      </c>
      <c r="B4776" s="0">
        <f>HYPERLINK("https://dl.dropboxusercontent.com/scl/fi/2odw75yvoyvtzh9pz2zyo/womens-size-chartsaria.jpg?rlkey=7crx8eipd4qc2m2c9odxz23gm&amp;dl=0","Click to download SizeChart")</f>
      </c>
      <c r="C4776" s="0" t="inlineStr">
        <is>
          <t>Aria Women's Reversible Quilted Sherpa Vest</t>
        </is>
      </c>
      <c r="D4776" s="0" t="inlineStr">
        <is>
          <t>'109168</t>
        </is>
      </c>
      <c r="E4776" s="0" t="inlineStr">
        <is>
          <t>MU ARIA:109168E-2XL</t>
        </is>
      </c>
      <c r="F4776" s="0" t="inlineStr">
        <is>
          <t>'800109168058</t>
        </is>
      </c>
      <c r="G4776" s="0" t="inlineStr">
        <is>
          <t>WOMENS</t>
        </is>
      </c>
      <c r="H4776" s="0" t="inlineStr">
        <is>
          <t>2XL</t>
        </is>
      </c>
      <c r="I4776" s="0">
        <v>56.99</v>
      </c>
      <c r="J4776" s="0">
        <v>0</v>
      </c>
    </row>
    <row r="4777" spans="1:10" customHeight="0">
      <c r="A4777" s="0">
        <f>HYPERLINK("https://dl.dropboxusercontent.com/scl/fi/dnsw0nltlib6ubu0ufp8w/aria-02.jpg?rlkey=zzyfqvbxkby2y8wjic9rg1xii&amp;dl=0","Click to download Image")</f>
      </c>
      <c r="B4777" s="0">
        <f>HYPERLINK("https://dl.dropboxusercontent.com/scl/fi/2odw75yvoyvtzh9pz2zyo/womens-size-chartsaria.jpg?rlkey=7crx8eipd4qc2m2c9odxz23gm&amp;dl=0","Click to download SizeChart")</f>
      </c>
      <c r="C4777" s="0" t="inlineStr">
        <is>
          <t>Aria Women's Reversible Quilted Sherpa Vest</t>
        </is>
      </c>
      <c r="D4777" s="0" t="inlineStr">
        <is>
          <t>'109168</t>
        </is>
      </c>
      <c r="E4777" s="0" t="inlineStr">
        <is>
          <t>MU ARIA:109168F-3XL</t>
        </is>
      </c>
      <c r="F4777" s="0" t="inlineStr">
        <is>
          <t>'800109168065</t>
        </is>
      </c>
      <c r="G4777" s="0" t="inlineStr">
        <is>
          <t>WOMENS</t>
        </is>
      </c>
      <c r="H4777" s="0" t="inlineStr">
        <is>
          <t>3XL</t>
        </is>
      </c>
      <c r="I4777" s="0">
        <v>56.99</v>
      </c>
      <c r="J4777" s="0">
        <v>4</v>
      </c>
    </row>
    <row r="4778" spans="1:10" customHeight="0">
      <c r="A4778" s="0">
        <f>HYPERLINK("https://dl.dropboxusercontent.com/scl/fi/wcf22yro4e8ckq2zn2z93/109171-af3.jpg?rlkey=o5scokf7la48fx1kv8timrkbn&amp;dl=0","Click to download Image")</f>
      </c>
      <c r="B4778" s="0">
        <f>HYPERLINK("https://dl.dropboxusercontent.com/scl/fi/2odw75yvoyvtzh9pz2zyo/womens-size-chartsaria.jpg?rlkey=7crx8eipd4qc2m2c9odxz23gm&amp;dl=0","Click to download SizeChart")</f>
      </c>
      <c r="C4778" s="0" t="inlineStr">
        <is>
          <t>Aria Women's Reversible Quilted Sherpa Vest</t>
        </is>
      </c>
      <c r="D4778" s="0" t="inlineStr">
        <is>
          <t>'109171</t>
        </is>
      </c>
      <c r="E4778" s="0" t="inlineStr">
        <is>
          <t>UNO ARIA:109171A-S</t>
        </is>
      </c>
      <c r="F4778" s="0" t="inlineStr">
        <is>
          <t>'800109171010</t>
        </is>
      </c>
      <c r="G4778" s="0" t="inlineStr">
        <is>
          <t>WOMENS</t>
        </is>
      </c>
      <c r="H4778" s="0" t="inlineStr">
        <is>
          <t>S</t>
        </is>
      </c>
      <c r="I4778" s="0">
        <v>54.99</v>
      </c>
      <c r="J4778" s="0">
        <v>4</v>
      </c>
    </row>
    <row r="4779" spans="1:10" customHeight="0">
      <c r="A4779" s="0">
        <f>HYPERLINK("https://dl.dropboxusercontent.com/scl/fi/wcf22yro4e8ckq2zn2z93/109171-af3.jpg?rlkey=o5scokf7la48fx1kv8timrkbn&amp;dl=0","Click to download Image")</f>
      </c>
      <c r="B4779" s="0">
        <f>HYPERLINK("https://dl.dropboxusercontent.com/scl/fi/2odw75yvoyvtzh9pz2zyo/womens-size-chartsaria.jpg?rlkey=7crx8eipd4qc2m2c9odxz23gm&amp;dl=0","Click to download SizeChart")</f>
      </c>
      <c r="C4779" s="0" t="inlineStr">
        <is>
          <t>Aria Women's Reversible Quilted Sherpa Vest</t>
        </is>
      </c>
      <c r="D4779" s="0" t="inlineStr">
        <is>
          <t>'109171</t>
        </is>
      </c>
      <c r="E4779" s="0" t="inlineStr">
        <is>
          <t>UNO ARIA:109171B-M</t>
        </is>
      </c>
      <c r="F4779" s="0" t="inlineStr">
        <is>
          <t>'800109171027</t>
        </is>
      </c>
      <c r="G4779" s="0" t="inlineStr">
        <is>
          <t>WOMENS</t>
        </is>
      </c>
      <c r="H4779" s="0" t="inlineStr">
        <is>
          <t>M</t>
        </is>
      </c>
      <c r="I4779" s="0">
        <v>54.99</v>
      </c>
      <c r="J4779" s="0">
        <v>6</v>
      </c>
    </row>
    <row r="4780" spans="1:10" customHeight="0">
      <c r="A4780" s="0">
        <f>HYPERLINK("https://dl.dropboxusercontent.com/scl/fi/wcf22yro4e8ckq2zn2z93/109171-af3.jpg?rlkey=o5scokf7la48fx1kv8timrkbn&amp;dl=0","Click to download Image")</f>
      </c>
      <c r="B4780" s="0">
        <f>HYPERLINK("https://dl.dropboxusercontent.com/scl/fi/2odw75yvoyvtzh9pz2zyo/womens-size-chartsaria.jpg?rlkey=7crx8eipd4qc2m2c9odxz23gm&amp;dl=0","Click to download SizeChart")</f>
      </c>
      <c r="C4780" s="0" t="inlineStr">
        <is>
          <t>Aria Women's Reversible Quilted Sherpa Vest</t>
        </is>
      </c>
      <c r="D4780" s="0" t="inlineStr">
        <is>
          <t>'109171</t>
        </is>
      </c>
      <c r="E4780" s="0" t="inlineStr">
        <is>
          <t>UNO ARIA:109171C-L</t>
        </is>
      </c>
      <c r="F4780" s="0" t="inlineStr">
        <is>
          <t>'800109171034</t>
        </is>
      </c>
      <c r="G4780" s="0" t="inlineStr">
        <is>
          <t>WOMENS</t>
        </is>
      </c>
      <c r="H4780" s="0" t="inlineStr">
        <is>
          <t>L</t>
        </is>
      </c>
      <c r="I4780" s="0">
        <v>54.99</v>
      </c>
      <c r="J4780" s="0">
        <v>8</v>
      </c>
    </row>
    <row r="4781" spans="1:10" customHeight="0">
      <c r="A4781" s="0">
        <f>HYPERLINK("https://dl.dropboxusercontent.com/scl/fi/wcf22yro4e8ckq2zn2z93/109171-af3.jpg?rlkey=o5scokf7la48fx1kv8timrkbn&amp;dl=0","Click to download Image")</f>
      </c>
      <c r="B4781" s="0">
        <f>HYPERLINK("https://dl.dropboxusercontent.com/scl/fi/2odw75yvoyvtzh9pz2zyo/womens-size-chartsaria.jpg?rlkey=7crx8eipd4qc2m2c9odxz23gm&amp;dl=0","Click to download SizeChart")</f>
      </c>
      <c r="C4781" s="0" t="inlineStr">
        <is>
          <t>Aria Women's Reversible Quilted Sherpa Vest</t>
        </is>
      </c>
      <c r="D4781" s="0" t="inlineStr">
        <is>
          <t>'109171</t>
        </is>
      </c>
      <c r="E4781" s="0" t="inlineStr">
        <is>
          <t>UNO ARIA:109171D-XL</t>
        </is>
      </c>
      <c r="F4781" s="0" t="inlineStr">
        <is>
          <t>'800109171041</t>
        </is>
      </c>
      <c r="G4781" s="0" t="inlineStr">
        <is>
          <t>WOMENS</t>
        </is>
      </c>
      <c r="H4781" s="0" t="inlineStr">
        <is>
          <t>XL</t>
        </is>
      </c>
      <c r="I4781" s="0">
        <v>54.99</v>
      </c>
      <c r="J4781" s="0">
        <v>4</v>
      </c>
    </row>
    <row r="4782" spans="1:10" customHeight="0">
      <c r="A4782" s="0">
        <f>HYPERLINK("https://dl.dropboxusercontent.com/scl/fi/wcf22yro4e8ckq2zn2z93/109171-af3.jpg?rlkey=o5scokf7la48fx1kv8timrkbn&amp;dl=0","Click to download Image")</f>
      </c>
      <c r="B4782" s="0">
        <f>HYPERLINK("https://dl.dropboxusercontent.com/scl/fi/2odw75yvoyvtzh9pz2zyo/womens-size-chartsaria.jpg?rlkey=7crx8eipd4qc2m2c9odxz23gm&amp;dl=0","Click to download SizeChart")</f>
      </c>
      <c r="C4782" s="0" t="inlineStr">
        <is>
          <t>Aria Women's Reversible Quilted Sherpa Vest</t>
        </is>
      </c>
      <c r="D4782" s="0" t="inlineStr">
        <is>
          <t>'109171</t>
        </is>
      </c>
      <c r="E4782" s="0" t="inlineStr">
        <is>
          <t>UNO ARIA:109171E-2XL</t>
        </is>
      </c>
      <c r="F4782" s="0" t="inlineStr">
        <is>
          <t>'800109171058</t>
        </is>
      </c>
      <c r="G4782" s="0" t="inlineStr">
        <is>
          <t>WOMENS</t>
        </is>
      </c>
      <c r="H4782" s="0" t="inlineStr">
        <is>
          <t>2XL</t>
        </is>
      </c>
      <c r="I4782" s="0">
        <v>56.99</v>
      </c>
      <c r="J4782" s="0">
        <v>1</v>
      </c>
    </row>
    <row r="4783" spans="1:10" customHeight="0">
      <c r="A4783" s="0">
        <f>HYPERLINK("https://dl.dropboxusercontent.com/scl/fi/wcf22yro4e8ckq2zn2z93/109171-af3.jpg?rlkey=o5scokf7la48fx1kv8timrkbn&amp;dl=0","Click to download Image")</f>
      </c>
      <c r="B4783" s="0">
        <f>HYPERLINK("https://dl.dropboxusercontent.com/scl/fi/2odw75yvoyvtzh9pz2zyo/womens-size-chartsaria.jpg?rlkey=7crx8eipd4qc2m2c9odxz23gm&amp;dl=0","Click to download SizeChart")</f>
      </c>
      <c r="C4783" s="0" t="inlineStr">
        <is>
          <t>Aria Women's Reversible Quilted Sherpa Vest</t>
        </is>
      </c>
      <c r="D4783" s="0" t="inlineStr">
        <is>
          <t>'109171</t>
        </is>
      </c>
      <c r="E4783" s="0" t="inlineStr">
        <is>
          <t>UNO ARIA:109171F-3XL</t>
        </is>
      </c>
      <c r="F4783" s="0" t="inlineStr">
        <is>
          <t>'800109171065</t>
        </is>
      </c>
      <c r="G4783" s="0" t="inlineStr">
        <is>
          <t>WOMENS</t>
        </is>
      </c>
      <c r="H4783" s="0" t="inlineStr">
        <is>
          <t>3XL</t>
        </is>
      </c>
      <c r="I4783" s="0">
        <v>56.99</v>
      </c>
      <c r="J4783" s="0">
        <v>1</v>
      </c>
    </row>
    <row r="4784" spans="1:10" customHeight="0">
      <c r="A4784" s="0">
        <f>HYPERLINK("https://dl.dropboxusercontent.com/scl/fi/om7gp2c0ru8nmt21hsrjz/109173-af3.jpg?rlkey=a486zjbgm3w4ebdqyle9mc5fb&amp;dl=0","Click to download Image")</f>
      </c>
      <c r="B4784" s="0">
        <f>HYPERLINK("https://dl.dropboxusercontent.com/scl/fi/2odw75yvoyvtzh9pz2zyo/womens-size-chartsaria.jpg?rlkey=7crx8eipd4qc2m2c9odxz23gm&amp;dl=0","Click to download SizeChart")</f>
      </c>
      <c r="C4784" s="0" t="inlineStr">
        <is>
          <t>Aria Women's Reversible Quilted Sherpa Vest</t>
        </is>
      </c>
      <c r="D4784" s="0" t="inlineStr">
        <is>
          <t>'109173</t>
        </is>
      </c>
      <c r="E4784" s="0" t="inlineStr">
        <is>
          <t>USD ARIA:109173A - S</t>
        </is>
      </c>
      <c r="F4784" s="0" t="inlineStr">
        <is>
          <t>'800109173014</t>
        </is>
      </c>
      <c r="G4784" s="0" t="inlineStr">
        <is>
          <t>WOMENS</t>
        </is>
      </c>
      <c r="H4784" s="0" t="inlineStr">
        <is>
          <t>S</t>
        </is>
      </c>
      <c r="I4784" s="0">
        <v>54.99</v>
      </c>
      <c r="J4784" s="0">
        <v>2</v>
      </c>
    </row>
    <row r="4785" spans="1:10" customHeight="0">
      <c r="A4785" s="0">
        <f>HYPERLINK("https://dl.dropboxusercontent.com/scl/fi/om7gp2c0ru8nmt21hsrjz/109173-af3.jpg?rlkey=a486zjbgm3w4ebdqyle9mc5fb&amp;dl=0","Click to download Image")</f>
      </c>
      <c r="B4785" s="0">
        <f>HYPERLINK("https://dl.dropboxusercontent.com/scl/fi/2odw75yvoyvtzh9pz2zyo/womens-size-chartsaria.jpg?rlkey=7crx8eipd4qc2m2c9odxz23gm&amp;dl=0","Click to download SizeChart")</f>
      </c>
      <c r="C4785" s="0" t="inlineStr">
        <is>
          <t>Aria Women's Reversible Quilted Sherpa Vest</t>
        </is>
      </c>
      <c r="D4785" s="0" t="inlineStr">
        <is>
          <t>'109173</t>
        </is>
      </c>
      <c r="E4785" s="0" t="inlineStr">
        <is>
          <t>USD ARIA:109173B-M</t>
        </is>
      </c>
      <c r="F4785" s="0" t="inlineStr">
        <is>
          <t>'800109173021</t>
        </is>
      </c>
      <c r="G4785" s="0" t="inlineStr">
        <is>
          <t>WOMENS</t>
        </is>
      </c>
      <c r="H4785" s="0" t="inlineStr">
        <is>
          <t>M</t>
        </is>
      </c>
      <c r="I4785" s="0">
        <v>54.99</v>
      </c>
      <c r="J4785" s="0">
        <v>4</v>
      </c>
    </row>
    <row r="4786" spans="1:10" customHeight="0">
      <c r="A4786" s="0">
        <f>HYPERLINK("https://dl.dropboxusercontent.com/scl/fi/om7gp2c0ru8nmt21hsrjz/109173-af3.jpg?rlkey=a486zjbgm3w4ebdqyle9mc5fb&amp;dl=0","Click to download Image")</f>
      </c>
      <c r="B4786" s="0">
        <f>HYPERLINK("https://dl.dropboxusercontent.com/scl/fi/2odw75yvoyvtzh9pz2zyo/womens-size-chartsaria.jpg?rlkey=7crx8eipd4qc2m2c9odxz23gm&amp;dl=0","Click to download SizeChart")</f>
      </c>
      <c r="C4786" s="0" t="inlineStr">
        <is>
          <t>Aria Women's Reversible Quilted Sherpa Vest</t>
        </is>
      </c>
      <c r="D4786" s="0" t="inlineStr">
        <is>
          <t>'109173</t>
        </is>
      </c>
      <c r="E4786" s="0" t="inlineStr">
        <is>
          <t>USD ARIA:109173C-L</t>
        </is>
      </c>
      <c r="F4786" s="0" t="inlineStr">
        <is>
          <t>'800109173038</t>
        </is>
      </c>
      <c r="G4786" s="0" t="inlineStr">
        <is>
          <t>WOMENS</t>
        </is>
      </c>
      <c r="H4786" s="0" t="inlineStr">
        <is>
          <t>L</t>
        </is>
      </c>
      <c r="I4786" s="0">
        <v>54.99</v>
      </c>
      <c r="J4786" s="0">
        <v>2</v>
      </c>
    </row>
    <row r="4787" spans="1:10" customHeight="0">
      <c r="A4787" s="0">
        <f>HYPERLINK("https://dl.dropboxusercontent.com/scl/fi/om7gp2c0ru8nmt21hsrjz/109173-af3.jpg?rlkey=a486zjbgm3w4ebdqyle9mc5fb&amp;dl=0","Click to download Image")</f>
      </c>
      <c r="B4787" s="0">
        <f>HYPERLINK("https://dl.dropboxusercontent.com/scl/fi/2odw75yvoyvtzh9pz2zyo/womens-size-chartsaria.jpg?rlkey=7crx8eipd4qc2m2c9odxz23gm&amp;dl=0","Click to download SizeChart")</f>
      </c>
      <c r="C4787" s="0" t="inlineStr">
        <is>
          <t>Aria Women's Reversible Quilted Sherpa Vest</t>
        </is>
      </c>
      <c r="D4787" s="0" t="inlineStr">
        <is>
          <t>'109173</t>
        </is>
      </c>
      <c r="E4787" s="0" t="inlineStr">
        <is>
          <t>USD ARIA:109173D-XL</t>
        </is>
      </c>
      <c r="F4787" s="0" t="inlineStr">
        <is>
          <t>'800109173045</t>
        </is>
      </c>
      <c r="G4787" s="0" t="inlineStr">
        <is>
          <t>WOMENS</t>
        </is>
      </c>
      <c r="H4787" s="0" t="inlineStr">
        <is>
          <t>XL</t>
        </is>
      </c>
      <c r="I4787" s="0">
        <v>54.99</v>
      </c>
      <c r="J4787" s="0">
        <v>2</v>
      </c>
    </row>
    <row r="4788" spans="1:10" customHeight="0">
      <c r="A4788" s="0">
        <f>HYPERLINK("https://dl.dropboxusercontent.com/scl/fi/om7gp2c0ru8nmt21hsrjz/109173-af3.jpg?rlkey=a486zjbgm3w4ebdqyle9mc5fb&amp;dl=0","Click to download Image")</f>
      </c>
      <c r="B4788" s="0">
        <f>HYPERLINK("https://dl.dropboxusercontent.com/scl/fi/2odw75yvoyvtzh9pz2zyo/womens-size-chartsaria.jpg?rlkey=7crx8eipd4qc2m2c9odxz23gm&amp;dl=0","Click to download SizeChart")</f>
      </c>
      <c r="C4788" s="0" t="inlineStr">
        <is>
          <t>Aria Women's Reversible Quilted Sherpa Vest</t>
        </is>
      </c>
      <c r="D4788" s="0" t="inlineStr">
        <is>
          <t>'109173</t>
        </is>
      </c>
      <c r="E4788" s="0" t="inlineStr">
        <is>
          <t>USD ARIA:109173E-2XL</t>
        </is>
      </c>
      <c r="F4788" s="0" t="inlineStr">
        <is>
          <t>'800109173052</t>
        </is>
      </c>
      <c r="G4788" s="0" t="inlineStr">
        <is>
          <t>WOMENS</t>
        </is>
      </c>
      <c r="H4788" s="0" t="inlineStr">
        <is>
          <t>2XL</t>
        </is>
      </c>
      <c r="I4788" s="0">
        <v>56.99</v>
      </c>
      <c r="J4788" s="0">
        <v>0</v>
      </c>
    </row>
    <row r="4789" spans="1:10" customHeight="0">
      <c r="A4789" s="0">
        <f>HYPERLINK("https://dl.dropboxusercontent.com/scl/fi/om7gp2c0ru8nmt21hsrjz/109173-af3.jpg?rlkey=a486zjbgm3w4ebdqyle9mc5fb&amp;dl=0","Click to download Image")</f>
      </c>
      <c r="B4789" s="0">
        <f>HYPERLINK("https://dl.dropboxusercontent.com/scl/fi/2odw75yvoyvtzh9pz2zyo/womens-size-chartsaria.jpg?rlkey=7crx8eipd4qc2m2c9odxz23gm&amp;dl=0","Click to download SizeChart")</f>
      </c>
      <c r="C4789" s="0" t="inlineStr">
        <is>
          <t>Aria Women's Reversible Quilted Sherpa Vest</t>
        </is>
      </c>
      <c r="D4789" s="0" t="inlineStr">
        <is>
          <t>'109173</t>
        </is>
      </c>
      <c r="E4789" s="0" t="inlineStr">
        <is>
          <t>USD ARIA:109173F-3XL</t>
        </is>
      </c>
      <c r="F4789" s="0" t="inlineStr">
        <is>
          <t>'800109173069</t>
        </is>
      </c>
      <c r="G4789" s="0" t="inlineStr">
        <is>
          <t>WOMENS</t>
        </is>
      </c>
      <c r="H4789" s="0" t="inlineStr">
        <is>
          <t>3XL</t>
        </is>
      </c>
      <c r="I4789" s="0">
        <v>56.99</v>
      </c>
      <c r="J4789" s="0">
        <v>1</v>
      </c>
    </row>
    <row r="4790" spans="1:10" customHeight="0">
      <c r="A4790" s="0">
        <f>HYPERLINK("https://dl.dropboxusercontent.com/scl/fi/ybmbudeys0bkdjs6bnker/aria.jpg?rlkey=5q9l7l2jt5kxhqh42xrac58yt&amp;dl=0","Click to download Image")</f>
      </c>
      <c r="B4790" s="0">
        <f>HYPERLINK("https://dl.dropboxusercontent.com/scl/fi/2odw75yvoyvtzh9pz2zyo/womens-size-chartsaria.jpg?rlkey=7crx8eipd4qc2m2c9odxz23gm&amp;dl=0","Click to download SizeChart")</f>
      </c>
      <c r="C4790" s="0" t="inlineStr">
        <is>
          <t>Aria Women's Reversible Quilted Sherpa Vest</t>
        </is>
      </c>
      <c r="D4790" s="0" t="inlineStr">
        <is>
          <t>'109167</t>
        </is>
      </c>
      <c r="E4790" s="0" t="inlineStr">
        <is>
          <t>UNI ARIA:109167A-S</t>
        </is>
      </c>
      <c r="F4790" s="0" t="inlineStr">
        <is>
          <t>'800109167013</t>
        </is>
      </c>
      <c r="G4790" s="0" t="inlineStr">
        <is>
          <t>WOMENS</t>
        </is>
      </c>
      <c r="H4790" s="0" t="inlineStr">
        <is>
          <t>S</t>
        </is>
      </c>
      <c r="I4790" s="0">
        <v>54.99</v>
      </c>
      <c r="J4790" s="0">
        <v>6</v>
      </c>
    </row>
    <row r="4791" spans="1:10" customHeight="0">
      <c r="A4791" s="0">
        <f>HYPERLINK("https://dl.dropboxusercontent.com/scl/fi/ybmbudeys0bkdjs6bnker/aria.jpg?rlkey=5q9l7l2jt5kxhqh42xrac58yt&amp;dl=0","Click to download Image")</f>
      </c>
      <c r="B4791" s="0">
        <f>HYPERLINK("https://dl.dropboxusercontent.com/scl/fi/2odw75yvoyvtzh9pz2zyo/womens-size-chartsaria.jpg?rlkey=7crx8eipd4qc2m2c9odxz23gm&amp;dl=0","Click to download SizeChart")</f>
      </c>
      <c r="C4791" s="0" t="inlineStr">
        <is>
          <t>Aria Women's Reversible Quilted Sherpa Vest</t>
        </is>
      </c>
      <c r="D4791" s="0" t="inlineStr">
        <is>
          <t>'109167</t>
        </is>
      </c>
      <c r="E4791" s="0" t="inlineStr">
        <is>
          <t>UNI ARIA:109167B-M</t>
        </is>
      </c>
      <c r="F4791" s="0" t="inlineStr">
        <is>
          <t>'800109167020</t>
        </is>
      </c>
      <c r="G4791" s="0" t="inlineStr">
        <is>
          <t>WOMENS</t>
        </is>
      </c>
      <c r="H4791" s="0" t="inlineStr">
        <is>
          <t>M</t>
        </is>
      </c>
      <c r="I4791" s="0">
        <v>54.99</v>
      </c>
      <c r="J4791" s="0">
        <v>17</v>
      </c>
    </row>
    <row r="4792" spans="1:10" customHeight="0">
      <c r="A4792" s="0">
        <f>HYPERLINK("https://dl.dropboxusercontent.com/scl/fi/ybmbudeys0bkdjs6bnker/aria.jpg?rlkey=5q9l7l2jt5kxhqh42xrac58yt&amp;dl=0","Click to download Image")</f>
      </c>
      <c r="B4792" s="0">
        <f>HYPERLINK("https://dl.dropboxusercontent.com/scl/fi/2odw75yvoyvtzh9pz2zyo/womens-size-chartsaria.jpg?rlkey=7crx8eipd4qc2m2c9odxz23gm&amp;dl=0","Click to download SizeChart")</f>
      </c>
      <c r="C4792" s="0" t="inlineStr">
        <is>
          <t>Aria Women's Reversible Quilted Sherpa Vest</t>
        </is>
      </c>
      <c r="D4792" s="0" t="inlineStr">
        <is>
          <t>'109167</t>
        </is>
      </c>
      <c r="E4792" s="0" t="inlineStr">
        <is>
          <t>UNI ARIA:109167C-L</t>
        </is>
      </c>
      <c r="F4792" s="0" t="inlineStr">
        <is>
          <t>'800109167037</t>
        </is>
      </c>
      <c r="G4792" s="0" t="inlineStr">
        <is>
          <t>WOMENS</t>
        </is>
      </c>
      <c r="H4792" s="0" t="inlineStr">
        <is>
          <t>L</t>
        </is>
      </c>
      <c r="I4792" s="0">
        <v>54.99</v>
      </c>
      <c r="J4792" s="0">
        <v>10</v>
      </c>
    </row>
    <row r="4793" spans="1:10" customHeight="0">
      <c r="A4793" s="0">
        <f>HYPERLINK("https://dl.dropboxusercontent.com/scl/fi/ybmbudeys0bkdjs6bnker/aria.jpg?rlkey=5q9l7l2jt5kxhqh42xrac58yt&amp;dl=0","Click to download Image")</f>
      </c>
      <c r="B4793" s="0">
        <f>HYPERLINK("https://dl.dropboxusercontent.com/scl/fi/2odw75yvoyvtzh9pz2zyo/womens-size-chartsaria.jpg?rlkey=7crx8eipd4qc2m2c9odxz23gm&amp;dl=0","Click to download SizeChart")</f>
      </c>
      <c r="C4793" s="0" t="inlineStr">
        <is>
          <t>Aria Women's Reversible Quilted Sherpa Vest</t>
        </is>
      </c>
      <c r="D4793" s="0" t="inlineStr">
        <is>
          <t>'109167</t>
        </is>
      </c>
      <c r="E4793" s="0" t="inlineStr">
        <is>
          <t>UNI ARIA:109167D-XL</t>
        </is>
      </c>
      <c r="F4793" s="0" t="inlineStr">
        <is>
          <t>'800109167044</t>
        </is>
      </c>
      <c r="G4793" s="0" t="inlineStr">
        <is>
          <t>WOMENS</t>
        </is>
      </c>
      <c r="H4793" s="0" t="inlineStr">
        <is>
          <t>XL</t>
        </is>
      </c>
      <c r="I4793" s="0">
        <v>54.99</v>
      </c>
      <c r="J4793" s="0">
        <v>5</v>
      </c>
    </row>
    <row r="4794" spans="1:10" customHeight="0">
      <c r="A4794" s="0">
        <f>HYPERLINK("https://dl.dropboxusercontent.com/scl/fi/ybmbudeys0bkdjs6bnker/aria.jpg?rlkey=5q9l7l2jt5kxhqh42xrac58yt&amp;dl=0","Click to download Image")</f>
      </c>
      <c r="B4794" s="0">
        <f>HYPERLINK("https://dl.dropboxusercontent.com/scl/fi/2odw75yvoyvtzh9pz2zyo/womens-size-chartsaria.jpg?rlkey=7crx8eipd4qc2m2c9odxz23gm&amp;dl=0","Click to download SizeChart")</f>
      </c>
      <c r="C4794" s="0" t="inlineStr">
        <is>
          <t>Aria Women's Reversible Quilted Sherpa Vest</t>
        </is>
      </c>
      <c r="D4794" s="0" t="inlineStr">
        <is>
          <t>'109167</t>
        </is>
      </c>
      <c r="E4794" s="0" t="inlineStr">
        <is>
          <t>UNI ARIA:109167E-2XL</t>
        </is>
      </c>
      <c r="F4794" s="0" t="inlineStr">
        <is>
          <t>'800109167051</t>
        </is>
      </c>
      <c r="G4794" s="0" t="inlineStr">
        <is>
          <t>WOMENS</t>
        </is>
      </c>
      <c r="H4794" s="0" t="inlineStr">
        <is>
          <t>2XL</t>
        </is>
      </c>
      <c r="I4794" s="0">
        <v>56.99</v>
      </c>
      <c r="J4794" s="0">
        <v>4</v>
      </c>
    </row>
    <row r="4795" spans="1:10" customHeight="0">
      <c r="A4795" s="0">
        <f>HYPERLINK("https://dl.dropboxusercontent.com/scl/fi/ybmbudeys0bkdjs6bnker/aria.jpg?rlkey=5q9l7l2jt5kxhqh42xrac58yt&amp;dl=0","Click to download Image")</f>
      </c>
      <c r="B4795" s="0">
        <f>HYPERLINK("https://dl.dropboxusercontent.com/scl/fi/2odw75yvoyvtzh9pz2zyo/womens-size-chartsaria.jpg?rlkey=7crx8eipd4qc2m2c9odxz23gm&amp;dl=0","Click to download SizeChart")</f>
      </c>
      <c r="C4795" s="0" t="inlineStr">
        <is>
          <t>Aria Women's Reversible Quilted Sherpa Vest</t>
        </is>
      </c>
      <c r="D4795" s="0" t="inlineStr">
        <is>
          <t>'109167</t>
        </is>
      </c>
      <c r="E4795" s="0" t="inlineStr">
        <is>
          <t>UNI ARIA:109167F-3XL</t>
        </is>
      </c>
      <c r="F4795" s="0" t="inlineStr">
        <is>
          <t>'800109167068</t>
        </is>
      </c>
      <c r="G4795" s="0" t="inlineStr">
        <is>
          <t>WOMENS</t>
        </is>
      </c>
      <c r="H4795" s="0" t="inlineStr">
        <is>
          <t>3XL</t>
        </is>
      </c>
      <c r="I4795" s="0">
        <v>56.99</v>
      </c>
      <c r="J4795" s="0">
        <v>2</v>
      </c>
    </row>
    <row r="4796" spans="1:10" customHeight="0">
      <c r="A4796" s="0">
        <f>HYPERLINK("https://dl.dropboxusercontent.com/scl/fi/4djur4z5x7yszhwqu5j44/111141af33814.jpg?rlkey=7l4iijk60t2khpo4y981n0lm0&amp;dl=0","Click to download Image")</f>
      </c>
      <c r="C4796" s="0" t="inlineStr">
        <is>
          <t>Teagan Backpack Crossbody</t>
        </is>
      </c>
      <c r="D4796" s="0" t="inlineStr">
        <is>
          <t>'111141</t>
        </is>
      </c>
      <c r="E4796" s="0" t="inlineStr">
        <is>
          <t>IOWA TEAGAN BP:111141</t>
        </is>
      </c>
      <c r="F4796" s="0" t="inlineStr">
        <is>
          <t>'900111141015</t>
        </is>
      </c>
      <c r="I4796" s="0">
        <v>69.99</v>
      </c>
      <c r="J4796" s="0">
        <v>29</v>
      </c>
    </row>
    <row r="4797" spans="1:10" customHeight="0">
      <c r="A4797" s="0">
        <f>HYPERLINK("https://dl.dropboxusercontent.com/scl/fi/g41e08ugr92ucaoguoj6g/110950-af.jpg?rlkey=p3lq5ft3uskjziibf4efvug59&amp;dl=0","Click to download Image")</f>
      </c>
      <c r="B4797" s="0">
        <f>HYPERLINK("https://dl.dropboxusercontent.com/scl/fi/gy058vv7it1edlwxsi9mj/womens-size-chartskatherine.jpg?rlkey=iitq78rfn5z27100sxugxdos7&amp;dl=0","Click to download SizeChart")</f>
      </c>
      <c r="C4797" s="0" t="inlineStr">
        <is>
          <t>Katherine Women's Jacket</t>
        </is>
      </c>
      <c r="D4797" s="0" t="inlineStr">
        <is>
          <t>'110950</t>
        </is>
      </c>
      <c r="E4797" s="0" t="inlineStr">
        <is>
          <t>IOWA KATHERINE BLACK:110950AA-XS</t>
        </is>
      </c>
      <c r="F4797" s="0" t="inlineStr">
        <is>
          <t>'800110950031</t>
        </is>
      </c>
      <c r="G4797" s="0" t="inlineStr">
        <is>
          <t>WOMENS</t>
        </is>
      </c>
      <c r="H4797" s="0" t="inlineStr">
        <is>
          <t>XS</t>
        </is>
      </c>
      <c r="I4797" s="0">
        <v>149.99</v>
      </c>
      <c r="J4797" s="0">
        <v>19</v>
      </c>
    </row>
    <row r="4798" spans="1:10" customHeight="0">
      <c r="A4798" s="0">
        <f>HYPERLINK("https://dl.dropboxusercontent.com/scl/fi/g41e08ugr92ucaoguoj6g/110950-af.jpg?rlkey=p3lq5ft3uskjziibf4efvug59&amp;dl=0","Click to download Image")</f>
      </c>
      <c r="B4798" s="0">
        <f>HYPERLINK("https://dl.dropboxusercontent.com/scl/fi/gy058vv7it1edlwxsi9mj/womens-size-chartskatherine.jpg?rlkey=iitq78rfn5z27100sxugxdos7&amp;dl=0","Click to download SizeChart")</f>
      </c>
      <c r="C4798" s="0" t="inlineStr">
        <is>
          <t>Katherine Women's Jacket</t>
        </is>
      </c>
      <c r="D4798" s="0" t="inlineStr">
        <is>
          <t>'110950</t>
        </is>
      </c>
      <c r="E4798" s="0" t="inlineStr">
        <is>
          <t>IOWA KATHERINE BLACK:110950A-S</t>
        </is>
      </c>
      <c r="F4798" s="0" t="inlineStr">
        <is>
          <t>'800110950048</t>
        </is>
      </c>
      <c r="G4798" s="0" t="inlineStr">
        <is>
          <t>WOMENS</t>
        </is>
      </c>
      <c r="H4798" s="0" t="inlineStr">
        <is>
          <t>S</t>
        </is>
      </c>
      <c r="I4798" s="0">
        <v>149.99</v>
      </c>
      <c r="J4798" s="0">
        <v>21</v>
      </c>
    </row>
    <row r="4799" spans="1:10" customHeight="0">
      <c r="A4799" s="0">
        <f>HYPERLINK("https://dl.dropboxusercontent.com/scl/fi/g41e08ugr92ucaoguoj6g/110950-af.jpg?rlkey=p3lq5ft3uskjziibf4efvug59&amp;dl=0","Click to download Image")</f>
      </c>
      <c r="B4799" s="0">
        <f>HYPERLINK("https://dl.dropboxusercontent.com/scl/fi/gy058vv7it1edlwxsi9mj/womens-size-chartskatherine.jpg?rlkey=iitq78rfn5z27100sxugxdos7&amp;dl=0","Click to download SizeChart")</f>
      </c>
      <c r="C4799" s="0" t="inlineStr">
        <is>
          <t>Katherine Women's Jacket</t>
        </is>
      </c>
      <c r="D4799" s="0" t="inlineStr">
        <is>
          <t>'110950</t>
        </is>
      </c>
      <c r="E4799" s="0" t="inlineStr">
        <is>
          <t>IOWA KATHERINE BLACK:110950B-M</t>
        </is>
      </c>
      <c r="F4799" s="0" t="inlineStr">
        <is>
          <t>'800110950055</t>
        </is>
      </c>
      <c r="G4799" s="0" t="inlineStr">
        <is>
          <t>WOMENS</t>
        </is>
      </c>
      <c r="H4799" s="0" t="inlineStr">
        <is>
          <t>M</t>
        </is>
      </c>
      <c r="I4799" s="0">
        <v>149.99</v>
      </c>
      <c r="J4799" s="0">
        <v>13</v>
      </c>
    </row>
    <row r="4800" spans="1:10" customHeight="0">
      <c r="A4800" s="0">
        <f>HYPERLINK("https://dl.dropboxusercontent.com/scl/fi/g41e08ugr92ucaoguoj6g/110950-af.jpg?rlkey=p3lq5ft3uskjziibf4efvug59&amp;dl=0","Click to download Image")</f>
      </c>
      <c r="B4800" s="0">
        <f>HYPERLINK("https://dl.dropboxusercontent.com/scl/fi/gy058vv7it1edlwxsi9mj/womens-size-chartskatherine.jpg?rlkey=iitq78rfn5z27100sxugxdos7&amp;dl=0","Click to download SizeChart")</f>
      </c>
      <c r="C4800" s="0" t="inlineStr">
        <is>
          <t>Katherine Women's Jacket</t>
        </is>
      </c>
      <c r="D4800" s="0" t="inlineStr">
        <is>
          <t>'110950</t>
        </is>
      </c>
      <c r="E4800" s="0" t="inlineStr">
        <is>
          <t>IOWA KATHERINE BLACK:110950C-L</t>
        </is>
      </c>
      <c r="F4800" s="0" t="inlineStr">
        <is>
          <t>'800110950062</t>
        </is>
      </c>
      <c r="G4800" s="0" t="inlineStr">
        <is>
          <t>WOMENS</t>
        </is>
      </c>
      <c r="H4800" s="0" t="inlineStr">
        <is>
          <t>L</t>
        </is>
      </c>
      <c r="I4800" s="0">
        <v>149.99</v>
      </c>
      <c r="J4800" s="0">
        <v>4</v>
      </c>
    </row>
    <row r="4801" spans="1:10" customHeight="0">
      <c r="A4801" s="0">
        <f>HYPERLINK("https://dl.dropboxusercontent.com/scl/fi/g41e08ugr92ucaoguoj6g/110950-af.jpg?rlkey=p3lq5ft3uskjziibf4efvug59&amp;dl=0","Click to download Image")</f>
      </c>
      <c r="B4801" s="0">
        <f>HYPERLINK("https://dl.dropboxusercontent.com/scl/fi/gy058vv7it1edlwxsi9mj/womens-size-chartskatherine.jpg?rlkey=iitq78rfn5z27100sxugxdos7&amp;dl=0","Click to download SizeChart")</f>
      </c>
      <c r="C4801" s="0" t="inlineStr">
        <is>
          <t>Katherine Women's Jacket</t>
        </is>
      </c>
      <c r="D4801" s="0" t="inlineStr">
        <is>
          <t>'110950</t>
        </is>
      </c>
      <c r="E4801" s="0" t="inlineStr">
        <is>
          <t>IOWA KATHERINE BLACK:110950D-XL</t>
        </is>
      </c>
      <c r="F4801" s="0" t="inlineStr">
        <is>
          <t>'800110950079</t>
        </is>
      </c>
      <c r="G4801" s="0" t="inlineStr">
        <is>
          <t>WOMENS</t>
        </is>
      </c>
      <c r="H4801" s="0" t="inlineStr">
        <is>
          <t>XL</t>
        </is>
      </c>
      <c r="I4801" s="0">
        <v>149.99</v>
      </c>
      <c r="J4801" s="0">
        <v>13</v>
      </c>
    </row>
    <row r="4802" spans="1:10" customHeight="0">
      <c r="A4802" s="0">
        <f>HYPERLINK("https://dl.dropboxusercontent.com/scl/fi/g41e08ugr92ucaoguoj6g/110950-af.jpg?rlkey=p3lq5ft3uskjziibf4efvug59&amp;dl=0","Click to download Image")</f>
      </c>
      <c r="B4802" s="0">
        <f>HYPERLINK("https://dl.dropboxusercontent.com/scl/fi/gy058vv7it1edlwxsi9mj/womens-size-chartskatherine.jpg?rlkey=iitq78rfn5z27100sxugxdos7&amp;dl=0","Click to download SizeChart")</f>
      </c>
      <c r="C4802" s="0" t="inlineStr">
        <is>
          <t>Katherine Women's Jacket</t>
        </is>
      </c>
      <c r="D4802" s="0" t="inlineStr">
        <is>
          <t>'110950</t>
        </is>
      </c>
      <c r="E4802" s="0" t="inlineStr">
        <is>
          <t>IOWA KATHERINE BLACK:110950E-2XL</t>
        </is>
      </c>
      <c r="F4802" s="0" t="inlineStr">
        <is>
          <t>'800110950086</t>
        </is>
      </c>
      <c r="G4802" s="0" t="inlineStr">
        <is>
          <t>WOMENS</t>
        </is>
      </c>
      <c r="H4802" s="0" t="inlineStr">
        <is>
          <t>2XL</t>
        </is>
      </c>
      <c r="I4802" s="0">
        <v>151.99</v>
      </c>
      <c r="J4802" s="0">
        <v>2</v>
      </c>
    </row>
    <row r="4803" spans="1:10" customHeight="0">
      <c r="A4803" s="0">
        <f>HYPERLINK("https://dl.dropboxusercontent.com/scl/fi/g41e08ugr92ucaoguoj6g/110950-af.jpg?rlkey=p3lq5ft3uskjziibf4efvug59&amp;dl=0","Click to download Image")</f>
      </c>
      <c r="B4803" s="0">
        <f>HYPERLINK("https://dl.dropboxusercontent.com/scl/fi/gy058vv7it1edlwxsi9mj/womens-size-chartskatherine.jpg?rlkey=iitq78rfn5z27100sxugxdos7&amp;dl=0","Click to download SizeChart")</f>
      </c>
      <c r="C4803" s="0" t="inlineStr">
        <is>
          <t>Katherine Women's Jacket</t>
        </is>
      </c>
      <c r="D4803" s="0" t="inlineStr">
        <is>
          <t>'110950</t>
        </is>
      </c>
      <c r="E4803" s="0" t="inlineStr">
        <is>
          <t>IOWA KATHERINE BLACK:110950F-3XL</t>
        </is>
      </c>
      <c r="F4803" s="0" t="inlineStr">
        <is>
          <t>'800110950093</t>
        </is>
      </c>
      <c r="G4803" s="0" t="inlineStr">
        <is>
          <t>WOMENS</t>
        </is>
      </c>
      <c r="H4803" s="0" t="inlineStr">
        <is>
          <t>3XL</t>
        </is>
      </c>
      <c r="I4803" s="0">
        <v>151.99</v>
      </c>
      <c r="J4803" s="0">
        <v>3</v>
      </c>
    </row>
    <row r="4804" spans="1:10" customHeight="0">
      <c r="A4804" s="0">
        <f>HYPERLINK("https://dl.dropboxusercontent.com/scl/fi/dlp61zd2a1tyz7q627v9w/final-dsc3743-copy.jpg?rlkey=fip9tkli8olavvr9ssc3n0kow&amp;dl=0","Click to download Image")</f>
      </c>
      <c r="B4804" s="0">
        <f>HYPERLINK("https://dl.dropboxusercontent.com/scl/fi/e7bua4scymm197x6zzqma/8-19womens-fitted.jpg?rlkey=73nlt15s36tolq5x8dd8ul4in&amp;dl=0","Click to download SizeChart")</f>
      </c>
      <c r="C4804" s="0" t="inlineStr">
        <is>
          <t>Eliza Women's Off Shoulder Long Sleeve Shirt</t>
        </is>
      </c>
      <c r="D4804" s="0" t="inlineStr">
        <is>
          <t>'106783</t>
        </is>
      </c>
      <c r="E4804" s="0" t="inlineStr">
        <is>
          <t>IA ELIZA:106783A-S</t>
        </is>
      </c>
      <c r="F4804" s="0" t="inlineStr">
        <is>
          <t>'800106783018</t>
        </is>
      </c>
      <c r="G4804" s="0" t="inlineStr">
        <is>
          <t>WOMENS</t>
        </is>
      </c>
      <c r="H4804" s="0" t="inlineStr">
        <is>
          <t>S</t>
        </is>
      </c>
      <c r="I4804" s="0">
        <v>42.99</v>
      </c>
      <c r="J4804" s="0">
        <v>0</v>
      </c>
    </row>
    <row r="4805" spans="1:10" customHeight="0">
      <c r="A4805" s="0">
        <f>HYPERLINK("https://dl.dropboxusercontent.com/scl/fi/dlp61zd2a1tyz7q627v9w/final-dsc3743-copy.jpg?rlkey=fip9tkli8olavvr9ssc3n0kow&amp;dl=0","Click to download Image")</f>
      </c>
      <c r="B4805" s="0">
        <f>HYPERLINK("https://dl.dropboxusercontent.com/scl/fi/e7bua4scymm197x6zzqma/8-19womens-fitted.jpg?rlkey=73nlt15s36tolq5x8dd8ul4in&amp;dl=0","Click to download SizeChart")</f>
      </c>
      <c r="C4805" s="0" t="inlineStr">
        <is>
          <t>Eliza Women's Off Shoulder Long Sleeve Shirt</t>
        </is>
      </c>
      <c r="D4805" s="0" t="inlineStr">
        <is>
          <t>'106783</t>
        </is>
      </c>
      <c r="E4805" s="0" t="inlineStr">
        <is>
          <t>IA ELIZA:106783B-M</t>
        </is>
      </c>
      <c r="F4805" s="0" t="inlineStr">
        <is>
          <t>'800106783025</t>
        </is>
      </c>
      <c r="G4805" s="0" t="inlineStr">
        <is>
          <t>WOMENS</t>
        </is>
      </c>
      <c r="H4805" s="0" t="inlineStr">
        <is>
          <t>M</t>
        </is>
      </c>
      <c r="I4805" s="0">
        <v>42.99</v>
      </c>
      <c r="J4805" s="0">
        <v>23</v>
      </c>
    </row>
    <row r="4806" spans="1:10" customHeight="0">
      <c r="A4806" s="0">
        <f>HYPERLINK("https://dl.dropboxusercontent.com/scl/fi/dlp61zd2a1tyz7q627v9w/final-dsc3743-copy.jpg?rlkey=fip9tkli8olavvr9ssc3n0kow&amp;dl=0","Click to download Image")</f>
      </c>
      <c r="B4806" s="0">
        <f>HYPERLINK("https://dl.dropboxusercontent.com/scl/fi/e7bua4scymm197x6zzqma/8-19womens-fitted.jpg?rlkey=73nlt15s36tolq5x8dd8ul4in&amp;dl=0","Click to download SizeChart")</f>
      </c>
      <c r="C4806" s="0" t="inlineStr">
        <is>
          <t>Eliza Women's Off Shoulder Long Sleeve Shirt</t>
        </is>
      </c>
      <c r="D4806" s="0" t="inlineStr">
        <is>
          <t>'106783</t>
        </is>
      </c>
      <c r="E4806" s="0" t="inlineStr">
        <is>
          <t>IA ELIZA:106783C-L</t>
        </is>
      </c>
      <c r="F4806" s="0" t="inlineStr">
        <is>
          <t>'800106783032</t>
        </is>
      </c>
      <c r="G4806" s="0" t="inlineStr">
        <is>
          <t>WOMENS</t>
        </is>
      </c>
      <c r="H4806" s="0" t="inlineStr">
        <is>
          <t>L</t>
        </is>
      </c>
      <c r="I4806" s="0">
        <v>42.99</v>
      </c>
      <c r="J4806" s="0">
        <v>39</v>
      </c>
    </row>
    <row r="4807" spans="1:10" customHeight="0">
      <c r="A4807" s="0">
        <f>HYPERLINK("https://dl.dropboxusercontent.com/scl/fi/dlp61zd2a1tyz7q627v9w/final-dsc3743-copy.jpg?rlkey=fip9tkli8olavvr9ssc3n0kow&amp;dl=0","Click to download Image")</f>
      </c>
      <c r="B4807" s="0">
        <f>HYPERLINK("https://dl.dropboxusercontent.com/scl/fi/e7bua4scymm197x6zzqma/8-19womens-fitted.jpg?rlkey=73nlt15s36tolq5x8dd8ul4in&amp;dl=0","Click to download SizeChart")</f>
      </c>
      <c r="C4807" s="0" t="inlineStr">
        <is>
          <t>Eliza Women's Off Shoulder Long Sleeve Shirt</t>
        </is>
      </c>
      <c r="D4807" s="0" t="inlineStr">
        <is>
          <t>'106783</t>
        </is>
      </c>
      <c r="E4807" s="0" t="inlineStr">
        <is>
          <t>IA ELIZA:106783D-XL</t>
        </is>
      </c>
      <c r="F4807" s="0" t="inlineStr">
        <is>
          <t>'800106783049</t>
        </is>
      </c>
      <c r="G4807" s="0" t="inlineStr">
        <is>
          <t>WOMENS</t>
        </is>
      </c>
      <c r="H4807" s="0" t="inlineStr">
        <is>
          <t>XL</t>
        </is>
      </c>
      <c r="I4807" s="0">
        <v>42.99</v>
      </c>
      <c r="J4807" s="0">
        <v>10</v>
      </c>
    </row>
    <row r="4808" spans="1:10" customHeight="0">
      <c r="A4808" s="0">
        <f>HYPERLINK("https://dl.dropboxusercontent.com/scl/fi/dlp61zd2a1tyz7q627v9w/final-dsc3743-copy.jpg?rlkey=fip9tkli8olavvr9ssc3n0kow&amp;dl=0","Click to download Image")</f>
      </c>
      <c r="B4808" s="0">
        <f>HYPERLINK("https://dl.dropboxusercontent.com/scl/fi/e7bua4scymm197x6zzqma/8-19womens-fitted.jpg?rlkey=73nlt15s36tolq5x8dd8ul4in&amp;dl=0","Click to download SizeChart")</f>
      </c>
      <c r="C4808" s="0" t="inlineStr">
        <is>
          <t>Eliza Women's Off Shoulder Long Sleeve Shirt</t>
        </is>
      </c>
      <c r="D4808" s="0" t="inlineStr">
        <is>
          <t>'106783</t>
        </is>
      </c>
      <c r="E4808" s="0" t="inlineStr">
        <is>
          <t>IA ELIZA:106783E-2XL</t>
        </is>
      </c>
      <c r="F4808" s="0" t="inlineStr">
        <is>
          <t>'800106783056</t>
        </is>
      </c>
      <c r="G4808" s="0" t="inlineStr">
        <is>
          <t>WOMENS</t>
        </is>
      </c>
      <c r="H4808" s="0" t="inlineStr">
        <is>
          <t>2XL</t>
        </is>
      </c>
      <c r="I4808" s="0">
        <v>44.99</v>
      </c>
      <c r="J4808" s="0">
        <v>0</v>
      </c>
    </row>
    <row r="4809" spans="1:10" customHeight="0">
      <c r="A4809" s="0">
        <f>HYPERLINK("https://dl.dropboxusercontent.com/scl/fi/dlp61zd2a1tyz7q627v9w/final-dsc3743-copy.jpg?rlkey=fip9tkli8olavvr9ssc3n0kow&amp;dl=0","Click to download Image")</f>
      </c>
      <c r="B4809" s="0">
        <f>HYPERLINK("https://dl.dropboxusercontent.com/scl/fi/e7bua4scymm197x6zzqma/8-19womens-fitted.jpg?rlkey=73nlt15s36tolq5x8dd8ul4in&amp;dl=0","Click to download SizeChart")</f>
      </c>
      <c r="C4809" s="0" t="inlineStr">
        <is>
          <t>Eliza Women's Off Shoulder Long Sleeve Shirt</t>
        </is>
      </c>
      <c r="D4809" s="0" t="inlineStr">
        <is>
          <t>'106783</t>
        </is>
      </c>
      <c r="E4809" s="0" t="inlineStr">
        <is>
          <t>IA ELIZA:106783F-3XL</t>
        </is>
      </c>
      <c r="F4809" s="0" t="inlineStr">
        <is>
          <t>'800106783063</t>
        </is>
      </c>
      <c r="G4809" s="0" t="inlineStr">
        <is>
          <t>WOMENS</t>
        </is>
      </c>
      <c r="H4809" s="0" t="inlineStr">
        <is>
          <t>3XL</t>
        </is>
      </c>
      <c r="I4809" s="0">
        <v>44.99</v>
      </c>
      <c r="J4809" s="0">
        <v>9</v>
      </c>
    </row>
    <row r="4810" spans="1:10" customHeight="0">
      <c r="A4810" s="0">
        <f>HYPERLINK("https://dl.dropboxusercontent.com/scl/fi/lwj7t5blkwzmv4zf385zn/108948f88013.jpg?rlkey=ivjmpti69tak4m43xhuqaapbh&amp;dl=0","Click to download Image")</f>
      </c>
      <c r="B4810" s="0">
        <f>HYPERLINK("https://dl.dropboxusercontent.com/scl/fi/e7bua4scymm197x6zzqma/8-19womens-fitted.jpg?rlkey=73nlt15s36tolq5x8dd8ul4in&amp;dl=0","Click to download SizeChart")</f>
      </c>
      <c r="C4810" s="0" t="inlineStr">
        <is>
          <t>Eliza Women's Off Shoulder Long Sleeve Shirt</t>
        </is>
      </c>
      <c r="D4810" s="0" t="inlineStr">
        <is>
          <t>'108948</t>
        </is>
      </c>
      <c r="E4810" s="0" t="inlineStr">
        <is>
          <t>ISU ELIZA:108948A-S</t>
        </is>
      </c>
      <c r="F4810" s="0" t="inlineStr">
        <is>
          <t>'800108948019</t>
        </is>
      </c>
      <c r="G4810" s="0" t="inlineStr">
        <is>
          <t>WOMENS</t>
        </is>
      </c>
      <c r="H4810" s="0" t="inlineStr">
        <is>
          <t>S</t>
        </is>
      </c>
      <c r="I4810" s="0">
        <v>42.99</v>
      </c>
      <c r="J4810" s="0">
        <v>0</v>
      </c>
    </row>
    <row r="4811" spans="1:10" customHeight="0">
      <c r="A4811" s="0">
        <f>HYPERLINK("https://dl.dropboxusercontent.com/scl/fi/lwj7t5blkwzmv4zf385zn/108948f88013.jpg?rlkey=ivjmpti69tak4m43xhuqaapbh&amp;dl=0","Click to download Image")</f>
      </c>
      <c r="B4811" s="0">
        <f>HYPERLINK("https://dl.dropboxusercontent.com/scl/fi/e7bua4scymm197x6zzqma/8-19womens-fitted.jpg?rlkey=73nlt15s36tolq5x8dd8ul4in&amp;dl=0","Click to download SizeChart")</f>
      </c>
      <c r="C4811" s="0" t="inlineStr">
        <is>
          <t>Eliza Women's Off Shoulder Long Sleeve Shirt</t>
        </is>
      </c>
      <c r="D4811" s="0" t="inlineStr">
        <is>
          <t>'108948</t>
        </is>
      </c>
      <c r="E4811" s="0" t="inlineStr">
        <is>
          <t>ISU ELIZA:108948B-M</t>
        </is>
      </c>
      <c r="F4811" s="0" t="inlineStr">
        <is>
          <t>'800108948026</t>
        </is>
      </c>
      <c r="G4811" s="0" t="inlineStr">
        <is>
          <t>WOMENS</t>
        </is>
      </c>
      <c r="H4811" s="0" t="inlineStr">
        <is>
          <t>M</t>
        </is>
      </c>
      <c r="I4811" s="0">
        <v>42.99</v>
      </c>
      <c r="J4811" s="0">
        <v>7</v>
      </c>
    </row>
    <row r="4812" spans="1:10" customHeight="0">
      <c r="A4812" s="0">
        <f>HYPERLINK("https://dl.dropboxusercontent.com/scl/fi/lwj7t5blkwzmv4zf385zn/108948f88013.jpg?rlkey=ivjmpti69tak4m43xhuqaapbh&amp;dl=0","Click to download Image")</f>
      </c>
      <c r="B4812" s="0">
        <f>HYPERLINK("https://dl.dropboxusercontent.com/scl/fi/e7bua4scymm197x6zzqma/8-19womens-fitted.jpg?rlkey=73nlt15s36tolq5x8dd8ul4in&amp;dl=0","Click to download SizeChart")</f>
      </c>
      <c r="C4812" s="0" t="inlineStr">
        <is>
          <t>Eliza Women's Off Shoulder Long Sleeve Shirt</t>
        </is>
      </c>
      <c r="D4812" s="0" t="inlineStr">
        <is>
          <t>'108948</t>
        </is>
      </c>
      <c r="E4812" s="0" t="inlineStr">
        <is>
          <t>ISU ELIZA:108948C-L</t>
        </is>
      </c>
      <c r="F4812" s="0" t="inlineStr">
        <is>
          <t>'800108948033</t>
        </is>
      </c>
      <c r="G4812" s="0" t="inlineStr">
        <is>
          <t>WOMENS</t>
        </is>
      </c>
      <c r="H4812" s="0" t="inlineStr">
        <is>
          <t>L</t>
        </is>
      </c>
      <c r="I4812" s="0">
        <v>42.99</v>
      </c>
      <c r="J4812" s="0">
        <v>15</v>
      </c>
    </row>
    <row r="4813" spans="1:10" customHeight="0">
      <c r="A4813" s="0">
        <f>HYPERLINK("https://dl.dropboxusercontent.com/scl/fi/lwj7t5blkwzmv4zf385zn/108948f88013.jpg?rlkey=ivjmpti69tak4m43xhuqaapbh&amp;dl=0","Click to download Image")</f>
      </c>
      <c r="B4813" s="0">
        <f>HYPERLINK("https://dl.dropboxusercontent.com/scl/fi/e7bua4scymm197x6zzqma/8-19womens-fitted.jpg?rlkey=73nlt15s36tolq5x8dd8ul4in&amp;dl=0","Click to download SizeChart")</f>
      </c>
      <c r="C4813" s="0" t="inlineStr">
        <is>
          <t>Eliza Women's Off Shoulder Long Sleeve Shirt</t>
        </is>
      </c>
      <c r="D4813" s="0" t="inlineStr">
        <is>
          <t>'108948</t>
        </is>
      </c>
      <c r="E4813" s="0" t="inlineStr">
        <is>
          <t>ISU ELIZA:108948D-XL</t>
        </is>
      </c>
      <c r="F4813" s="0" t="inlineStr">
        <is>
          <t>'800108948040</t>
        </is>
      </c>
      <c r="G4813" s="0" t="inlineStr">
        <is>
          <t>WOMENS</t>
        </is>
      </c>
      <c r="H4813" s="0" t="inlineStr">
        <is>
          <t>XL</t>
        </is>
      </c>
      <c r="I4813" s="0">
        <v>42.99</v>
      </c>
      <c r="J4813" s="0">
        <v>4</v>
      </c>
    </row>
    <row r="4814" spans="1:10" customHeight="0">
      <c r="A4814" s="0">
        <f>HYPERLINK("https://dl.dropboxusercontent.com/scl/fi/lwj7t5blkwzmv4zf385zn/108948f88013.jpg?rlkey=ivjmpti69tak4m43xhuqaapbh&amp;dl=0","Click to download Image")</f>
      </c>
      <c r="B4814" s="0">
        <f>HYPERLINK("https://dl.dropboxusercontent.com/scl/fi/e7bua4scymm197x6zzqma/8-19womens-fitted.jpg?rlkey=73nlt15s36tolq5x8dd8ul4in&amp;dl=0","Click to download SizeChart")</f>
      </c>
      <c r="C4814" s="0" t="inlineStr">
        <is>
          <t>Eliza Women's Off Shoulder Long Sleeve Shirt</t>
        </is>
      </c>
      <c r="D4814" s="0" t="inlineStr">
        <is>
          <t>'108948</t>
        </is>
      </c>
      <c r="E4814" s="0" t="inlineStr">
        <is>
          <t>ISU ELIZA:108948E-2XL</t>
        </is>
      </c>
      <c r="F4814" s="0" t="inlineStr">
        <is>
          <t>'800108948057</t>
        </is>
      </c>
      <c r="G4814" s="0" t="inlineStr">
        <is>
          <t>WOMENS</t>
        </is>
      </c>
      <c r="H4814" s="0" t="inlineStr">
        <is>
          <t>2XL</t>
        </is>
      </c>
      <c r="I4814" s="0">
        <v>44.99</v>
      </c>
      <c r="J4814" s="0">
        <v>0</v>
      </c>
    </row>
    <row r="4815" spans="1:10" customHeight="0">
      <c r="A4815" s="0">
        <f>HYPERLINK("https://dl.dropboxusercontent.com/scl/fi/lwj7t5blkwzmv4zf385zn/108948f88013.jpg?rlkey=ivjmpti69tak4m43xhuqaapbh&amp;dl=0","Click to download Image")</f>
      </c>
      <c r="B4815" s="0">
        <f>HYPERLINK("https://dl.dropboxusercontent.com/scl/fi/e7bua4scymm197x6zzqma/8-19womens-fitted.jpg?rlkey=73nlt15s36tolq5x8dd8ul4in&amp;dl=0","Click to download SizeChart")</f>
      </c>
      <c r="C4815" s="0" t="inlineStr">
        <is>
          <t>Eliza Women's Off Shoulder Long Sleeve Shirt</t>
        </is>
      </c>
      <c r="D4815" s="0" t="inlineStr">
        <is>
          <t>'108948</t>
        </is>
      </c>
      <c r="E4815" s="0" t="inlineStr">
        <is>
          <t>ISU ELIZA:108948F-3XL</t>
        </is>
      </c>
      <c r="F4815" s="0" t="inlineStr">
        <is>
          <t>'800108948064</t>
        </is>
      </c>
      <c r="G4815" s="0" t="inlineStr">
        <is>
          <t>WOMENS</t>
        </is>
      </c>
      <c r="H4815" s="0" t="inlineStr">
        <is>
          <t>3XL</t>
        </is>
      </c>
      <c r="I4815" s="0">
        <v>44.99</v>
      </c>
      <c r="J4815" s="0">
        <v>2</v>
      </c>
    </row>
    <row r="4816" spans="1:10" customHeight="0">
      <c r="A4816" s="0">
        <f>HYPERLINK("https://dl.dropboxusercontent.com/scl/fi/7mtdhurc7x5bm24dunzq7/108953f.jpg?rlkey=vvi0v7soycpdmizjw1akplrm4&amp;dl=0","Click to download Image")</f>
      </c>
      <c r="B4816" s="0">
        <f>HYPERLINK("https://dl.dropboxusercontent.com/scl/fi/e7bua4scymm197x6zzqma/8-19womens-fitted.jpg?rlkey=73nlt15s36tolq5x8dd8ul4in&amp;dl=0","Click to download SizeChart")</f>
      </c>
      <c r="C4816" s="0" t="inlineStr">
        <is>
          <t>Eliza Women's Off Shoulder Long Sleeve Shirt</t>
        </is>
      </c>
      <c r="D4816" s="0" t="inlineStr">
        <is>
          <t>'108953</t>
        </is>
      </c>
      <c r="E4816" s="0" t="inlineStr">
        <is>
          <t>KSU ELIZA:108953A-S</t>
        </is>
      </c>
      <c r="F4816" s="0" t="inlineStr">
        <is>
          <t>'800108953013</t>
        </is>
      </c>
      <c r="G4816" s="0" t="inlineStr">
        <is>
          <t>WOMENS</t>
        </is>
      </c>
      <c r="H4816" s="0" t="inlineStr">
        <is>
          <t>S</t>
        </is>
      </c>
      <c r="I4816" s="0">
        <v>42.99</v>
      </c>
      <c r="J4816" s="0">
        <v>8</v>
      </c>
    </row>
    <row r="4817" spans="1:10" customHeight="0">
      <c r="A4817" s="0">
        <f>HYPERLINK("https://dl.dropboxusercontent.com/scl/fi/7mtdhurc7x5bm24dunzq7/108953f.jpg?rlkey=vvi0v7soycpdmizjw1akplrm4&amp;dl=0","Click to download Image")</f>
      </c>
      <c r="B4817" s="0">
        <f>HYPERLINK("https://dl.dropboxusercontent.com/scl/fi/e7bua4scymm197x6zzqma/8-19womens-fitted.jpg?rlkey=73nlt15s36tolq5x8dd8ul4in&amp;dl=0","Click to download SizeChart")</f>
      </c>
      <c r="C4817" s="0" t="inlineStr">
        <is>
          <t>Eliza Women's Off Shoulder Long Sleeve Shirt</t>
        </is>
      </c>
      <c r="D4817" s="0" t="inlineStr">
        <is>
          <t>'108953</t>
        </is>
      </c>
      <c r="E4817" s="0" t="inlineStr">
        <is>
          <t>KSU ELIZA:108953B-M</t>
        </is>
      </c>
      <c r="F4817" s="0" t="inlineStr">
        <is>
          <t>'800108953020</t>
        </is>
      </c>
      <c r="G4817" s="0" t="inlineStr">
        <is>
          <t>WOMENS</t>
        </is>
      </c>
      <c r="H4817" s="0" t="inlineStr">
        <is>
          <t>M</t>
        </is>
      </c>
      <c r="I4817" s="0">
        <v>42.99</v>
      </c>
      <c r="J4817" s="0">
        <v>15</v>
      </c>
    </row>
    <row r="4818" spans="1:10" customHeight="0">
      <c r="A4818" s="0">
        <f>HYPERLINK("https://dl.dropboxusercontent.com/scl/fi/7mtdhurc7x5bm24dunzq7/108953f.jpg?rlkey=vvi0v7soycpdmizjw1akplrm4&amp;dl=0","Click to download Image")</f>
      </c>
      <c r="B4818" s="0">
        <f>HYPERLINK("https://dl.dropboxusercontent.com/scl/fi/e7bua4scymm197x6zzqma/8-19womens-fitted.jpg?rlkey=73nlt15s36tolq5x8dd8ul4in&amp;dl=0","Click to download SizeChart")</f>
      </c>
      <c r="C4818" s="0" t="inlineStr">
        <is>
          <t>Eliza Women's Off Shoulder Long Sleeve Shirt</t>
        </is>
      </c>
      <c r="D4818" s="0" t="inlineStr">
        <is>
          <t>'108953</t>
        </is>
      </c>
      <c r="E4818" s="0" t="inlineStr">
        <is>
          <t>KSU ELIZA:108953C-L</t>
        </is>
      </c>
      <c r="F4818" s="0" t="inlineStr">
        <is>
          <t>'800108953037</t>
        </is>
      </c>
      <c r="G4818" s="0" t="inlineStr">
        <is>
          <t>WOMENS</t>
        </is>
      </c>
      <c r="H4818" s="0" t="inlineStr">
        <is>
          <t>L</t>
        </is>
      </c>
      <c r="I4818" s="0">
        <v>42.99</v>
      </c>
      <c r="J4818" s="0">
        <v>16</v>
      </c>
    </row>
    <row r="4819" spans="1:10" customHeight="0">
      <c r="A4819" s="0">
        <f>HYPERLINK("https://dl.dropboxusercontent.com/scl/fi/7mtdhurc7x5bm24dunzq7/108953f.jpg?rlkey=vvi0v7soycpdmizjw1akplrm4&amp;dl=0","Click to download Image")</f>
      </c>
      <c r="B4819" s="0">
        <f>HYPERLINK("https://dl.dropboxusercontent.com/scl/fi/e7bua4scymm197x6zzqma/8-19womens-fitted.jpg?rlkey=73nlt15s36tolq5x8dd8ul4in&amp;dl=0","Click to download SizeChart")</f>
      </c>
      <c r="C4819" s="0" t="inlineStr">
        <is>
          <t>Eliza Women's Off Shoulder Long Sleeve Shirt</t>
        </is>
      </c>
      <c r="D4819" s="0" t="inlineStr">
        <is>
          <t>'108953</t>
        </is>
      </c>
      <c r="E4819" s="0" t="inlineStr">
        <is>
          <t>KSU ELIZA:108953D-XL</t>
        </is>
      </c>
      <c r="F4819" s="0" t="inlineStr">
        <is>
          <t>'800108953044</t>
        </is>
      </c>
      <c r="G4819" s="0" t="inlineStr">
        <is>
          <t>WOMENS</t>
        </is>
      </c>
      <c r="H4819" s="0" t="inlineStr">
        <is>
          <t>XL</t>
        </is>
      </c>
      <c r="I4819" s="0">
        <v>42.99</v>
      </c>
      <c r="J4819" s="0">
        <v>8</v>
      </c>
    </row>
    <row r="4820" spans="1:10" customHeight="0">
      <c r="A4820" s="0">
        <f>HYPERLINK("https://dl.dropboxusercontent.com/scl/fi/7mtdhurc7x5bm24dunzq7/108953f.jpg?rlkey=vvi0v7soycpdmizjw1akplrm4&amp;dl=0","Click to download Image")</f>
      </c>
      <c r="B4820" s="0">
        <f>HYPERLINK("https://dl.dropboxusercontent.com/scl/fi/e7bua4scymm197x6zzqma/8-19womens-fitted.jpg?rlkey=73nlt15s36tolq5x8dd8ul4in&amp;dl=0","Click to download SizeChart")</f>
      </c>
      <c r="C4820" s="0" t="inlineStr">
        <is>
          <t>Eliza Women's Off Shoulder Long Sleeve Shirt</t>
        </is>
      </c>
      <c r="D4820" s="0" t="inlineStr">
        <is>
          <t>'108953</t>
        </is>
      </c>
      <c r="E4820" s="0" t="inlineStr">
        <is>
          <t>KSU ELIZA:108953E-2XL</t>
        </is>
      </c>
      <c r="F4820" s="0" t="inlineStr">
        <is>
          <t>'800108953051</t>
        </is>
      </c>
      <c r="G4820" s="0" t="inlineStr">
        <is>
          <t>WOMENS</t>
        </is>
      </c>
      <c r="H4820" s="0" t="inlineStr">
        <is>
          <t>2XL</t>
        </is>
      </c>
      <c r="I4820" s="0">
        <v>44.99</v>
      </c>
      <c r="J4820" s="0">
        <v>2</v>
      </c>
    </row>
    <row r="4821" spans="1:10" customHeight="0">
      <c r="A4821" s="0">
        <f>HYPERLINK("https://dl.dropboxusercontent.com/scl/fi/7mtdhurc7x5bm24dunzq7/108953f.jpg?rlkey=vvi0v7soycpdmizjw1akplrm4&amp;dl=0","Click to download Image")</f>
      </c>
      <c r="B4821" s="0">
        <f>HYPERLINK("https://dl.dropboxusercontent.com/scl/fi/e7bua4scymm197x6zzqma/8-19womens-fitted.jpg?rlkey=73nlt15s36tolq5x8dd8ul4in&amp;dl=0","Click to download SizeChart")</f>
      </c>
      <c r="C4821" s="0" t="inlineStr">
        <is>
          <t>Eliza Women's Off Shoulder Long Sleeve Shirt</t>
        </is>
      </c>
      <c r="D4821" s="0" t="inlineStr">
        <is>
          <t>'108953</t>
        </is>
      </c>
      <c r="E4821" s="0" t="inlineStr">
        <is>
          <t>KSU ELIZA:108953F-3XL</t>
        </is>
      </c>
      <c r="F4821" s="0" t="inlineStr">
        <is>
          <t>'800108953068</t>
        </is>
      </c>
      <c r="G4821" s="0" t="inlineStr">
        <is>
          <t>WOMENS</t>
        </is>
      </c>
      <c r="H4821" s="0" t="inlineStr">
        <is>
          <t>3XL</t>
        </is>
      </c>
      <c r="I4821" s="0">
        <v>44.99</v>
      </c>
      <c r="J4821" s="0">
        <v>2</v>
      </c>
    </row>
    <row r="4822" spans="1:10" customHeight="0">
      <c r="A4822" s="0">
        <f>HYPERLINK("https://dl.dropboxusercontent.com/scl/fi/dued67iqsl6wywzj1znhh/108951-f.jpg?rlkey=174qqynm32zx1rnsn243rjomy&amp;dl=0","Click to download Image")</f>
      </c>
      <c r="B4822" s="0">
        <f>HYPERLINK("https://dl.dropboxusercontent.com/scl/fi/e7bua4scymm197x6zzqma/8-19womens-fitted.jpg?rlkey=73nlt15s36tolq5x8dd8ul4in&amp;dl=0","Click to download SizeChart")</f>
      </c>
      <c r="C4822" s="0" t="inlineStr">
        <is>
          <t>Eliza Women's Off Shoulder Long Sleeve Shirt</t>
        </is>
      </c>
      <c r="D4822" s="0" t="inlineStr">
        <is>
          <t>'108951</t>
        </is>
      </c>
      <c r="E4822" s="0" t="inlineStr">
        <is>
          <t>MU ELIZA:108951A-S</t>
        </is>
      </c>
      <c r="F4822" s="0" t="inlineStr">
        <is>
          <t>'800108951019</t>
        </is>
      </c>
      <c r="G4822" s="0" t="inlineStr">
        <is>
          <t>WOMENS</t>
        </is>
      </c>
      <c r="H4822" s="0" t="inlineStr">
        <is>
          <t>S</t>
        </is>
      </c>
      <c r="I4822" s="0">
        <v>42.99</v>
      </c>
      <c r="J4822" s="0">
        <v>7</v>
      </c>
    </row>
    <row r="4823" spans="1:10" customHeight="0">
      <c r="A4823" s="0">
        <f>HYPERLINK("https://dl.dropboxusercontent.com/scl/fi/dued67iqsl6wywzj1znhh/108951-f.jpg?rlkey=174qqynm32zx1rnsn243rjomy&amp;dl=0","Click to download Image")</f>
      </c>
      <c r="B4823" s="0">
        <f>HYPERLINK("https://dl.dropboxusercontent.com/scl/fi/e7bua4scymm197x6zzqma/8-19womens-fitted.jpg?rlkey=73nlt15s36tolq5x8dd8ul4in&amp;dl=0","Click to download SizeChart")</f>
      </c>
      <c r="C4823" s="0" t="inlineStr">
        <is>
          <t>Eliza Women's Off Shoulder Long Sleeve Shirt</t>
        </is>
      </c>
      <c r="D4823" s="0" t="inlineStr">
        <is>
          <t>'108951</t>
        </is>
      </c>
      <c r="E4823" s="0" t="inlineStr">
        <is>
          <t>MU ELIZA:108951B-M</t>
        </is>
      </c>
      <c r="F4823" s="0" t="inlineStr">
        <is>
          <t>'800108951026</t>
        </is>
      </c>
      <c r="G4823" s="0" t="inlineStr">
        <is>
          <t>WOMENS</t>
        </is>
      </c>
      <c r="H4823" s="0" t="inlineStr">
        <is>
          <t>M</t>
        </is>
      </c>
      <c r="I4823" s="0">
        <v>42.99</v>
      </c>
      <c r="J4823" s="0">
        <v>15</v>
      </c>
    </row>
    <row r="4824" spans="1:10" customHeight="0">
      <c r="A4824" s="0">
        <f>HYPERLINK("https://dl.dropboxusercontent.com/scl/fi/dued67iqsl6wywzj1znhh/108951-f.jpg?rlkey=174qqynm32zx1rnsn243rjomy&amp;dl=0","Click to download Image")</f>
      </c>
      <c r="B4824" s="0">
        <f>HYPERLINK("https://dl.dropboxusercontent.com/scl/fi/e7bua4scymm197x6zzqma/8-19womens-fitted.jpg?rlkey=73nlt15s36tolq5x8dd8ul4in&amp;dl=0","Click to download SizeChart")</f>
      </c>
      <c r="C4824" s="0" t="inlineStr">
        <is>
          <t>Eliza Women's Off Shoulder Long Sleeve Shirt</t>
        </is>
      </c>
      <c r="D4824" s="0" t="inlineStr">
        <is>
          <t>'108951</t>
        </is>
      </c>
      <c r="E4824" s="0" t="inlineStr">
        <is>
          <t>MU ELIZA:108951C-L</t>
        </is>
      </c>
      <c r="F4824" s="0" t="inlineStr">
        <is>
          <t>'800108951033</t>
        </is>
      </c>
      <c r="G4824" s="0" t="inlineStr">
        <is>
          <t>WOMENS</t>
        </is>
      </c>
      <c r="H4824" s="0" t="inlineStr">
        <is>
          <t>L</t>
        </is>
      </c>
      <c r="I4824" s="0">
        <v>42.99</v>
      </c>
      <c r="J4824" s="0">
        <v>16</v>
      </c>
    </row>
    <row r="4825" spans="1:10" customHeight="0">
      <c r="A4825" s="0">
        <f>HYPERLINK("https://dl.dropboxusercontent.com/scl/fi/dued67iqsl6wywzj1znhh/108951-f.jpg?rlkey=174qqynm32zx1rnsn243rjomy&amp;dl=0","Click to download Image")</f>
      </c>
      <c r="B4825" s="0">
        <f>HYPERLINK("https://dl.dropboxusercontent.com/scl/fi/e7bua4scymm197x6zzqma/8-19womens-fitted.jpg?rlkey=73nlt15s36tolq5x8dd8ul4in&amp;dl=0","Click to download SizeChart")</f>
      </c>
      <c r="C4825" s="0" t="inlineStr">
        <is>
          <t>Eliza Women's Off Shoulder Long Sleeve Shirt</t>
        </is>
      </c>
      <c r="D4825" s="0" t="inlineStr">
        <is>
          <t>'108951</t>
        </is>
      </c>
      <c r="E4825" s="0" t="inlineStr">
        <is>
          <t>MU ELIZA:108951D-XL</t>
        </is>
      </c>
      <c r="F4825" s="0" t="inlineStr">
        <is>
          <t>'800108951040</t>
        </is>
      </c>
      <c r="G4825" s="0" t="inlineStr">
        <is>
          <t>WOMENS</t>
        </is>
      </c>
      <c r="H4825" s="0" t="inlineStr">
        <is>
          <t>XL</t>
        </is>
      </c>
      <c r="I4825" s="0">
        <v>42.99</v>
      </c>
      <c r="J4825" s="0">
        <v>7</v>
      </c>
    </row>
    <row r="4826" spans="1:10" customHeight="0">
      <c r="A4826" s="0">
        <f>HYPERLINK("https://dl.dropboxusercontent.com/scl/fi/dued67iqsl6wywzj1znhh/108951-f.jpg?rlkey=174qqynm32zx1rnsn243rjomy&amp;dl=0","Click to download Image")</f>
      </c>
      <c r="B4826" s="0">
        <f>HYPERLINK("https://dl.dropboxusercontent.com/scl/fi/e7bua4scymm197x6zzqma/8-19womens-fitted.jpg?rlkey=73nlt15s36tolq5x8dd8ul4in&amp;dl=0","Click to download SizeChart")</f>
      </c>
      <c r="C4826" s="0" t="inlineStr">
        <is>
          <t>Eliza Women's Off Shoulder Long Sleeve Shirt</t>
        </is>
      </c>
      <c r="D4826" s="0" t="inlineStr">
        <is>
          <t>'108951</t>
        </is>
      </c>
      <c r="E4826" s="0" t="inlineStr">
        <is>
          <t>MU ELIZA:108951E-2XL</t>
        </is>
      </c>
      <c r="F4826" s="0" t="inlineStr">
        <is>
          <t>'800108951057</t>
        </is>
      </c>
      <c r="G4826" s="0" t="inlineStr">
        <is>
          <t>WOMENS</t>
        </is>
      </c>
      <c r="H4826" s="0" t="inlineStr">
        <is>
          <t>2XL</t>
        </is>
      </c>
      <c r="I4826" s="0">
        <v>44.99</v>
      </c>
      <c r="J4826" s="0">
        <v>2</v>
      </c>
    </row>
    <row r="4827" spans="1:10" customHeight="0">
      <c r="A4827" s="0">
        <f>HYPERLINK("https://dl.dropboxusercontent.com/scl/fi/dued67iqsl6wywzj1znhh/108951-f.jpg?rlkey=174qqynm32zx1rnsn243rjomy&amp;dl=0","Click to download Image")</f>
      </c>
      <c r="B4827" s="0">
        <f>HYPERLINK("https://dl.dropboxusercontent.com/scl/fi/e7bua4scymm197x6zzqma/8-19womens-fitted.jpg?rlkey=73nlt15s36tolq5x8dd8ul4in&amp;dl=0","Click to download SizeChart")</f>
      </c>
      <c r="C4827" s="0" t="inlineStr">
        <is>
          <t>Eliza Women's Off Shoulder Long Sleeve Shirt</t>
        </is>
      </c>
      <c r="D4827" s="0" t="inlineStr">
        <is>
          <t>'108951</t>
        </is>
      </c>
      <c r="E4827" s="0" t="inlineStr">
        <is>
          <t>MU ELIZA:108951F-3XL</t>
        </is>
      </c>
      <c r="F4827" s="0" t="inlineStr">
        <is>
          <t>'800108951064</t>
        </is>
      </c>
      <c r="G4827" s="0" t="inlineStr">
        <is>
          <t>WOMENS</t>
        </is>
      </c>
      <c r="H4827" s="0" t="inlineStr">
        <is>
          <t>3XL</t>
        </is>
      </c>
      <c r="I4827" s="0">
        <v>44.99</v>
      </c>
      <c r="J4827" s="0">
        <v>2</v>
      </c>
    </row>
    <row r="4828" spans="1:10" customHeight="0">
      <c r="A4828" s="0">
        <f>HYPERLINK("https://dl.dropboxusercontent.com/scl/fi/drs1zkbfmqmd84rwjaw93/108950f05380.jpg?rlkey=34gkgcrr61w8j9atmc3x79mx2&amp;dl=0","Click to download Image")</f>
      </c>
      <c r="B4828" s="0">
        <f>HYPERLINK("https://dl.dropboxusercontent.com/scl/fi/e7bua4scymm197x6zzqma/8-19womens-fitted.jpg?rlkey=73nlt15s36tolq5x8dd8ul4in&amp;dl=0","Click to download SizeChart")</f>
      </c>
      <c r="C4828" s="0" t="inlineStr">
        <is>
          <t>Eliza Women's Off Shoulder Long Sleeve Shirt</t>
        </is>
      </c>
      <c r="D4828" s="0" t="inlineStr">
        <is>
          <t>'108950</t>
        </is>
      </c>
      <c r="E4828" s="0" t="inlineStr">
        <is>
          <t>UNI ELIZA:108950A-S</t>
        </is>
      </c>
      <c r="F4828" s="0" t="inlineStr">
        <is>
          <t>'800108950012</t>
        </is>
      </c>
      <c r="G4828" s="0" t="inlineStr">
        <is>
          <t>WOMENS</t>
        </is>
      </c>
      <c r="H4828" s="0" t="inlineStr">
        <is>
          <t>S</t>
        </is>
      </c>
      <c r="I4828" s="0">
        <v>42.99</v>
      </c>
      <c r="J4828" s="0">
        <v>8</v>
      </c>
    </row>
    <row r="4829" spans="1:10" customHeight="0">
      <c r="A4829" s="0">
        <f>HYPERLINK("https://dl.dropboxusercontent.com/scl/fi/drs1zkbfmqmd84rwjaw93/108950f05380.jpg?rlkey=34gkgcrr61w8j9atmc3x79mx2&amp;dl=0","Click to download Image")</f>
      </c>
      <c r="B4829" s="0">
        <f>HYPERLINK("https://dl.dropboxusercontent.com/scl/fi/e7bua4scymm197x6zzqma/8-19womens-fitted.jpg?rlkey=73nlt15s36tolq5x8dd8ul4in&amp;dl=0","Click to download SizeChart")</f>
      </c>
      <c r="C4829" s="0" t="inlineStr">
        <is>
          <t>Eliza Women's Off Shoulder Long Sleeve Shirt</t>
        </is>
      </c>
      <c r="D4829" s="0" t="inlineStr">
        <is>
          <t>'108950</t>
        </is>
      </c>
      <c r="E4829" s="0" t="inlineStr">
        <is>
          <t>UNI ELIZA:108950B-M</t>
        </is>
      </c>
      <c r="F4829" s="0" t="inlineStr">
        <is>
          <t>'800108950029</t>
        </is>
      </c>
      <c r="G4829" s="0" t="inlineStr">
        <is>
          <t>WOMENS</t>
        </is>
      </c>
      <c r="H4829" s="0" t="inlineStr">
        <is>
          <t>M</t>
        </is>
      </c>
      <c r="I4829" s="0">
        <v>42.99</v>
      </c>
      <c r="J4829" s="0">
        <v>12</v>
      </c>
    </row>
    <row r="4830" spans="1:10" customHeight="0">
      <c r="A4830" s="0">
        <f>HYPERLINK("https://dl.dropboxusercontent.com/scl/fi/drs1zkbfmqmd84rwjaw93/108950f05380.jpg?rlkey=34gkgcrr61w8j9atmc3x79mx2&amp;dl=0","Click to download Image")</f>
      </c>
      <c r="B4830" s="0">
        <f>HYPERLINK("https://dl.dropboxusercontent.com/scl/fi/e7bua4scymm197x6zzqma/8-19womens-fitted.jpg?rlkey=73nlt15s36tolq5x8dd8ul4in&amp;dl=0","Click to download SizeChart")</f>
      </c>
      <c r="C4830" s="0" t="inlineStr">
        <is>
          <t>Eliza Women's Off Shoulder Long Sleeve Shirt</t>
        </is>
      </c>
      <c r="D4830" s="0" t="inlineStr">
        <is>
          <t>'108950</t>
        </is>
      </c>
      <c r="E4830" s="0" t="inlineStr">
        <is>
          <t>UNI ELIZA:108950C-L</t>
        </is>
      </c>
      <c r="F4830" s="0" t="inlineStr">
        <is>
          <t>'800108950036</t>
        </is>
      </c>
      <c r="G4830" s="0" t="inlineStr">
        <is>
          <t>WOMENS</t>
        </is>
      </c>
      <c r="H4830" s="0" t="inlineStr">
        <is>
          <t>L</t>
        </is>
      </c>
      <c r="I4830" s="0">
        <v>42.99</v>
      </c>
      <c r="J4830" s="0">
        <v>12</v>
      </c>
    </row>
    <row r="4831" spans="1:10" customHeight="0">
      <c r="A4831" s="0">
        <f>HYPERLINK("https://dl.dropboxusercontent.com/scl/fi/drs1zkbfmqmd84rwjaw93/108950f05380.jpg?rlkey=34gkgcrr61w8j9atmc3x79mx2&amp;dl=0","Click to download Image")</f>
      </c>
      <c r="B4831" s="0">
        <f>HYPERLINK("https://dl.dropboxusercontent.com/scl/fi/e7bua4scymm197x6zzqma/8-19womens-fitted.jpg?rlkey=73nlt15s36tolq5x8dd8ul4in&amp;dl=0","Click to download SizeChart")</f>
      </c>
      <c r="C4831" s="0" t="inlineStr">
        <is>
          <t>Eliza Women's Off Shoulder Long Sleeve Shirt</t>
        </is>
      </c>
      <c r="D4831" s="0" t="inlineStr">
        <is>
          <t>'108950</t>
        </is>
      </c>
      <c r="E4831" s="0" t="inlineStr">
        <is>
          <t>UNI ELIZA:108950D-XL</t>
        </is>
      </c>
      <c r="F4831" s="0" t="inlineStr">
        <is>
          <t>'800108950043</t>
        </is>
      </c>
      <c r="G4831" s="0" t="inlineStr">
        <is>
          <t>WOMENS</t>
        </is>
      </c>
      <c r="H4831" s="0" t="inlineStr">
        <is>
          <t>XL</t>
        </is>
      </c>
      <c r="I4831" s="0">
        <v>42.99</v>
      </c>
      <c r="J4831" s="0">
        <v>8</v>
      </c>
    </row>
    <row r="4832" spans="1:10" customHeight="0">
      <c r="A4832" s="0">
        <f>HYPERLINK("https://dl.dropboxusercontent.com/scl/fi/drs1zkbfmqmd84rwjaw93/108950f05380.jpg?rlkey=34gkgcrr61w8j9atmc3x79mx2&amp;dl=0","Click to download Image")</f>
      </c>
      <c r="B4832" s="0">
        <f>HYPERLINK("https://dl.dropboxusercontent.com/scl/fi/e7bua4scymm197x6zzqma/8-19womens-fitted.jpg?rlkey=73nlt15s36tolq5x8dd8ul4in&amp;dl=0","Click to download SizeChart")</f>
      </c>
      <c r="C4832" s="0" t="inlineStr">
        <is>
          <t>Eliza Women's Off Shoulder Long Sleeve Shirt</t>
        </is>
      </c>
      <c r="D4832" s="0" t="inlineStr">
        <is>
          <t>'108950</t>
        </is>
      </c>
      <c r="E4832" s="0" t="inlineStr">
        <is>
          <t>UNI ELIZA:108950E-2XL</t>
        </is>
      </c>
      <c r="F4832" s="0" t="inlineStr">
        <is>
          <t>'800108950050</t>
        </is>
      </c>
      <c r="G4832" s="0" t="inlineStr">
        <is>
          <t>WOMENS</t>
        </is>
      </c>
      <c r="H4832" s="0" t="inlineStr">
        <is>
          <t>2XL</t>
        </is>
      </c>
      <c r="I4832" s="0">
        <v>44.99</v>
      </c>
      <c r="J4832" s="0">
        <v>8</v>
      </c>
    </row>
    <row r="4833" spans="1:10" customHeight="0">
      <c r="A4833" s="0">
        <f>HYPERLINK("https://dl.dropboxusercontent.com/scl/fi/drs1zkbfmqmd84rwjaw93/108950f05380.jpg?rlkey=34gkgcrr61w8j9atmc3x79mx2&amp;dl=0","Click to download Image")</f>
      </c>
      <c r="B4833" s="0">
        <f>HYPERLINK("https://dl.dropboxusercontent.com/scl/fi/e7bua4scymm197x6zzqma/8-19womens-fitted.jpg?rlkey=73nlt15s36tolq5x8dd8ul4in&amp;dl=0","Click to download SizeChart")</f>
      </c>
      <c r="C4833" s="0" t="inlineStr">
        <is>
          <t>Eliza Women's Off Shoulder Long Sleeve Shirt</t>
        </is>
      </c>
      <c r="D4833" s="0" t="inlineStr">
        <is>
          <t>'108950</t>
        </is>
      </c>
      <c r="E4833" s="0" t="inlineStr">
        <is>
          <t>UNI ELIZA:108950F-3XL</t>
        </is>
      </c>
      <c r="F4833" s="0" t="inlineStr">
        <is>
          <t>'800108950067</t>
        </is>
      </c>
      <c r="G4833" s="0" t="inlineStr">
        <is>
          <t>WOMENS</t>
        </is>
      </c>
      <c r="H4833" s="0" t="inlineStr">
        <is>
          <t>3XL</t>
        </is>
      </c>
      <c r="I4833" s="0">
        <v>44.99</v>
      </c>
      <c r="J4833" s="0">
        <v>2</v>
      </c>
    </row>
    <row r="4834" spans="1:10" customHeight="0">
      <c r="A4834" s="0">
        <f>HYPERLINK("https://dl.dropboxusercontent.com/scl/fi/chzg51bgzwp8ris8q0qql/113839af.jpg?rlkey=bfjm6n1mjrlnr8x0p4in3dnjf&amp;dl=0","Click to download Image")</f>
      </c>
      <c r="C4834" s="0" t="inlineStr">
        <is>
          <t>Love Cotton Cap</t>
        </is>
      </c>
      <c r="D4834" s="0" t="inlineStr">
        <is>
          <t>'113839</t>
        </is>
      </c>
      <c r="E4834" s="0" t="inlineStr">
        <is>
          <t>UNI LOVE WHITE:113839</t>
        </is>
      </c>
      <c r="F4834" s="0" t="inlineStr">
        <is>
          <t>'702113839019</t>
        </is>
      </c>
      <c r="G4834" s="0" t="inlineStr">
        <is>
          <t>WOMENS</t>
        </is>
      </c>
      <c r="I4834" s="0">
        <v>12.99</v>
      </c>
      <c r="J4834" s="0">
        <v>84</v>
      </c>
    </row>
    <row r="4835" spans="1:10" customHeight="0">
      <c r="A4835" s="0">
        <f>HYPERLINK("https://dl.dropboxusercontent.com/scl/fi/58gvy6yhhqzp9qxfycecd/113838af.jpg?rlkey=rige6c1g0ejhw6gqzxcjf8aqb&amp;dl=0","Click to download Image")</f>
      </c>
      <c r="C4835" s="0" t="inlineStr">
        <is>
          <t>Love Cotton Cap</t>
        </is>
      </c>
      <c r="D4835" s="0" t="inlineStr">
        <is>
          <t>'113838</t>
        </is>
      </c>
      <c r="E4835" s="0" t="inlineStr">
        <is>
          <t>ISU LOVE WHITE:113838</t>
        </is>
      </c>
      <c r="F4835" s="0" t="inlineStr">
        <is>
          <t>'701113838015</t>
        </is>
      </c>
      <c r="G4835" s="0" t="inlineStr">
        <is>
          <t>WOMENS</t>
        </is>
      </c>
      <c r="I4835" s="0">
        <v>12.99</v>
      </c>
      <c r="J4835" s="0">
        <v>170</v>
      </c>
    </row>
    <row r="4836" spans="1:10" customHeight="0">
      <c r="A4836" s="0">
        <f>HYPERLINK("https://dl.dropboxusercontent.com/scl/fi/ez3j0tch2dmh1ill3dwjq/113837af.jpg?rlkey=tq5kiihiwsn0yjo5olovbc40c&amp;dl=0","Click to download Image")</f>
      </c>
      <c r="C4836" s="0" t="inlineStr">
        <is>
          <t>Love Cotton Cap</t>
        </is>
      </c>
      <c r="D4836" s="0" t="inlineStr">
        <is>
          <t>'113837</t>
        </is>
      </c>
      <c r="E4836" s="0" t="inlineStr">
        <is>
          <t>IOWA LOVE WHITE:113837</t>
        </is>
      </c>
      <c r="F4836" s="0" t="inlineStr">
        <is>
          <t>'700113837011</t>
        </is>
      </c>
      <c r="G4836" s="0" t="inlineStr">
        <is>
          <t>WOMENS</t>
        </is>
      </c>
      <c r="I4836" s="0">
        <v>12.99</v>
      </c>
      <c r="J4836" s="0">
        <v>224</v>
      </c>
    </row>
    <row r="4837" spans="1:10" customHeight="0">
      <c r="A4837" s="0">
        <f>HYPERLINK("https://dl.dropboxusercontent.com/scl/fi/cfy090rmed4vxh93cq2jk/113827af.jpg?rlkey=msgb9phvjmdqy5gdp1wfmrsdv&amp;dl=0","Click to download Image")</f>
      </c>
      <c r="C4837" s="0" t="inlineStr">
        <is>
          <t>Love Knit Beanie</t>
        </is>
      </c>
      <c r="D4837" s="0" t="inlineStr">
        <is>
          <t>'113827</t>
        </is>
      </c>
      <c r="E4837" s="0" t="inlineStr">
        <is>
          <t>IOWA LOVE BEANIE:113827</t>
        </is>
      </c>
      <c r="F4837" s="0" t="inlineStr">
        <is>
          <t>'700113827012</t>
        </is>
      </c>
      <c r="G4837" s="0" t="inlineStr">
        <is>
          <t>WOMENS</t>
        </is>
      </c>
      <c r="I4837" s="0">
        <v>12.99</v>
      </c>
      <c r="J4837" s="0">
        <v>71</v>
      </c>
    </row>
    <row r="4838" spans="1:10" customHeight="0">
      <c r="A4838" s="0">
        <f>HYPERLINK("https://dl.dropboxusercontent.com/scl/fi/rgjax84ec54tv7qubo50z/113828af.jpg?rlkey=0ti800rwr1xl85egb7ejco4p7&amp;dl=0","Click to download Image")</f>
      </c>
      <c r="C4838" s="0" t="inlineStr">
        <is>
          <t>Love Knit Beanie</t>
        </is>
      </c>
      <c r="D4838" s="0" t="inlineStr">
        <is>
          <t>'113828</t>
        </is>
      </c>
      <c r="E4838" s="0" t="inlineStr">
        <is>
          <t>ISU LOVE BEANIE:113828</t>
        </is>
      </c>
      <c r="F4838" s="0" t="inlineStr">
        <is>
          <t>'701113828016</t>
        </is>
      </c>
      <c r="G4838" s="0" t="inlineStr">
        <is>
          <t>WOMENS</t>
        </is>
      </c>
      <c r="I4838" s="0">
        <v>12.99</v>
      </c>
      <c r="J4838" s="0">
        <v>168</v>
      </c>
    </row>
    <row r="4839" spans="1:10" customHeight="0">
      <c r="A4839" s="0">
        <f>HYPERLINK("https://dl.dropboxusercontent.com/scl/fi/me99rzr85ugwydg7rhw06/113829af.jpg?rlkey=kcgdtg3a4i7idd8773v2zfv0k&amp;dl=0","Click to download Image")</f>
      </c>
      <c r="C4839" s="0" t="inlineStr">
        <is>
          <t>Love Knit Beanie</t>
        </is>
      </c>
      <c r="D4839" s="0" t="inlineStr">
        <is>
          <t>'113829</t>
        </is>
      </c>
      <c r="E4839" s="0" t="inlineStr">
        <is>
          <t>UNI LOVE BEANIE:113829</t>
        </is>
      </c>
      <c r="F4839" s="0" t="inlineStr">
        <is>
          <t>'702113829010</t>
        </is>
      </c>
      <c r="G4839" s="0" t="inlineStr">
        <is>
          <t>WOMENS</t>
        </is>
      </c>
      <c r="I4839" s="0">
        <v>12.99</v>
      </c>
      <c r="J4839" s="0">
        <v>78</v>
      </c>
    </row>
    <row r="4840" spans="1:10" customHeight="0">
      <c r="A4840" s="0">
        <f>HYPERLINK("https://dl.dropboxusercontent.com/scl/fi/xl61uxwysqlwh17s3lxr4/113832f.jpg?rlkey=fgs1uwz6igh84upjbup10v2o8&amp;dl=0","Click to download Image")</f>
      </c>
      <c r="C4840" s="0" t="inlineStr">
        <is>
          <t>Cable Knit Heart Beanie</t>
        </is>
      </c>
      <c r="D4840" s="0" t="inlineStr">
        <is>
          <t>'113832</t>
        </is>
      </c>
      <c r="E4840" s="0" t="inlineStr">
        <is>
          <t>UNI HEART RED BEANIE:113832</t>
        </is>
      </c>
      <c r="F4840" s="0" t="inlineStr">
        <is>
          <t>'702113832010</t>
        </is>
      </c>
      <c r="G4840" s="0" t="inlineStr">
        <is>
          <t>WOMENS</t>
        </is>
      </c>
      <c r="I4840" s="0">
        <v>12.99</v>
      </c>
      <c r="J4840" s="0">
        <v>84</v>
      </c>
    </row>
    <row r="4841" spans="1:10" customHeight="0">
      <c r="A4841" s="0">
        <f>HYPERLINK("https://dl.dropboxusercontent.com/scl/fi/sn8qysah9ik52h2x74y89/113831f.jpg?rlkey=0jmtgxo8gu99jy82clsg519vr&amp;dl=0","Click to download Image")</f>
      </c>
      <c r="C4841" s="0" t="inlineStr">
        <is>
          <t>Cable Knit Heart Beanie</t>
        </is>
      </c>
      <c r="D4841" s="0" t="inlineStr">
        <is>
          <t>'113831</t>
        </is>
      </c>
      <c r="E4841" s="0" t="inlineStr">
        <is>
          <t>ISU HEART RED BEANIE:113831</t>
        </is>
      </c>
      <c r="F4841" s="0" t="inlineStr">
        <is>
          <t>'701113831016</t>
        </is>
      </c>
      <c r="G4841" s="0" t="inlineStr">
        <is>
          <t>WOMENS</t>
        </is>
      </c>
      <c r="I4841" s="0">
        <v>12.99</v>
      </c>
      <c r="J4841" s="0">
        <v>158</v>
      </c>
    </row>
    <row r="4842" spans="1:10" customHeight="0">
      <c r="A4842" s="0">
        <f>HYPERLINK("https://dl.dropboxusercontent.com/scl/fi/h0tk3fav6ez656fuk1gjs/113830f.jpg?rlkey=5muickh05uiyz2ot03n05vwex&amp;dl=0","Click to download Image")</f>
      </c>
      <c r="C4842" s="0" t="inlineStr">
        <is>
          <t>Cable Knit Heart Beanie</t>
        </is>
      </c>
      <c r="D4842" s="0" t="inlineStr">
        <is>
          <t>'113830</t>
        </is>
      </c>
      <c r="E4842" s="0" t="inlineStr">
        <is>
          <t>IOWA HEART RED BEANIE:113830</t>
        </is>
      </c>
      <c r="F4842" s="0" t="inlineStr">
        <is>
          <t>'700113830012</t>
        </is>
      </c>
      <c r="G4842" s="0" t="inlineStr">
        <is>
          <t>WOMENS</t>
        </is>
      </c>
      <c r="I4842" s="0">
        <v>12.99</v>
      </c>
      <c r="J4842" s="0">
        <v>230</v>
      </c>
    </row>
    <row r="4843" spans="1:10" customHeight="0">
      <c r="A4843" s="0">
        <f>HYPERLINK("https://dl.dropboxusercontent.com/scl/fi/m3q9pcmnljseteyz4swxg/667a4779-copy-3.jpg?rlkey=rjj9md3s96ywpjjb5iy16oysl&amp;dl=0","Click to download Image")</f>
      </c>
      <c r="B4843" s="0">
        <f>HYPERLINK("https://dl.dropboxusercontent.com/scl/fi/7s5vs5emdwac5vg57jzdk/8-19womens-fitted.jpg?rlkey=35dkzuc23dtadqtpec1u20pz9&amp;dl=0","Click to download SizeChart")</f>
      </c>
      <c r="C4843" s="0" t="inlineStr">
        <is>
          <t>Kristin Women's Performance Polo</t>
        </is>
      </c>
      <c r="D4843" s="0" t="inlineStr">
        <is>
          <t>'103984</t>
        </is>
      </c>
      <c r="E4843" s="0" t="inlineStr">
        <is>
          <t>KRISTIN:103984A-S</t>
        </is>
      </c>
      <c r="F4843" s="0" t="inlineStr">
        <is>
          <t>'000000000000</t>
        </is>
      </c>
      <c r="G4843" s="0" t="inlineStr">
        <is>
          <t>WOMENS</t>
        </is>
      </c>
      <c r="H4843" s="0" t="inlineStr">
        <is>
          <t>S</t>
        </is>
      </c>
      <c r="I4843" s="0">
        <v>44.99</v>
      </c>
      <c r="J4843" s="0">
        <v>75</v>
      </c>
    </row>
    <row r="4844" spans="1:10" customHeight="0">
      <c r="A4844" s="0">
        <f>HYPERLINK("https://dl.dropboxusercontent.com/scl/fi/m3q9pcmnljseteyz4swxg/667a4779-copy-3.jpg?rlkey=rjj9md3s96ywpjjb5iy16oysl&amp;dl=0","Click to download Image")</f>
      </c>
      <c r="B4844" s="0">
        <f>HYPERLINK("https://dl.dropboxusercontent.com/scl/fi/7s5vs5emdwac5vg57jzdk/8-19womens-fitted.jpg?rlkey=35dkzuc23dtadqtpec1u20pz9&amp;dl=0","Click to download SizeChart")</f>
      </c>
      <c r="C4844" s="0" t="inlineStr">
        <is>
          <t>Kristin Women's Performance Polo</t>
        </is>
      </c>
      <c r="D4844" s="0" t="inlineStr">
        <is>
          <t>'103984</t>
        </is>
      </c>
      <c r="E4844" s="0" t="inlineStr">
        <is>
          <t>KRISTIN:103984B-M</t>
        </is>
      </c>
      <c r="F4844" s="0" t="inlineStr">
        <is>
          <t>'000000000000</t>
        </is>
      </c>
      <c r="G4844" s="0" t="inlineStr">
        <is>
          <t>WOMENS</t>
        </is>
      </c>
      <c r="H4844" s="0" t="inlineStr">
        <is>
          <t>M</t>
        </is>
      </c>
      <c r="I4844" s="0">
        <v>44.99</v>
      </c>
      <c r="J4844" s="0">
        <v>94</v>
      </c>
    </row>
    <row r="4845" spans="1:10" customHeight="0">
      <c r="A4845" s="0">
        <f>HYPERLINK("https://dl.dropboxusercontent.com/scl/fi/m3q9pcmnljseteyz4swxg/667a4779-copy-3.jpg?rlkey=rjj9md3s96ywpjjb5iy16oysl&amp;dl=0","Click to download Image")</f>
      </c>
      <c r="B4845" s="0">
        <f>HYPERLINK("https://dl.dropboxusercontent.com/scl/fi/7s5vs5emdwac5vg57jzdk/8-19womens-fitted.jpg?rlkey=35dkzuc23dtadqtpec1u20pz9&amp;dl=0","Click to download SizeChart")</f>
      </c>
      <c r="C4845" s="0" t="inlineStr">
        <is>
          <t>Kristin Women's Performance Polo</t>
        </is>
      </c>
      <c r="D4845" s="0" t="inlineStr">
        <is>
          <t>'103984</t>
        </is>
      </c>
      <c r="E4845" s="0" t="inlineStr">
        <is>
          <t>KRISTIN:103984C-L</t>
        </is>
      </c>
      <c r="F4845" s="0" t="inlineStr">
        <is>
          <t>'000000000000</t>
        </is>
      </c>
      <c r="G4845" s="0" t="inlineStr">
        <is>
          <t>WOMENS</t>
        </is>
      </c>
      <c r="H4845" s="0" t="inlineStr">
        <is>
          <t>L</t>
        </is>
      </c>
      <c r="I4845" s="0">
        <v>44.99</v>
      </c>
      <c r="J4845" s="0">
        <v>105</v>
      </c>
    </row>
    <row r="4846" spans="1:10" customHeight="0">
      <c r="A4846" s="0">
        <f>HYPERLINK("https://dl.dropboxusercontent.com/scl/fi/m3q9pcmnljseteyz4swxg/667a4779-copy-3.jpg?rlkey=rjj9md3s96ywpjjb5iy16oysl&amp;dl=0","Click to download Image")</f>
      </c>
      <c r="B4846" s="0">
        <f>HYPERLINK("https://dl.dropboxusercontent.com/scl/fi/7s5vs5emdwac5vg57jzdk/8-19womens-fitted.jpg?rlkey=35dkzuc23dtadqtpec1u20pz9&amp;dl=0","Click to download SizeChart")</f>
      </c>
      <c r="C4846" s="0" t="inlineStr">
        <is>
          <t>Kristin Women's Performance Polo</t>
        </is>
      </c>
      <c r="D4846" s="0" t="inlineStr">
        <is>
          <t>'103984</t>
        </is>
      </c>
      <c r="E4846" s="0" t="inlineStr">
        <is>
          <t>KRISTIN:103984D-XL</t>
        </is>
      </c>
      <c r="F4846" s="0" t="inlineStr">
        <is>
          <t>'000000000000</t>
        </is>
      </c>
      <c r="G4846" s="0" t="inlineStr">
        <is>
          <t>WOMENS</t>
        </is>
      </c>
      <c r="H4846" s="0" t="inlineStr">
        <is>
          <t>XL</t>
        </is>
      </c>
      <c r="I4846" s="0">
        <v>44.99</v>
      </c>
      <c r="J4846" s="0">
        <v>106</v>
      </c>
    </row>
    <row r="4847" spans="1:10" customHeight="0">
      <c r="A4847" s="0">
        <f>HYPERLINK("https://dl.dropboxusercontent.com/scl/fi/m3q9pcmnljseteyz4swxg/667a4779-copy-3.jpg?rlkey=rjj9md3s96ywpjjb5iy16oysl&amp;dl=0","Click to download Image")</f>
      </c>
      <c r="B4847" s="0">
        <f>HYPERLINK("https://dl.dropboxusercontent.com/scl/fi/7s5vs5emdwac5vg57jzdk/8-19womens-fitted.jpg?rlkey=35dkzuc23dtadqtpec1u20pz9&amp;dl=0","Click to download SizeChart")</f>
      </c>
      <c r="C4847" s="0" t="inlineStr">
        <is>
          <t>Kristin Women's Performance Polo</t>
        </is>
      </c>
      <c r="D4847" s="0" t="inlineStr">
        <is>
          <t>'103984</t>
        </is>
      </c>
      <c r="E4847" s="0" t="inlineStr">
        <is>
          <t>KRISTIN:103984E-2XL</t>
        </is>
      </c>
      <c r="F4847" s="0" t="inlineStr">
        <is>
          <t>'000000000000</t>
        </is>
      </c>
      <c r="G4847" s="0" t="inlineStr">
        <is>
          <t>WOMENS</t>
        </is>
      </c>
      <c r="H4847" s="0" t="inlineStr">
        <is>
          <t>2XL</t>
        </is>
      </c>
      <c r="I4847" s="0">
        <v>46.99</v>
      </c>
      <c r="J4847" s="0">
        <v>80</v>
      </c>
    </row>
    <row r="4848" spans="1:10" customHeight="0">
      <c r="A4848" s="0">
        <f>HYPERLINK("https://dl.dropboxusercontent.com/scl/fi/m3q9pcmnljseteyz4swxg/667a4779-copy-3.jpg?rlkey=rjj9md3s96ywpjjb5iy16oysl&amp;dl=0","Click to download Image")</f>
      </c>
      <c r="B4848" s="0">
        <f>HYPERLINK("https://dl.dropboxusercontent.com/scl/fi/7s5vs5emdwac5vg57jzdk/8-19womens-fitted.jpg?rlkey=35dkzuc23dtadqtpec1u20pz9&amp;dl=0","Click to download SizeChart")</f>
      </c>
      <c r="C4848" s="0" t="inlineStr">
        <is>
          <t>Kristin Women's Performance Polo</t>
        </is>
      </c>
      <c r="D4848" s="0" t="inlineStr">
        <is>
          <t>'103984</t>
        </is>
      </c>
      <c r="E4848" s="0" t="inlineStr">
        <is>
          <t>KRISTIN:103984F-3XL</t>
        </is>
      </c>
      <c r="F4848" s="0" t="inlineStr">
        <is>
          <t>'000000000000</t>
        </is>
      </c>
      <c r="G4848" s="0" t="inlineStr">
        <is>
          <t>WOMENS</t>
        </is>
      </c>
      <c r="H4848" s="0" t="inlineStr">
        <is>
          <t>3XL</t>
        </is>
      </c>
      <c r="I4848" s="0">
        <v>46.99</v>
      </c>
      <c r="J4848" s="0">
        <v>19</v>
      </c>
    </row>
    <row r="4849" spans="1:10" customHeight="0">
      <c r="A4849" s="0">
        <f>HYPERLINK("https://dl.dropboxusercontent.com/scl/fi/ackqy93sx7m3ujh0psqnw/104497f46788.jpg?rlkey=7dz4w36ozyw1ypry0bk9w4fel&amp;dl=0","Click to download Image")</f>
      </c>
      <c r="B4849" s="0">
        <f>HYPERLINK("https://dl.dropboxusercontent.com/scl/fi/7s5vs5emdwac5vg57jzdk/8-19womens-fitted.jpg?rlkey=35dkzuc23dtadqtpec1u20pz9&amp;dl=0","Click to download SizeChart")</f>
      </c>
      <c r="C4849" s="0" t="inlineStr">
        <is>
          <t>Kristin Women's Performance Polo</t>
        </is>
      </c>
      <c r="D4849" s="0" t="inlineStr">
        <is>
          <t>'104497</t>
        </is>
      </c>
      <c r="E4849" s="0" t="inlineStr">
        <is>
          <t>KRISTIN:104497A-S</t>
        </is>
      </c>
      <c r="F4849" s="0" t="inlineStr">
        <is>
          <t>'000000000000</t>
        </is>
      </c>
      <c r="G4849" s="0" t="inlineStr">
        <is>
          <t>WOMENS</t>
        </is>
      </c>
      <c r="H4849" s="0" t="inlineStr">
        <is>
          <t>S</t>
        </is>
      </c>
      <c r="I4849" s="0">
        <v>44.99</v>
      </c>
      <c r="J4849" s="0">
        <v>24</v>
      </c>
    </row>
    <row r="4850" spans="1:10" customHeight="0">
      <c r="A4850" s="0">
        <f>HYPERLINK("https://dl.dropboxusercontent.com/scl/fi/ackqy93sx7m3ujh0psqnw/104497f46788.jpg?rlkey=7dz4w36ozyw1ypry0bk9w4fel&amp;dl=0","Click to download Image")</f>
      </c>
      <c r="B4850" s="0">
        <f>HYPERLINK("https://dl.dropboxusercontent.com/scl/fi/7s5vs5emdwac5vg57jzdk/8-19womens-fitted.jpg?rlkey=35dkzuc23dtadqtpec1u20pz9&amp;dl=0","Click to download SizeChart")</f>
      </c>
      <c r="C4850" s="0" t="inlineStr">
        <is>
          <t>Kristin Women's Performance Polo</t>
        </is>
      </c>
      <c r="D4850" s="0" t="inlineStr">
        <is>
          <t>'104497</t>
        </is>
      </c>
      <c r="E4850" s="0" t="inlineStr">
        <is>
          <t>KRISTIN:104497B-M</t>
        </is>
      </c>
      <c r="F4850" s="0" t="inlineStr">
        <is>
          <t>'000000000000</t>
        </is>
      </c>
      <c r="G4850" s="0" t="inlineStr">
        <is>
          <t>WOMENS</t>
        </is>
      </c>
      <c r="H4850" s="0" t="inlineStr">
        <is>
          <t>M</t>
        </is>
      </c>
      <c r="I4850" s="0">
        <v>44.99</v>
      </c>
      <c r="J4850" s="0">
        <v>36</v>
      </c>
    </row>
    <row r="4851" spans="1:10" customHeight="0">
      <c r="A4851" s="0">
        <f>HYPERLINK("https://dl.dropboxusercontent.com/scl/fi/ackqy93sx7m3ujh0psqnw/104497f46788.jpg?rlkey=7dz4w36ozyw1ypry0bk9w4fel&amp;dl=0","Click to download Image")</f>
      </c>
      <c r="B4851" s="0">
        <f>HYPERLINK("https://dl.dropboxusercontent.com/scl/fi/7s5vs5emdwac5vg57jzdk/8-19womens-fitted.jpg?rlkey=35dkzuc23dtadqtpec1u20pz9&amp;dl=0","Click to download SizeChart")</f>
      </c>
      <c r="C4851" s="0" t="inlineStr">
        <is>
          <t>Kristin Women's Performance Polo</t>
        </is>
      </c>
      <c r="D4851" s="0" t="inlineStr">
        <is>
          <t>'104497</t>
        </is>
      </c>
      <c r="E4851" s="0" t="inlineStr">
        <is>
          <t>KRISTIN:104497C-L</t>
        </is>
      </c>
      <c r="F4851" s="0" t="inlineStr">
        <is>
          <t>'000000000000</t>
        </is>
      </c>
      <c r="G4851" s="0" t="inlineStr">
        <is>
          <t>WOMENS</t>
        </is>
      </c>
      <c r="H4851" s="0" t="inlineStr">
        <is>
          <t>L</t>
        </is>
      </c>
      <c r="I4851" s="0">
        <v>44.99</v>
      </c>
      <c r="J4851" s="0">
        <v>51</v>
      </c>
    </row>
    <row r="4852" spans="1:10" customHeight="0">
      <c r="A4852" s="0">
        <f>HYPERLINK("https://dl.dropboxusercontent.com/scl/fi/ackqy93sx7m3ujh0psqnw/104497f46788.jpg?rlkey=7dz4w36ozyw1ypry0bk9w4fel&amp;dl=0","Click to download Image")</f>
      </c>
      <c r="B4852" s="0">
        <f>HYPERLINK("https://dl.dropboxusercontent.com/scl/fi/7s5vs5emdwac5vg57jzdk/8-19womens-fitted.jpg?rlkey=35dkzuc23dtadqtpec1u20pz9&amp;dl=0","Click to download SizeChart")</f>
      </c>
      <c r="C4852" s="0" t="inlineStr">
        <is>
          <t>Kristin Women's Performance Polo</t>
        </is>
      </c>
      <c r="D4852" s="0" t="inlineStr">
        <is>
          <t>'104497</t>
        </is>
      </c>
      <c r="E4852" s="0" t="inlineStr">
        <is>
          <t>KRISTIN:104497D-XL</t>
        </is>
      </c>
      <c r="F4852" s="0" t="inlineStr">
        <is>
          <t>'000000000000</t>
        </is>
      </c>
      <c r="G4852" s="0" t="inlineStr">
        <is>
          <t>WOMENS</t>
        </is>
      </c>
      <c r="H4852" s="0" t="inlineStr">
        <is>
          <t>XL</t>
        </is>
      </c>
      <c r="I4852" s="0">
        <v>44.99</v>
      </c>
      <c r="J4852" s="0">
        <v>52</v>
      </c>
    </row>
    <row r="4853" spans="1:10" customHeight="0">
      <c r="A4853" s="0">
        <f>HYPERLINK("https://dl.dropboxusercontent.com/scl/fi/ackqy93sx7m3ujh0psqnw/104497f46788.jpg?rlkey=7dz4w36ozyw1ypry0bk9w4fel&amp;dl=0","Click to download Image")</f>
      </c>
      <c r="B4853" s="0">
        <f>HYPERLINK("https://dl.dropboxusercontent.com/scl/fi/7s5vs5emdwac5vg57jzdk/8-19womens-fitted.jpg?rlkey=35dkzuc23dtadqtpec1u20pz9&amp;dl=0","Click to download SizeChart")</f>
      </c>
      <c r="C4853" s="0" t="inlineStr">
        <is>
          <t>Kristin Women's Performance Polo</t>
        </is>
      </c>
      <c r="D4853" s="0" t="inlineStr">
        <is>
          <t>'104497</t>
        </is>
      </c>
      <c r="E4853" s="0" t="inlineStr">
        <is>
          <t>KRISTIN:104497E-2XL</t>
        </is>
      </c>
      <c r="F4853" s="0" t="inlineStr">
        <is>
          <t>'000000000000</t>
        </is>
      </c>
      <c r="G4853" s="0" t="inlineStr">
        <is>
          <t>WOMENS</t>
        </is>
      </c>
      <c r="H4853" s="0" t="inlineStr">
        <is>
          <t>2XL</t>
        </is>
      </c>
      <c r="I4853" s="0">
        <v>46.99</v>
      </c>
      <c r="J4853" s="0">
        <v>44</v>
      </c>
    </row>
    <row r="4854" spans="1:10" customHeight="0">
      <c r="A4854" s="0">
        <f>HYPERLINK("https://dl.dropboxusercontent.com/scl/fi/ackqy93sx7m3ujh0psqnw/104497f46788.jpg?rlkey=7dz4w36ozyw1ypry0bk9w4fel&amp;dl=0","Click to download Image")</f>
      </c>
      <c r="B4854" s="0">
        <f>HYPERLINK("https://dl.dropboxusercontent.com/scl/fi/7s5vs5emdwac5vg57jzdk/8-19womens-fitted.jpg?rlkey=35dkzuc23dtadqtpec1u20pz9&amp;dl=0","Click to download SizeChart")</f>
      </c>
      <c r="C4854" s="0" t="inlineStr">
        <is>
          <t>Kristin Women's Performance Polo</t>
        </is>
      </c>
      <c r="D4854" s="0" t="inlineStr">
        <is>
          <t>'104497</t>
        </is>
      </c>
      <c r="E4854" s="0" t="inlineStr">
        <is>
          <t>KRISTIN:104497F-3XL</t>
        </is>
      </c>
      <c r="F4854" s="0" t="inlineStr">
        <is>
          <t>'000000000000</t>
        </is>
      </c>
      <c r="G4854" s="0" t="inlineStr">
        <is>
          <t>WOMENS</t>
        </is>
      </c>
      <c r="H4854" s="0" t="inlineStr">
        <is>
          <t>3XL</t>
        </is>
      </c>
      <c r="I4854" s="0">
        <v>46.99</v>
      </c>
      <c r="J4854" s="0">
        <v>29</v>
      </c>
    </row>
    <row r="4855" spans="1:10" customHeight="0">
      <c r="A4855" s="0">
        <f>HYPERLINK("https://dl.dropboxusercontent.com/scl/fi/buj9iw2smtu3lnuxp2qnt/suits223829.jpg?rlkey=uxvqcbwb18bilghm6iatjb2du&amp;dl=0","Click to download Image")</f>
      </c>
      <c r="B4855" s="0">
        <f>HYPERLINK("https://dl.dropboxusercontent.com/scl/fi/gw5qpb151rfkoclg0q0l0/womens-bodysuit-size-chartsrosa.jpg?rlkey=bizl73nmdlfep2s4tqfmc317x&amp;dl=0","Click to download SizeChart")</f>
      </c>
      <c r="C4855" s="0" t="inlineStr">
        <is>
          <t>Rosa Women's Bodysuit</t>
        </is>
      </c>
      <c r="D4855" s="0" t="inlineStr">
        <is>
          <t>'111377</t>
        </is>
      </c>
      <c r="E4855" s="0" t="inlineStr">
        <is>
          <t>IOWA ROSA WHITE:111377AA-XS</t>
        </is>
      </c>
      <c r="F4855" s="0" t="inlineStr">
        <is>
          <t>'800111377035</t>
        </is>
      </c>
      <c r="G4855" s="0" t="inlineStr">
        <is>
          <t>WOMENS</t>
        </is>
      </c>
      <c r="H4855" s="0" t="inlineStr">
        <is>
          <t>XS</t>
        </is>
      </c>
      <c r="I4855" s="0">
        <v>44.99</v>
      </c>
      <c r="J4855" s="0">
        <v>21</v>
      </c>
    </row>
    <row r="4856" spans="1:10" customHeight="0">
      <c r="A4856" s="0">
        <f>HYPERLINK("https://dl.dropboxusercontent.com/scl/fi/buj9iw2smtu3lnuxp2qnt/suits223829.jpg?rlkey=uxvqcbwb18bilghm6iatjb2du&amp;dl=0","Click to download Image")</f>
      </c>
      <c r="B4856" s="0">
        <f>HYPERLINK("https://dl.dropboxusercontent.com/scl/fi/gw5qpb151rfkoclg0q0l0/womens-bodysuit-size-chartsrosa.jpg?rlkey=bizl73nmdlfep2s4tqfmc317x&amp;dl=0","Click to download SizeChart")</f>
      </c>
      <c r="C4856" s="0" t="inlineStr">
        <is>
          <t>Rosa Women's Bodysuit</t>
        </is>
      </c>
      <c r="D4856" s="0" t="inlineStr">
        <is>
          <t>'111377</t>
        </is>
      </c>
      <c r="E4856" s="0" t="inlineStr">
        <is>
          <t>IOWA ROSA WHITE:111377A-S</t>
        </is>
      </c>
      <c r="F4856" s="0" t="inlineStr">
        <is>
          <t>'800111377042</t>
        </is>
      </c>
      <c r="G4856" s="0" t="inlineStr">
        <is>
          <t>WOMENS</t>
        </is>
      </c>
      <c r="H4856" s="0" t="inlineStr">
        <is>
          <t>S</t>
        </is>
      </c>
      <c r="I4856" s="0">
        <v>44.99</v>
      </c>
      <c r="J4856" s="0">
        <v>33</v>
      </c>
    </row>
    <row r="4857" spans="1:10" customHeight="0">
      <c r="A4857" s="0">
        <f>HYPERLINK("https://dl.dropboxusercontent.com/scl/fi/buj9iw2smtu3lnuxp2qnt/suits223829.jpg?rlkey=uxvqcbwb18bilghm6iatjb2du&amp;dl=0","Click to download Image")</f>
      </c>
      <c r="B4857" s="0">
        <f>HYPERLINK("https://dl.dropboxusercontent.com/scl/fi/gw5qpb151rfkoclg0q0l0/womens-bodysuit-size-chartsrosa.jpg?rlkey=bizl73nmdlfep2s4tqfmc317x&amp;dl=0","Click to download SizeChart")</f>
      </c>
      <c r="C4857" s="0" t="inlineStr">
        <is>
          <t>Rosa Women's Bodysuit</t>
        </is>
      </c>
      <c r="D4857" s="0" t="inlineStr">
        <is>
          <t>'111377</t>
        </is>
      </c>
      <c r="E4857" s="0" t="inlineStr">
        <is>
          <t>IOWA ROSA WHITE:111377B-M</t>
        </is>
      </c>
      <c r="F4857" s="0" t="inlineStr">
        <is>
          <t>'800111377059</t>
        </is>
      </c>
      <c r="G4857" s="0" t="inlineStr">
        <is>
          <t>WOMENS</t>
        </is>
      </c>
      <c r="H4857" s="0" t="inlineStr">
        <is>
          <t>M</t>
        </is>
      </c>
      <c r="I4857" s="0">
        <v>44.99</v>
      </c>
      <c r="J4857" s="0">
        <v>38</v>
      </c>
    </row>
    <row r="4858" spans="1:10" customHeight="0">
      <c r="A4858" s="0">
        <f>HYPERLINK("https://dl.dropboxusercontent.com/scl/fi/buj9iw2smtu3lnuxp2qnt/suits223829.jpg?rlkey=uxvqcbwb18bilghm6iatjb2du&amp;dl=0","Click to download Image")</f>
      </c>
      <c r="B4858" s="0">
        <f>HYPERLINK("https://dl.dropboxusercontent.com/scl/fi/gw5qpb151rfkoclg0q0l0/womens-bodysuit-size-chartsrosa.jpg?rlkey=bizl73nmdlfep2s4tqfmc317x&amp;dl=0","Click to download SizeChart")</f>
      </c>
      <c r="C4858" s="0" t="inlineStr">
        <is>
          <t>Rosa Women's Bodysuit</t>
        </is>
      </c>
      <c r="D4858" s="0" t="inlineStr">
        <is>
          <t>'111377</t>
        </is>
      </c>
      <c r="E4858" s="0" t="inlineStr">
        <is>
          <t>IOWA ROSA WHITE:111377C-L</t>
        </is>
      </c>
      <c r="F4858" s="0" t="inlineStr">
        <is>
          <t>'800111377066</t>
        </is>
      </c>
      <c r="G4858" s="0" t="inlineStr">
        <is>
          <t>WOMENS</t>
        </is>
      </c>
      <c r="H4858" s="0" t="inlineStr">
        <is>
          <t>L</t>
        </is>
      </c>
      <c r="I4858" s="0">
        <v>44.99</v>
      </c>
      <c r="J4858" s="0">
        <v>27</v>
      </c>
    </row>
    <row r="4859" spans="1:10" customHeight="0">
      <c r="A4859" s="0">
        <f>HYPERLINK("https://dl.dropboxusercontent.com/scl/fi/buj9iw2smtu3lnuxp2qnt/suits223829.jpg?rlkey=uxvqcbwb18bilghm6iatjb2du&amp;dl=0","Click to download Image")</f>
      </c>
      <c r="B4859" s="0">
        <f>HYPERLINK("https://dl.dropboxusercontent.com/scl/fi/gw5qpb151rfkoclg0q0l0/womens-bodysuit-size-chartsrosa.jpg?rlkey=bizl73nmdlfep2s4tqfmc317x&amp;dl=0","Click to download SizeChart")</f>
      </c>
      <c r="C4859" s="0" t="inlineStr">
        <is>
          <t>Rosa Women's Bodysuit</t>
        </is>
      </c>
      <c r="D4859" s="0" t="inlineStr">
        <is>
          <t>'111377</t>
        </is>
      </c>
      <c r="E4859" s="0" t="inlineStr">
        <is>
          <t>IOWA ROSA WHITE:111377D-XL</t>
        </is>
      </c>
      <c r="F4859" s="0" t="inlineStr">
        <is>
          <t>'800111377073</t>
        </is>
      </c>
      <c r="G4859" s="0" t="inlineStr">
        <is>
          <t>WOMENS</t>
        </is>
      </c>
      <c r="H4859" s="0" t="inlineStr">
        <is>
          <t>XL</t>
        </is>
      </c>
      <c r="I4859" s="0">
        <v>44.99</v>
      </c>
      <c r="J4859" s="0">
        <v>23</v>
      </c>
    </row>
    <row r="4860" spans="1:10" customHeight="0">
      <c r="A4860" s="0">
        <f>HYPERLINK("https://dl.dropboxusercontent.com/scl/fi/buj9iw2smtu3lnuxp2qnt/suits223829.jpg?rlkey=uxvqcbwb18bilghm6iatjb2du&amp;dl=0","Click to download Image")</f>
      </c>
      <c r="B4860" s="0">
        <f>HYPERLINK("https://dl.dropboxusercontent.com/scl/fi/gw5qpb151rfkoclg0q0l0/womens-bodysuit-size-chartsrosa.jpg?rlkey=bizl73nmdlfep2s4tqfmc317x&amp;dl=0","Click to download SizeChart")</f>
      </c>
      <c r="C4860" s="0" t="inlineStr">
        <is>
          <t>Rosa Women's Bodysuit</t>
        </is>
      </c>
      <c r="D4860" s="0" t="inlineStr">
        <is>
          <t>'111377</t>
        </is>
      </c>
      <c r="E4860" s="0" t="inlineStr">
        <is>
          <t>IOWA ROSA WHITE:111377E-2XL</t>
        </is>
      </c>
      <c r="F4860" s="0" t="inlineStr">
        <is>
          <t>'800111377080</t>
        </is>
      </c>
      <c r="G4860" s="0" t="inlineStr">
        <is>
          <t>WOMENS</t>
        </is>
      </c>
      <c r="H4860" s="0" t="inlineStr">
        <is>
          <t>2XL</t>
        </is>
      </c>
      <c r="I4860" s="0">
        <v>46.99</v>
      </c>
      <c r="J4860" s="0">
        <v>12</v>
      </c>
    </row>
    <row r="4861" spans="1:10" customHeight="0">
      <c r="A4861" s="0">
        <f>HYPERLINK("https://dl.dropboxusercontent.com/scl/fi/buj9iw2smtu3lnuxp2qnt/suits223829.jpg?rlkey=uxvqcbwb18bilghm6iatjb2du&amp;dl=0","Click to download Image")</f>
      </c>
      <c r="B4861" s="0">
        <f>HYPERLINK("https://dl.dropboxusercontent.com/scl/fi/gw5qpb151rfkoclg0q0l0/womens-bodysuit-size-chartsrosa.jpg?rlkey=bizl73nmdlfep2s4tqfmc317x&amp;dl=0","Click to download SizeChart")</f>
      </c>
      <c r="C4861" s="0" t="inlineStr">
        <is>
          <t>Rosa Women's Bodysuit</t>
        </is>
      </c>
      <c r="D4861" s="0" t="inlineStr">
        <is>
          <t>'111377</t>
        </is>
      </c>
      <c r="E4861" s="0" t="inlineStr">
        <is>
          <t>IOWA ROSA WHITE:111377F-3XL</t>
        </is>
      </c>
      <c r="F4861" s="0" t="inlineStr">
        <is>
          <t>'800111377097</t>
        </is>
      </c>
      <c r="G4861" s="0" t="inlineStr">
        <is>
          <t>WOMENS</t>
        </is>
      </c>
      <c r="H4861" s="0" t="inlineStr">
        <is>
          <t>3XL</t>
        </is>
      </c>
      <c r="I4861" s="0">
        <v>46.99</v>
      </c>
      <c r="J4861" s="0">
        <v>12</v>
      </c>
    </row>
    <row r="4862" spans="1:10" customHeight="0">
      <c r="A4862" s="0">
        <f>HYPERLINK("https://dl.dropboxusercontent.com/scl/fi/buj9iw2smtu3lnuxp2qnt/suits223829.jpg?rlkey=uxvqcbwb18bilghm6iatjb2du&amp;dl=0","Click to download Image")</f>
      </c>
      <c r="B4862" s="0">
        <f>HYPERLINK("https://dl.dropboxusercontent.com/scl/fi/gw5qpb151rfkoclg0q0l0/womens-bodysuit-size-chartsrosa.jpg?rlkey=bizl73nmdlfep2s4tqfmc317x&amp;dl=0","Click to download SizeChart")</f>
      </c>
      <c r="C4862" s="0" t="inlineStr">
        <is>
          <t>Rosa Women's Bodysuit</t>
        </is>
      </c>
      <c r="D4862" s="0" t="inlineStr">
        <is>
          <t>'111377</t>
        </is>
      </c>
      <c r="E4862" s="0" t="inlineStr">
        <is>
          <t>IOWA ROSA WHITE 12 PACK:111377Z-12PK</t>
        </is>
      </c>
      <c r="F4862" s="0" t="inlineStr">
        <is>
          <t>'800111377998</t>
        </is>
      </c>
      <c r="G4862" s="0" t="inlineStr">
        <is>
          <t>WOMENS</t>
        </is>
      </c>
      <c r="H4862" s="0" t="inlineStr">
        <is>
          <t>12 PACK</t>
        </is>
      </c>
      <c r="I4862" s="0">
        <v>587.4</v>
      </c>
      <c r="J4862" s="0">
        <v>0</v>
      </c>
    </row>
    <row r="4863" spans="1:10" customHeight="0">
      <c r="A4863" s="0">
        <f>HYPERLINK("https://dl.dropboxusercontent.com/scl/fi/n83mlpuantdtwwznf24bh/img1021bc.jpg?rlkey=94kt73at6q67kvxldmadyanks&amp;dl=0","Click to download Image")</f>
      </c>
      <c r="B4863" s="0">
        <f>HYPERLINK("https://dl.dropboxusercontent.com/scl/fi/gw5qpb151rfkoclg0q0l0/womens-bodysuit-size-chartsrosa.jpg?rlkey=bizl73nmdlfep2s4tqfmc317x&amp;dl=0","Click to download SizeChart")</f>
      </c>
      <c r="C4863" s="0" t="inlineStr">
        <is>
          <t>Rosa Women's Bodysuit</t>
        </is>
      </c>
      <c r="D4863" s="0" t="inlineStr">
        <is>
          <t>'110811</t>
        </is>
      </c>
      <c r="E4863" s="0" t="inlineStr">
        <is>
          <t>IOWA ROSA BLACK:110811AA-XS</t>
        </is>
      </c>
      <c r="F4863" s="0" t="inlineStr">
        <is>
          <t>'800110811035</t>
        </is>
      </c>
      <c r="G4863" s="0" t="inlineStr">
        <is>
          <t>WOMENS</t>
        </is>
      </c>
      <c r="H4863" s="0" t="inlineStr">
        <is>
          <t>XS</t>
        </is>
      </c>
      <c r="I4863" s="0">
        <v>44.99</v>
      </c>
      <c r="J4863" s="0">
        <v>39</v>
      </c>
    </row>
    <row r="4864" spans="1:10" customHeight="0">
      <c r="A4864" s="0">
        <f>HYPERLINK("https://dl.dropboxusercontent.com/scl/fi/n83mlpuantdtwwznf24bh/img1021bc.jpg?rlkey=94kt73at6q67kvxldmadyanks&amp;dl=0","Click to download Image")</f>
      </c>
      <c r="B4864" s="0">
        <f>HYPERLINK("https://dl.dropboxusercontent.com/scl/fi/gw5qpb151rfkoclg0q0l0/womens-bodysuit-size-chartsrosa.jpg?rlkey=bizl73nmdlfep2s4tqfmc317x&amp;dl=0","Click to download SizeChart")</f>
      </c>
      <c r="C4864" s="0" t="inlineStr">
        <is>
          <t>Rosa Women's Bodysuit</t>
        </is>
      </c>
      <c r="D4864" s="0" t="inlineStr">
        <is>
          <t>'110811</t>
        </is>
      </c>
      <c r="E4864" s="0" t="inlineStr">
        <is>
          <t>IOWA ROSA BLACK:110811A-S</t>
        </is>
      </c>
      <c r="F4864" s="0" t="inlineStr">
        <is>
          <t>'800110811042</t>
        </is>
      </c>
      <c r="G4864" s="0" t="inlineStr">
        <is>
          <t>WOMENS</t>
        </is>
      </c>
      <c r="H4864" s="0" t="inlineStr">
        <is>
          <t>S</t>
        </is>
      </c>
      <c r="I4864" s="0">
        <v>44.99</v>
      </c>
      <c r="J4864" s="0">
        <v>51</v>
      </c>
    </row>
    <row r="4865" spans="1:10" customHeight="0">
      <c r="A4865" s="0">
        <f>HYPERLINK("https://dl.dropboxusercontent.com/scl/fi/n83mlpuantdtwwznf24bh/img1021bc.jpg?rlkey=94kt73at6q67kvxldmadyanks&amp;dl=0","Click to download Image")</f>
      </c>
      <c r="B4865" s="0">
        <f>HYPERLINK("https://dl.dropboxusercontent.com/scl/fi/gw5qpb151rfkoclg0q0l0/womens-bodysuit-size-chartsrosa.jpg?rlkey=bizl73nmdlfep2s4tqfmc317x&amp;dl=0","Click to download SizeChart")</f>
      </c>
      <c r="C4865" s="0" t="inlineStr">
        <is>
          <t>Rosa Women's Bodysuit</t>
        </is>
      </c>
      <c r="D4865" s="0" t="inlineStr">
        <is>
          <t>'110811</t>
        </is>
      </c>
      <c r="E4865" s="0" t="inlineStr">
        <is>
          <t>IOWA ROSA BLACK:110811B-M</t>
        </is>
      </c>
      <c r="F4865" s="0" t="inlineStr">
        <is>
          <t>'800110811059</t>
        </is>
      </c>
      <c r="G4865" s="0" t="inlineStr">
        <is>
          <t>WOMENS</t>
        </is>
      </c>
      <c r="H4865" s="0" t="inlineStr">
        <is>
          <t>M</t>
        </is>
      </c>
      <c r="I4865" s="0">
        <v>44.99</v>
      </c>
      <c r="J4865" s="0">
        <v>57</v>
      </c>
    </row>
    <row r="4866" spans="1:10" customHeight="0">
      <c r="A4866" s="0">
        <f>HYPERLINK("https://dl.dropboxusercontent.com/scl/fi/n83mlpuantdtwwznf24bh/img1021bc.jpg?rlkey=94kt73at6q67kvxldmadyanks&amp;dl=0","Click to download Image")</f>
      </c>
      <c r="B4866" s="0">
        <f>HYPERLINK("https://dl.dropboxusercontent.com/scl/fi/gw5qpb151rfkoclg0q0l0/womens-bodysuit-size-chartsrosa.jpg?rlkey=bizl73nmdlfep2s4tqfmc317x&amp;dl=0","Click to download SizeChart")</f>
      </c>
      <c r="C4866" s="0" t="inlineStr">
        <is>
          <t>Rosa Women's Bodysuit</t>
        </is>
      </c>
      <c r="D4866" s="0" t="inlineStr">
        <is>
          <t>'110811</t>
        </is>
      </c>
      <c r="E4866" s="0" t="inlineStr">
        <is>
          <t>IOWA ROSA BLACK:110811C-L</t>
        </is>
      </c>
      <c r="F4866" s="0" t="inlineStr">
        <is>
          <t>'800110811066</t>
        </is>
      </c>
      <c r="G4866" s="0" t="inlineStr">
        <is>
          <t>WOMENS</t>
        </is>
      </c>
      <c r="H4866" s="0" t="inlineStr">
        <is>
          <t>L</t>
        </is>
      </c>
      <c r="I4866" s="0">
        <v>44.99</v>
      </c>
      <c r="J4866" s="0">
        <v>37</v>
      </c>
    </row>
    <row r="4867" spans="1:10" customHeight="0">
      <c r="A4867" s="0">
        <f>HYPERLINK("https://dl.dropboxusercontent.com/scl/fi/n83mlpuantdtwwznf24bh/img1021bc.jpg?rlkey=94kt73at6q67kvxldmadyanks&amp;dl=0","Click to download Image")</f>
      </c>
      <c r="B4867" s="0">
        <f>HYPERLINK("https://dl.dropboxusercontent.com/scl/fi/gw5qpb151rfkoclg0q0l0/womens-bodysuit-size-chartsrosa.jpg?rlkey=bizl73nmdlfep2s4tqfmc317x&amp;dl=0","Click to download SizeChart")</f>
      </c>
      <c r="C4867" s="0" t="inlineStr">
        <is>
          <t>Rosa Women's Bodysuit</t>
        </is>
      </c>
      <c r="D4867" s="0" t="inlineStr">
        <is>
          <t>'110811</t>
        </is>
      </c>
      <c r="E4867" s="0" t="inlineStr">
        <is>
          <t>IOWA ROSA BLACK:110811D-XL</t>
        </is>
      </c>
      <c r="F4867" s="0" t="inlineStr">
        <is>
          <t>'800110811073</t>
        </is>
      </c>
      <c r="G4867" s="0" t="inlineStr">
        <is>
          <t>WOMENS</t>
        </is>
      </c>
      <c r="H4867" s="0" t="inlineStr">
        <is>
          <t>XL</t>
        </is>
      </c>
      <c r="I4867" s="0">
        <v>44.99</v>
      </c>
      <c r="J4867" s="0">
        <v>39</v>
      </c>
    </row>
    <row r="4868" spans="1:10" customHeight="0">
      <c r="A4868" s="0">
        <f>HYPERLINK("https://dl.dropboxusercontent.com/scl/fi/n83mlpuantdtwwznf24bh/img1021bc.jpg?rlkey=94kt73at6q67kvxldmadyanks&amp;dl=0","Click to download Image")</f>
      </c>
      <c r="B4868" s="0">
        <f>HYPERLINK("https://dl.dropboxusercontent.com/scl/fi/gw5qpb151rfkoclg0q0l0/womens-bodysuit-size-chartsrosa.jpg?rlkey=bizl73nmdlfep2s4tqfmc317x&amp;dl=0","Click to download SizeChart")</f>
      </c>
      <c r="C4868" s="0" t="inlineStr">
        <is>
          <t>Rosa Women's Bodysuit</t>
        </is>
      </c>
      <c r="D4868" s="0" t="inlineStr">
        <is>
          <t>'110811</t>
        </is>
      </c>
      <c r="E4868" s="0" t="inlineStr">
        <is>
          <t>IOWA ROSA BLACK:110811E-2XL</t>
        </is>
      </c>
      <c r="F4868" s="0" t="inlineStr">
        <is>
          <t>'800110811080</t>
        </is>
      </c>
      <c r="G4868" s="0" t="inlineStr">
        <is>
          <t>WOMENS</t>
        </is>
      </c>
      <c r="H4868" s="0" t="inlineStr">
        <is>
          <t>2XL</t>
        </is>
      </c>
      <c r="I4868" s="0">
        <v>46.99</v>
      </c>
      <c r="J4868" s="0">
        <v>23</v>
      </c>
    </row>
    <row r="4869" spans="1:10" customHeight="0">
      <c r="A4869" s="0">
        <f>HYPERLINK("https://dl.dropboxusercontent.com/scl/fi/n83mlpuantdtwwznf24bh/img1021bc.jpg?rlkey=94kt73at6q67kvxldmadyanks&amp;dl=0","Click to download Image")</f>
      </c>
      <c r="B4869" s="0">
        <f>HYPERLINK("https://dl.dropboxusercontent.com/scl/fi/gw5qpb151rfkoclg0q0l0/womens-bodysuit-size-chartsrosa.jpg?rlkey=bizl73nmdlfep2s4tqfmc317x&amp;dl=0","Click to download SizeChart")</f>
      </c>
      <c r="C4869" s="0" t="inlineStr">
        <is>
          <t>Rosa Women's Bodysuit</t>
        </is>
      </c>
      <c r="D4869" s="0" t="inlineStr">
        <is>
          <t>'110811</t>
        </is>
      </c>
      <c r="E4869" s="0" t="inlineStr">
        <is>
          <t>IOWA ROSA BLACK:110811F-3XL</t>
        </is>
      </c>
      <c r="F4869" s="0" t="inlineStr">
        <is>
          <t>'800110811097</t>
        </is>
      </c>
      <c r="G4869" s="0" t="inlineStr">
        <is>
          <t>WOMENS</t>
        </is>
      </c>
      <c r="H4869" s="0" t="inlineStr">
        <is>
          <t>3XL</t>
        </is>
      </c>
      <c r="I4869" s="0">
        <v>46.99</v>
      </c>
      <c r="J4869" s="0">
        <v>24</v>
      </c>
    </row>
    <row r="4870" spans="1:10" customHeight="0">
      <c r="A4870" s="0">
        <f>HYPERLINK("https://dl.dropboxusercontent.com/scl/fi/n83mlpuantdtwwznf24bh/img1021bc.jpg?rlkey=94kt73at6q67kvxldmadyanks&amp;dl=0","Click to download Image")</f>
      </c>
      <c r="B4870" s="0">
        <f>HYPERLINK("https://dl.dropboxusercontent.com/scl/fi/gw5qpb151rfkoclg0q0l0/womens-bodysuit-size-chartsrosa.jpg?rlkey=bizl73nmdlfep2s4tqfmc317x&amp;dl=0","Click to download SizeChart")</f>
      </c>
      <c r="C4870" s="0" t="inlineStr">
        <is>
          <t>Rosa Women's Bodysuit</t>
        </is>
      </c>
      <c r="D4870" s="0" t="inlineStr">
        <is>
          <t>'110811</t>
        </is>
      </c>
      <c r="E4870" s="0" t="inlineStr">
        <is>
          <t>IOWA ROSA BLACK 12 PACK:110811Z-12PK</t>
        </is>
      </c>
      <c r="F4870" s="0" t="inlineStr">
        <is>
          <t>'800110811998</t>
        </is>
      </c>
      <c r="G4870" s="0" t="inlineStr">
        <is>
          <t>WOMENS</t>
        </is>
      </c>
      <c r="H4870" s="0" t="inlineStr">
        <is>
          <t>12 PACK</t>
        </is>
      </c>
      <c r="I4870" s="0">
        <v>587.4</v>
      </c>
      <c r="J4870" s="0">
        <v>0</v>
      </c>
    </row>
    <row r="4871" spans="1:10" customHeight="0">
      <c r="A4871" s="0">
        <f>HYPERLINK("https://dl.dropboxusercontent.com/scl/fi/i45vthf6iar4ikrgbzca7/finaldsc2056-copy.jpg?rlkey=8ipg213inmv5hkiuihnahp9eh&amp;dl=0","Click to download Image")</f>
      </c>
      <c r="C4871" s="0" t="inlineStr">
        <is>
          <t>Hazel Fold Top Crossbody</t>
        </is>
      </c>
      <c r="D4871" s="0" t="inlineStr">
        <is>
          <t>'106977</t>
        </is>
      </c>
      <c r="E4871" s="0" t="inlineStr">
        <is>
          <t>IA HAZEL:106977</t>
        </is>
      </c>
      <c r="F4871" s="0" t="inlineStr">
        <is>
          <t>'000000000000</t>
        </is>
      </c>
      <c r="H4871" s="0" t="inlineStr">
        <is>
          <t>OS</t>
        </is>
      </c>
      <c r="I4871" s="0">
        <v>39.99</v>
      </c>
      <c r="J4871" s="0">
        <v>237</v>
      </c>
    </row>
    <row r="4872" spans="1:10" customHeight="0">
      <c r="A4872" s="0">
        <f>HYPERLINK("https://dl.dropboxusercontent.com/scl/fi/5ax99aw0i8h1005asody0/lyra.jpg?rlkey=9iovfr1gaancaq6i3q9ma6ewc&amp;dl=0","Click to download Image")</f>
      </c>
      <c r="B4872" s="0">
        <f>HYPERLINK("https://dl.dropboxusercontent.com/scl/fi/1xyophkrzc11zn50om4pb/womens-bodysuit-size-chartslyra.jpg?rlkey=8b2xrcwoxa7gn8yl46424ab39&amp;dl=0","Click to download SizeChart")</f>
      </c>
      <c r="C4872" s="0" t="inlineStr">
        <is>
          <t>Lyra Womens Long Sleeve Bodysuit</t>
        </is>
      </c>
      <c r="D4872" s="0" t="inlineStr">
        <is>
          <t>'111663</t>
        </is>
      </c>
      <c r="E4872" s="0" t="inlineStr">
        <is>
          <t>IOWA LYRA WHITE:111663AA-XS</t>
        </is>
      </c>
      <c r="F4872" s="0" t="inlineStr">
        <is>
          <t>'800111663039</t>
        </is>
      </c>
      <c r="G4872" s="0" t="inlineStr">
        <is>
          <t>WOMENS</t>
        </is>
      </c>
      <c r="H4872" s="0" t="inlineStr">
        <is>
          <t>XS</t>
        </is>
      </c>
      <c r="I4872" s="0">
        <v>49.99</v>
      </c>
      <c r="J4872" s="0">
        <v>23</v>
      </c>
    </row>
    <row r="4873" spans="1:10" customHeight="0">
      <c r="A4873" s="0">
        <f>HYPERLINK("https://dl.dropboxusercontent.com/scl/fi/5ax99aw0i8h1005asody0/lyra.jpg?rlkey=9iovfr1gaancaq6i3q9ma6ewc&amp;dl=0","Click to download Image")</f>
      </c>
      <c r="B4873" s="0">
        <f>HYPERLINK("https://dl.dropboxusercontent.com/scl/fi/1xyophkrzc11zn50om4pb/womens-bodysuit-size-chartslyra.jpg?rlkey=8b2xrcwoxa7gn8yl46424ab39&amp;dl=0","Click to download SizeChart")</f>
      </c>
      <c r="C4873" s="0" t="inlineStr">
        <is>
          <t>Lyra Womens Long Sleeve Bodysuit</t>
        </is>
      </c>
      <c r="D4873" s="0" t="inlineStr">
        <is>
          <t>'111663</t>
        </is>
      </c>
      <c r="E4873" s="0" t="inlineStr">
        <is>
          <t>IOWA LYRA WHITE:111663A-S</t>
        </is>
      </c>
      <c r="F4873" s="0" t="inlineStr">
        <is>
          <t>'800111663046</t>
        </is>
      </c>
      <c r="G4873" s="0" t="inlineStr">
        <is>
          <t>WOMENS</t>
        </is>
      </c>
      <c r="H4873" s="0" t="inlineStr">
        <is>
          <t>S</t>
        </is>
      </c>
      <c r="I4873" s="0">
        <v>49.99</v>
      </c>
      <c r="J4873" s="0">
        <v>36</v>
      </c>
    </row>
    <row r="4874" spans="1:10" customHeight="0">
      <c r="A4874" s="0">
        <f>HYPERLINK("https://dl.dropboxusercontent.com/scl/fi/5ax99aw0i8h1005asody0/lyra.jpg?rlkey=9iovfr1gaancaq6i3q9ma6ewc&amp;dl=0","Click to download Image")</f>
      </c>
      <c r="B4874" s="0">
        <f>HYPERLINK("https://dl.dropboxusercontent.com/scl/fi/1xyophkrzc11zn50om4pb/womens-bodysuit-size-chartslyra.jpg?rlkey=8b2xrcwoxa7gn8yl46424ab39&amp;dl=0","Click to download SizeChart")</f>
      </c>
      <c r="C4874" s="0" t="inlineStr">
        <is>
          <t>Lyra Womens Long Sleeve Bodysuit</t>
        </is>
      </c>
      <c r="D4874" s="0" t="inlineStr">
        <is>
          <t>'111663</t>
        </is>
      </c>
      <c r="E4874" s="0" t="inlineStr">
        <is>
          <t>IOWA LYRA WHITE:111663B-M</t>
        </is>
      </c>
      <c r="F4874" s="0" t="inlineStr">
        <is>
          <t>'800111663053</t>
        </is>
      </c>
      <c r="G4874" s="0" t="inlineStr">
        <is>
          <t>WOMENS</t>
        </is>
      </c>
      <c r="H4874" s="0" t="inlineStr">
        <is>
          <t>M</t>
        </is>
      </c>
      <c r="I4874" s="0">
        <v>49.99</v>
      </c>
      <c r="J4874" s="0">
        <v>33</v>
      </c>
    </row>
    <row r="4875" spans="1:10" customHeight="0">
      <c r="A4875" s="0">
        <f>HYPERLINK("https://dl.dropboxusercontent.com/scl/fi/5ax99aw0i8h1005asody0/lyra.jpg?rlkey=9iovfr1gaancaq6i3q9ma6ewc&amp;dl=0","Click to download Image")</f>
      </c>
      <c r="B4875" s="0">
        <f>HYPERLINK("https://dl.dropboxusercontent.com/scl/fi/1xyophkrzc11zn50om4pb/womens-bodysuit-size-chartslyra.jpg?rlkey=8b2xrcwoxa7gn8yl46424ab39&amp;dl=0","Click to download SizeChart")</f>
      </c>
      <c r="C4875" s="0" t="inlineStr">
        <is>
          <t>Lyra Womens Long Sleeve Bodysuit</t>
        </is>
      </c>
      <c r="D4875" s="0" t="inlineStr">
        <is>
          <t>'111663</t>
        </is>
      </c>
      <c r="E4875" s="0" t="inlineStr">
        <is>
          <t>IOWA LYRA WHITE:111663C-L</t>
        </is>
      </c>
      <c r="F4875" s="0" t="inlineStr">
        <is>
          <t>'800111663060</t>
        </is>
      </c>
      <c r="G4875" s="0" t="inlineStr">
        <is>
          <t>WOMENS</t>
        </is>
      </c>
      <c r="H4875" s="0" t="inlineStr">
        <is>
          <t>L</t>
        </is>
      </c>
      <c r="I4875" s="0">
        <v>49.99</v>
      </c>
      <c r="J4875" s="0">
        <v>23</v>
      </c>
    </row>
    <row r="4876" spans="1:10" customHeight="0">
      <c r="A4876" s="0">
        <f>HYPERLINK("https://dl.dropboxusercontent.com/scl/fi/5ax99aw0i8h1005asody0/lyra.jpg?rlkey=9iovfr1gaancaq6i3q9ma6ewc&amp;dl=0","Click to download Image")</f>
      </c>
      <c r="B4876" s="0">
        <f>HYPERLINK("https://dl.dropboxusercontent.com/scl/fi/1xyophkrzc11zn50om4pb/womens-bodysuit-size-chartslyra.jpg?rlkey=8b2xrcwoxa7gn8yl46424ab39&amp;dl=0","Click to download SizeChart")</f>
      </c>
      <c r="C4876" s="0" t="inlineStr">
        <is>
          <t>Lyra Womens Long Sleeve Bodysuit</t>
        </is>
      </c>
      <c r="D4876" s="0" t="inlineStr">
        <is>
          <t>'111663</t>
        </is>
      </c>
      <c r="E4876" s="0" t="inlineStr">
        <is>
          <t>IOWA LYRA WHITE:111663D-XL</t>
        </is>
      </c>
      <c r="F4876" s="0" t="inlineStr">
        <is>
          <t>'800111663077</t>
        </is>
      </c>
      <c r="G4876" s="0" t="inlineStr">
        <is>
          <t>WOMENS</t>
        </is>
      </c>
      <c r="H4876" s="0" t="inlineStr">
        <is>
          <t>XL</t>
        </is>
      </c>
      <c r="I4876" s="0">
        <v>49.99</v>
      </c>
      <c r="J4876" s="0">
        <v>27</v>
      </c>
    </row>
    <row r="4877" spans="1:10" customHeight="0">
      <c r="A4877" s="0">
        <f>HYPERLINK("https://dl.dropboxusercontent.com/scl/fi/5ax99aw0i8h1005asody0/lyra.jpg?rlkey=9iovfr1gaancaq6i3q9ma6ewc&amp;dl=0","Click to download Image")</f>
      </c>
      <c r="B4877" s="0">
        <f>HYPERLINK("https://dl.dropboxusercontent.com/scl/fi/1xyophkrzc11zn50om4pb/womens-bodysuit-size-chartslyra.jpg?rlkey=8b2xrcwoxa7gn8yl46424ab39&amp;dl=0","Click to download SizeChart")</f>
      </c>
      <c r="C4877" s="0" t="inlineStr">
        <is>
          <t>Lyra Womens Long Sleeve Bodysuit</t>
        </is>
      </c>
      <c r="D4877" s="0" t="inlineStr">
        <is>
          <t>'111663</t>
        </is>
      </c>
      <c r="E4877" s="0" t="inlineStr">
        <is>
          <t>IOWA LYRA WHITE:111663E-2XL</t>
        </is>
      </c>
      <c r="F4877" s="0" t="inlineStr">
        <is>
          <t>'800111663084</t>
        </is>
      </c>
      <c r="G4877" s="0" t="inlineStr">
        <is>
          <t>WOMENS</t>
        </is>
      </c>
      <c r="H4877" s="0" t="inlineStr">
        <is>
          <t>2XL</t>
        </is>
      </c>
      <c r="I4877" s="0">
        <v>51.99</v>
      </c>
      <c r="J4877" s="0">
        <v>12</v>
      </c>
    </row>
    <row r="4878" spans="1:10" customHeight="0">
      <c r="A4878" s="0">
        <f>HYPERLINK("https://dl.dropboxusercontent.com/scl/fi/5ax99aw0i8h1005asody0/lyra.jpg?rlkey=9iovfr1gaancaq6i3q9ma6ewc&amp;dl=0","Click to download Image")</f>
      </c>
      <c r="B4878" s="0">
        <f>HYPERLINK("https://dl.dropboxusercontent.com/scl/fi/1xyophkrzc11zn50om4pb/womens-bodysuit-size-chartslyra.jpg?rlkey=8b2xrcwoxa7gn8yl46424ab39&amp;dl=0","Click to download SizeChart")</f>
      </c>
      <c r="C4878" s="0" t="inlineStr">
        <is>
          <t>Lyra Womens Long Sleeve Bodysuit</t>
        </is>
      </c>
      <c r="D4878" s="0" t="inlineStr">
        <is>
          <t>'111663</t>
        </is>
      </c>
      <c r="E4878" s="0" t="inlineStr">
        <is>
          <t>IOWA LYRA WHITE:111663F-3XL</t>
        </is>
      </c>
      <c r="F4878" s="0" t="inlineStr">
        <is>
          <t>'800111663091</t>
        </is>
      </c>
      <c r="G4878" s="0" t="inlineStr">
        <is>
          <t>WOMENS</t>
        </is>
      </c>
      <c r="H4878" s="0" t="inlineStr">
        <is>
          <t>3XL</t>
        </is>
      </c>
      <c r="I4878" s="0">
        <v>51.99</v>
      </c>
      <c r="J4878" s="0">
        <v>12</v>
      </c>
    </row>
    <row r="4879" spans="1:10" customHeight="0">
      <c r="A4879" s="0">
        <f>HYPERLINK("https://dl.dropboxusercontent.com/scl/fi/5ax99aw0i8h1005asody0/lyra.jpg?rlkey=9iovfr1gaancaq6i3q9ma6ewc&amp;dl=0","Click to download Image")</f>
      </c>
      <c r="B4879" s="0">
        <f>HYPERLINK("https://dl.dropboxusercontent.com/scl/fi/1xyophkrzc11zn50om4pb/womens-bodysuit-size-chartslyra.jpg?rlkey=8b2xrcwoxa7gn8yl46424ab39&amp;dl=0","Click to download SizeChart")</f>
      </c>
      <c r="C4879" s="0" t="inlineStr">
        <is>
          <t>Lyra Womens Long Sleeve Bodysuit</t>
        </is>
      </c>
      <c r="D4879" s="0" t="inlineStr">
        <is>
          <t>'111663</t>
        </is>
      </c>
      <c r="E4879" s="0" t="inlineStr">
        <is>
          <t>IOWA LYRA WHITE 12 PACK:111663Z-12PK</t>
        </is>
      </c>
      <c r="F4879" s="0" t="inlineStr">
        <is>
          <t>'800111663992</t>
        </is>
      </c>
      <c r="G4879" s="0" t="inlineStr">
        <is>
          <t>WOMENS</t>
        </is>
      </c>
      <c r="H4879" s="0" t="inlineStr">
        <is>
          <t>12 PACK</t>
        </is>
      </c>
      <c r="I4879" s="0">
        <v>587.88</v>
      </c>
      <c r="J4879" s="0">
        <v>0</v>
      </c>
    </row>
    <row r="4880" spans="1:10" customHeight="0">
      <c r="A4880" s="0">
        <f>HYPERLINK("https://dl.dropboxusercontent.com/scl/fi/3qqzxr3x5cyo3w6v0mfcd/111092-af.jpg?rlkey=u3189xb4sace834ccle17aakt&amp;dl=0","Click to download Image")</f>
      </c>
      <c r="B4880" s="0">
        <f>HYPERLINK("https://dl.dropboxusercontent.com/scl/fi/1xyophkrzc11zn50om4pb/womens-bodysuit-size-chartslyra.jpg?rlkey=8b2xrcwoxa7gn8yl46424ab39&amp;dl=0","Click to download SizeChart")</f>
      </c>
      <c r="C4880" s="0" t="inlineStr">
        <is>
          <t>Lyra Womens Long Sleeve Bodysuit</t>
        </is>
      </c>
      <c r="D4880" s="0" t="inlineStr">
        <is>
          <t>'111092</t>
        </is>
      </c>
      <c r="E4880" s="0" t="inlineStr">
        <is>
          <t>IOWA LYRA:111092AA-XS</t>
        </is>
      </c>
      <c r="F4880" s="0" t="inlineStr">
        <is>
          <t>'800111092037</t>
        </is>
      </c>
      <c r="G4880" s="0" t="inlineStr">
        <is>
          <t>WOMENS</t>
        </is>
      </c>
      <c r="H4880" s="0" t="inlineStr">
        <is>
          <t>XS</t>
        </is>
      </c>
      <c r="I4880" s="0">
        <v>49.99</v>
      </c>
      <c r="J4880" s="0">
        <v>22</v>
      </c>
    </row>
    <row r="4881" spans="1:10" customHeight="0">
      <c r="A4881" s="0">
        <f>HYPERLINK("https://dl.dropboxusercontent.com/scl/fi/3qqzxr3x5cyo3w6v0mfcd/111092-af.jpg?rlkey=u3189xb4sace834ccle17aakt&amp;dl=0","Click to download Image")</f>
      </c>
      <c r="B4881" s="0">
        <f>HYPERLINK("https://dl.dropboxusercontent.com/scl/fi/1xyophkrzc11zn50om4pb/womens-bodysuit-size-chartslyra.jpg?rlkey=8b2xrcwoxa7gn8yl46424ab39&amp;dl=0","Click to download SizeChart")</f>
      </c>
      <c r="C4881" s="0" t="inlineStr">
        <is>
          <t>Lyra Womens Long Sleeve Bodysuit</t>
        </is>
      </c>
      <c r="D4881" s="0" t="inlineStr">
        <is>
          <t>'111092</t>
        </is>
      </c>
      <c r="E4881" s="0" t="inlineStr">
        <is>
          <t>IOWA LYRA:111092A-S</t>
        </is>
      </c>
      <c r="F4881" s="0" t="inlineStr">
        <is>
          <t>'800111092044</t>
        </is>
      </c>
      <c r="G4881" s="0" t="inlineStr">
        <is>
          <t>WOMENS</t>
        </is>
      </c>
      <c r="H4881" s="0" t="inlineStr">
        <is>
          <t>S</t>
        </is>
      </c>
      <c r="I4881" s="0">
        <v>49.99</v>
      </c>
      <c r="J4881" s="0">
        <v>31</v>
      </c>
    </row>
    <row r="4882" spans="1:10" customHeight="0">
      <c r="A4882" s="0">
        <f>HYPERLINK("https://dl.dropboxusercontent.com/scl/fi/3qqzxr3x5cyo3w6v0mfcd/111092-af.jpg?rlkey=u3189xb4sace834ccle17aakt&amp;dl=0","Click to download Image")</f>
      </c>
      <c r="B4882" s="0">
        <f>HYPERLINK("https://dl.dropboxusercontent.com/scl/fi/1xyophkrzc11zn50om4pb/womens-bodysuit-size-chartslyra.jpg?rlkey=8b2xrcwoxa7gn8yl46424ab39&amp;dl=0","Click to download SizeChart")</f>
      </c>
      <c r="C4882" s="0" t="inlineStr">
        <is>
          <t>Lyra Womens Long Sleeve Bodysuit</t>
        </is>
      </c>
      <c r="D4882" s="0" t="inlineStr">
        <is>
          <t>'111092</t>
        </is>
      </c>
      <c r="E4882" s="0" t="inlineStr">
        <is>
          <t>IOWA LYRA:111092B-M</t>
        </is>
      </c>
      <c r="F4882" s="0" t="inlineStr">
        <is>
          <t>'800111092051</t>
        </is>
      </c>
      <c r="G4882" s="0" t="inlineStr">
        <is>
          <t>WOMENS</t>
        </is>
      </c>
      <c r="H4882" s="0" t="inlineStr">
        <is>
          <t>M</t>
        </is>
      </c>
      <c r="I4882" s="0">
        <v>49.99</v>
      </c>
      <c r="J4882" s="0">
        <v>26</v>
      </c>
    </row>
    <row r="4883" spans="1:10" customHeight="0">
      <c r="A4883" s="0">
        <f>HYPERLINK("https://dl.dropboxusercontent.com/scl/fi/3qqzxr3x5cyo3w6v0mfcd/111092-af.jpg?rlkey=u3189xb4sace834ccle17aakt&amp;dl=0","Click to download Image")</f>
      </c>
      <c r="B4883" s="0">
        <f>HYPERLINK("https://dl.dropboxusercontent.com/scl/fi/1xyophkrzc11zn50om4pb/womens-bodysuit-size-chartslyra.jpg?rlkey=8b2xrcwoxa7gn8yl46424ab39&amp;dl=0","Click to download SizeChart")</f>
      </c>
      <c r="C4883" s="0" t="inlineStr">
        <is>
          <t>Lyra Womens Long Sleeve Bodysuit</t>
        </is>
      </c>
      <c r="D4883" s="0" t="inlineStr">
        <is>
          <t>'111092</t>
        </is>
      </c>
      <c r="E4883" s="0" t="inlineStr">
        <is>
          <t>IOWA LYRA:111092C-L</t>
        </is>
      </c>
      <c r="F4883" s="0" t="inlineStr">
        <is>
          <t>'800111092068</t>
        </is>
      </c>
      <c r="G4883" s="0" t="inlineStr">
        <is>
          <t>WOMENS</t>
        </is>
      </c>
      <c r="H4883" s="0" t="inlineStr">
        <is>
          <t>L</t>
        </is>
      </c>
      <c r="I4883" s="0">
        <v>49.99</v>
      </c>
      <c r="J4883" s="0">
        <v>18</v>
      </c>
    </row>
    <row r="4884" spans="1:10" customHeight="0">
      <c r="A4884" s="0">
        <f>HYPERLINK("https://dl.dropboxusercontent.com/scl/fi/3qqzxr3x5cyo3w6v0mfcd/111092-af.jpg?rlkey=u3189xb4sace834ccle17aakt&amp;dl=0","Click to download Image")</f>
      </c>
      <c r="B4884" s="0">
        <f>HYPERLINK("https://dl.dropboxusercontent.com/scl/fi/1xyophkrzc11zn50om4pb/womens-bodysuit-size-chartslyra.jpg?rlkey=8b2xrcwoxa7gn8yl46424ab39&amp;dl=0","Click to download SizeChart")</f>
      </c>
      <c r="C4884" s="0" t="inlineStr">
        <is>
          <t>Lyra Womens Long Sleeve Bodysuit</t>
        </is>
      </c>
      <c r="D4884" s="0" t="inlineStr">
        <is>
          <t>'111092</t>
        </is>
      </c>
      <c r="E4884" s="0" t="inlineStr">
        <is>
          <t>IOWA LYRA:111092D-XL</t>
        </is>
      </c>
      <c r="F4884" s="0" t="inlineStr">
        <is>
          <t>'800111092075</t>
        </is>
      </c>
      <c r="G4884" s="0" t="inlineStr">
        <is>
          <t>WOMENS</t>
        </is>
      </c>
      <c r="H4884" s="0" t="inlineStr">
        <is>
          <t>XL</t>
        </is>
      </c>
      <c r="I4884" s="0">
        <v>49.99</v>
      </c>
      <c r="J4884" s="0">
        <v>18</v>
      </c>
    </row>
    <row r="4885" spans="1:10" customHeight="0">
      <c r="A4885" s="0">
        <f>HYPERLINK("https://dl.dropboxusercontent.com/scl/fi/3qqzxr3x5cyo3w6v0mfcd/111092-af.jpg?rlkey=u3189xb4sace834ccle17aakt&amp;dl=0","Click to download Image")</f>
      </c>
      <c r="B4885" s="0">
        <f>HYPERLINK("https://dl.dropboxusercontent.com/scl/fi/1xyophkrzc11zn50om4pb/womens-bodysuit-size-chartslyra.jpg?rlkey=8b2xrcwoxa7gn8yl46424ab39&amp;dl=0","Click to download SizeChart")</f>
      </c>
      <c r="C4885" s="0" t="inlineStr">
        <is>
          <t>Lyra Womens Long Sleeve Bodysuit</t>
        </is>
      </c>
      <c r="D4885" s="0" t="inlineStr">
        <is>
          <t>'111092</t>
        </is>
      </c>
      <c r="E4885" s="0" t="inlineStr">
        <is>
          <t>IOWA LYRA:111092E-2XL</t>
        </is>
      </c>
      <c r="F4885" s="0" t="inlineStr">
        <is>
          <t>'800111092082</t>
        </is>
      </c>
      <c r="G4885" s="0" t="inlineStr">
        <is>
          <t>WOMENS</t>
        </is>
      </c>
      <c r="H4885" s="0" t="inlineStr">
        <is>
          <t>2XL</t>
        </is>
      </c>
      <c r="I4885" s="0">
        <v>51.99</v>
      </c>
      <c r="J4885" s="0">
        <v>12</v>
      </c>
    </row>
    <row r="4886" spans="1:10" customHeight="0">
      <c r="A4886" s="0">
        <f>HYPERLINK("https://dl.dropboxusercontent.com/scl/fi/3qqzxr3x5cyo3w6v0mfcd/111092-af.jpg?rlkey=u3189xb4sace834ccle17aakt&amp;dl=0","Click to download Image")</f>
      </c>
      <c r="B4886" s="0">
        <f>HYPERLINK("https://dl.dropboxusercontent.com/scl/fi/1xyophkrzc11zn50om4pb/womens-bodysuit-size-chartslyra.jpg?rlkey=8b2xrcwoxa7gn8yl46424ab39&amp;dl=0","Click to download SizeChart")</f>
      </c>
      <c r="C4886" s="0" t="inlineStr">
        <is>
          <t>Lyra Womens Long Sleeve Bodysuit</t>
        </is>
      </c>
      <c r="D4886" s="0" t="inlineStr">
        <is>
          <t>'111092</t>
        </is>
      </c>
      <c r="E4886" s="0" t="inlineStr">
        <is>
          <t>IOWA LYRA:111092F-3XL</t>
        </is>
      </c>
      <c r="F4886" s="0" t="inlineStr">
        <is>
          <t>'800111092099</t>
        </is>
      </c>
      <c r="G4886" s="0" t="inlineStr">
        <is>
          <t>WOMENS</t>
        </is>
      </c>
      <c r="H4886" s="0" t="inlineStr">
        <is>
          <t>3XL</t>
        </is>
      </c>
      <c r="I4886" s="0">
        <v>51.99</v>
      </c>
      <c r="J4886" s="0">
        <v>12</v>
      </c>
    </row>
    <row r="4887" spans="1:10" customHeight="0">
      <c r="A4887" s="0">
        <f>HYPERLINK("https://dl.dropboxusercontent.com/scl/fi/3qqzxr3x5cyo3w6v0mfcd/111092-af.jpg?rlkey=u3189xb4sace834ccle17aakt&amp;dl=0","Click to download Image")</f>
      </c>
      <c r="B4887" s="0">
        <f>HYPERLINK("https://dl.dropboxusercontent.com/scl/fi/1xyophkrzc11zn50om4pb/womens-bodysuit-size-chartslyra.jpg?rlkey=8b2xrcwoxa7gn8yl46424ab39&amp;dl=0","Click to download SizeChart")</f>
      </c>
      <c r="C4887" s="0" t="inlineStr">
        <is>
          <t>Lyra Womens Long Sleeve Bodysuit</t>
        </is>
      </c>
      <c r="D4887" s="0" t="inlineStr">
        <is>
          <t>'111092</t>
        </is>
      </c>
      <c r="E4887" s="0" t="inlineStr">
        <is>
          <t>IOWA LYRA 12 PACK:111092Z-12PK</t>
        </is>
      </c>
      <c r="F4887" s="0" t="inlineStr">
        <is>
          <t>'800111092990</t>
        </is>
      </c>
      <c r="G4887" s="0" t="inlineStr">
        <is>
          <t>WOMENS</t>
        </is>
      </c>
      <c r="H4887" s="0" t="inlineStr">
        <is>
          <t>12 PACK</t>
        </is>
      </c>
      <c r="I4887" s="0">
        <v>587.88</v>
      </c>
      <c r="J4887" s="0">
        <v>0</v>
      </c>
    </row>
    <row r="4888" spans="1:10" customHeight="0">
      <c r="A4888" s="0">
        <f>HYPERLINK("https://dl.dropboxusercontent.com/scl/fi/6f4yyjmaznb7twvrhkuwj/103853af.jpg?rlkey=9iqjkbgplwbao2bvfnelnkj5w&amp;dl=0","Click to download Image")</f>
      </c>
      <c r="C4888" s="0" t="inlineStr">
        <is>
          <t>Hunt Like A Lady Women's Cap</t>
        </is>
      </c>
      <c r="D4888" s="0" t="inlineStr">
        <is>
          <t>'103853</t>
        </is>
      </c>
      <c r="E4888" s="0" t="inlineStr">
        <is>
          <t>HUNT:103853</t>
        </is>
      </c>
      <c r="F4888" s="0" t="inlineStr">
        <is>
          <t>'000000000000</t>
        </is>
      </c>
      <c r="G4888" s="0" t="inlineStr">
        <is>
          <t>WOMENS</t>
        </is>
      </c>
      <c r="H4888" s="0" t="inlineStr">
        <is>
          <t>WOMENS</t>
        </is>
      </c>
      <c r="I4888" s="0">
        <v>19.99</v>
      </c>
      <c r="J4888" s="0">
        <v>299</v>
      </c>
    </row>
    <row r="4889" spans="1:10" customHeight="0">
      <c r="A4889" s="0">
        <f>HYPERLINK("https://dl.dropboxusercontent.com/scl/fi/qzuzwmfda0lcoisgm08in/667a4952-1bc59941.jpg?rlkey=3sv4mpn5avud10xq27q7wh2p5&amp;dl=0","Click to download Image")</f>
      </c>
      <c r="B4889" s="0">
        <f>HYPERLINK("https://dl.dropboxusercontent.com/scl/fi/q69y9yyghmofp6c6dckio/10-18-size-chartsinfant.jpg?rlkey=0krtp2jk67mc6oq0dqmota2vg&amp;dl=0","Click to download SizeChart")</f>
      </c>
      <c r="C4889" s="0" t="inlineStr">
        <is>
          <t>Roman Infant Swim Set</t>
        </is>
      </c>
      <c r="D4889" s="0" t="inlineStr">
        <is>
          <t>'103580</t>
        </is>
      </c>
      <c r="E4889" s="0" t="inlineStr">
        <is>
          <t>ROMAN:103580A-0-3M</t>
        </is>
      </c>
      <c r="F4889" s="0" t="inlineStr">
        <is>
          <t>'000000000000</t>
        </is>
      </c>
      <c r="G4889" s="0" t="inlineStr">
        <is>
          <t>INFANT</t>
        </is>
      </c>
      <c r="H4889" s="0" t="inlineStr">
        <is>
          <t>0-3M</t>
        </is>
      </c>
      <c r="I4889" s="0">
        <v>24.99</v>
      </c>
      <c r="J4889" s="0">
        <v>110</v>
      </c>
    </row>
    <row r="4890" spans="1:10" customHeight="0">
      <c r="A4890" s="0">
        <f>HYPERLINK("https://dl.dropboxusercontent.com/scl/fi/qzuzwmfda0lcoisgm08in/667a4952-1bc59941.jpg?rlkey=3sv4mpn5avud10xq27q7wh2p5&amp;dl=0","Click to download Image")</f>
      </c>
      <c r="B4890" s="0">
        <f>HYPERLINK("https://dl.dropboxusercontent.com/scl/fi/q69y9yyghmofp6c6dckio/10-18-size-chartsinfant.jpg?rlkey=0krtp2jk67mc6oq0dqmota2vg&amp;dl=0","Click to download SizeChart")</f>
      </c>
      <c r="C4890" s="0" t="inlineStr">
        <is>
          <t>Roman Infant Swim Set</t>
        </is>
      </c>
      <c r="D4890" s="0" t="inlineStr">
        <is>
          <t>'103580</t>
        </is>
      </c>
      <c r="E4890" s="0" t="inlineStr">
        <is>
          <t>ROMAN:103580B-3-6M</t>
        </is>
      </c>
      <c r="F4890" s="0" t="inlineStr">
        <is>
          <t>'000000000000</t>
        </is>
      </c>
      <c r="G4890" s="0" t="inlineStr">
        <is>
          <t>INFANT</t>
        </is>
      </c>
      <c r="H4890" s="0" t="inlineStr">
        <is>
          <t>3-6M</t>
        </is>
      </c>
      <c r="I4890" s="0">
        <v>24.99</v>
      </c>
      <c r="J4890" s="0">
        <v>114</v>
      </c>
    </row>
    <row r="4891" spans="1:10" customHeight="0">
      <c r="A4891" s="0">
        <f>HYPERLINK("https://dl.dropboxusercontent.com/scl/fi/qzuzwmfda0lcoisgm08in/667a4952-1bc59941.jpg?rlkey=3sv4mpn5avud10xq27q7wh2p5&amp;dl=0","Click to download Image")</f>
      </c>
      <c r="B4891" s="0">
        <f>HYPERLINK("https://dl.dropboxusercontent.com/scl/fi/q69y9yyghmofp6c6dckio/10-18-size-chartsinfant.jpg?rlkey=0krtp2jk67mc6oq0dqmota2vg&amp;dl=0","Click to download SizeChart")</f>
      </c>
      <c r="C4891" s="0" t="inlineStr">
        <is>
          <t>Roman Infant Swim Set</t>
        </is>
      </c>
      <c r="D4891" s="0" t="inlineStr">
        <is>
          <t>'103580</t>
        </is>
      </c>
      <c r="E4891" s="0" t="inlineStr">
        <is>
          <t>ROMAN:103580C-6-9M</t>
        </is>
      </c>
      <c r="F4891" s="0" t="inlineStr">
        <is>
          <t>'000000000000</t>
        </is>
      </c>
      <c r="G4891" s="0" t="inlineStr">
        <is>
          <t>INFANT</t>
        </is>
      </c>
      <c r="H4891" s="0" t="inlineStr">
        <is>
          <t>6-9M</t>
        </is>
      </c>
      <c r="I4891" s="0">
        <v>24.99</v>
      </c>
      <c r="J4891" s="0">
        <v>98</v>
      </c>
    </row>
    <row r="4892" spans="1:10" customHeight="0">
      <c r="A4892" s="0">
        <f>HYPERLINK("https://dl.dropboxusercontent.com/scl/fi/qzuzwmfda0lcoisgm08in/667a4952-1bc59941.jpg?rlkey=3sv4mpn5avud10xq27q7wh2p5&amp;dl=0","Click to download Image")</f>
      </c>
      <c r="B4892" s="0">
        <f>HYPERLINK("https://dl.dropboxusercontent.com/scl/fi/q69y9yyghmofp6c6dckio/10-18-size-chartsinfant.jpg?rlkey=0krtp2jk67mc6oq0dqmota2vg&amp;dl=0","Click to download SizeChart")</f>
      </c>
      <c r="C4892" s="0" t="inlineStr">
        <is>
          <t>Roman Infant Swim Set</t>
        </is>
      </c>
      <c r="D4892" s="0" t="inlineStr">
        <is>
          <t>'103580</t>
        </is>
      </c>
      <c r="E4892" s="0" t="inlineStr">
        <is>
          <t>ROMAN:103580D- 12M</t>
        </is>
      </c>
      <c r="F4892" s="0" t="inlineStr">
        <is>
          <t>'000000000000</t>
        </is>
      </c>
      <c r="G4892" s="0" t="inlineStr">
        <is>
          <t>INFANT</t>
        </is>
      </c>
      <c r="H4892" s="0" t="inlineStr">
        <is>
          <t>12M</t>
        </is>
      </c>
      <c r="I4892" s="0">
        <v>24.99</v>
      </c>
      <c r="J4892" s="0">
        <v>108</v>
      </c>
    </row>
    <row r="4893" spans="1:10" customHeight="0">
      <c r="A4893" s="0">
        <f>HYPERLINK("https://dl.dropboxusercontent.com/scl/fi/ha1xhejlekw09w9j5al0s/roman49247.jpg?rlkey=y13ss76hdzdpw42v6bw45rh2b&amp;dl=0","Click to download Image")</f>
      </c>
      <c r="B4893" s="0">
        <f>HYPERLINK("https://dl.dropboxusercontent.com/scl/fi/q69y9yyghmofp6c6dckio/10-18-size-chartsinfant.jpg?rlkey=0krtp2jk67mc6oq0dqmota2vg&amp;dl=0","Click to download SizeChart")</f>
      </c>
      <c r="C4893" s="0" t="inlineStr">
        <is>
          <t>Roman Infant Swim Set</t>
        </is>
      </c>
      <c r="D4893" s="0" t="inlineStr">
        <is>
          <t>'104393</t>
        </is>
      </c>
      <c r="E4893" s="0" t="inlineStr">
        <is>
          <t>ROMAN:104393A- 0-3M</t>
        </is>
      </c>
      <c r="F4893" s="0" t="inlineStr">
        <is>
          <t>'000000000000</t>
        </is>
      </c>
      <c r="G4893" s="0" t="inlineStr">
        <is>
          <t>INFANT</t>
        </is>
      </c>
      <c r="H4893" s="0" t="inlineStr">
        <is>
          <t>0-3M</t>
        </is>
      </c>
      <c r="I4893" s="0">
        <v>24.99</v>
      </c>
      <c r="J4893" s="0">
        <v>54</v>
      </c>
    </row>
    <row r="4894" spans="1:10" customHeight="0">
      <c r="A4894" s="0">
        <f>HYPERLINK("https://dl.dropboxusercontent.com/scl/fi/ha1xhejlekw09w9j5al0s/roman49247.jpg?rlkey=y13ss76hdzdpw42v6bw45rh2b&amp;dl=0","Click to download Image")</f>
      </c>
      <c r="B4894" s="0">
        <f>HYPERLINK("https://dl.dropboxusercontent.com/scl/fi/q69y9yyghmofp6c6dckio/10-18-size-chartsinfant.jpg?rlkey=0krtp2jk67mc6oq0dqmota2vg&amp;dl=0","Click to download SizeChart")</f>
      </c>
      <c r="C4894" s="0" t="inlineStr">
        <is>
          <t>Roman Infant Swim Set</t>
        </is>
      </c>
      <c r="D4894" s="0" t="inlineStr">
        <is>
          <t>'104393</t>
        </is>
      </c>
      <c r="E4894" s="0" t="inlineStr">
        <is>
          <t>ROMAN:104393B- 3-6M</t>
        </is>
      </c>
      <c r="F4894" s="0" t="inlineStr">
        <is>
          <t>'000000000000</t>
        </is>
      </c>
      <c r="G4894" s="0" t="inlineStr">
        <is>
          <t>INFANT</t>
        </is>
      </c>
      <c r="H4894" s="0" t="inlineStr">
        <is>
          <t>3-6M</t>
        </is>
      </c>
      <c r="I4894" s="0">
        <v>24.99</v>
      </c>
      <c r="J4894" s="0">
        <v>53</v>
      </c>
    </row>
    <row r="4895" spans="1:10" customHeight="0">
      <c r="A4895" s="0">
        <f>HYPERLINK("https://dl.dropboxusercontent.com/scl/fi/ha1xhejlekw09w9j5al0s/roman49247.jpg?rlkey=y13ss76hdzdpw42v6bw45rh2b&amp;dl=0","Click to download Image")</f>
      </c>
      <c r="B4895" s="0">
        <f>HYPERLINK("https://dl.dropboxusercontent.com/scl/fi/q69y9yyghmofp6c6dckio/10-18-size-chartsinfant.jpg?rlkey=0krtp2jk67mc6oq0dqmota2vg&amp;dl=0","Click to download SizeChart")</f>
      </c>
      <c r="C4895" s="0" t="inlineStr">
        <is>
          <t>Roman Infant Swim Set</t>
        </is>
      </c>
      <c r="D4895" s="0" t="inlineStr">
        <is>
          <t>'104393</t>
        </is>
      </c>
      <c r="E4895" s="0" t="inlineStr">
        <is>
          <t>ROMAN:104393C- 6-9M</t>
        </is>
      </c>
      <c r="F4895" s="0" t="inlineStr">
        <is>
          <t>'000000000000</t>
        </is>
      </c>
      <c r="G4895" s="0" t="inlineStr">
        <is>
          <t>INFANT</t>
        </is>
      </c>
      <c r="H4895" s="0" t="inlineStr">
        <is>
          <t>6-9M</t>
        </is>
      </c>
      <c r="I4895" s="0">
        <v>24.99</v>
      </c>
      <c r="J4895" s="0">
        <v>48</v>
      </c>
    </row>
    <row r="4896" spans="1:10" customHeight="0">
      <c r="A4896" s="0">
        <f>HYPERLINK("https://dl.dropboxusercontent.com/scl/fi/ha1xhejlekw09w9j5al0s/roman49247.jpg?rlkey=y13ss76hdzdpw42v6bw45rh2b&amp;dl=0","Click to download Image")</f>
      </c>
      <c r="B4896" s="0">
        <f>HYPERLINK("https://dl.dropboxusercontent.com/scl/fi/q69y9yyghmofp6c6dckio/10-18-size-chartsinfant.jpg?rlkey=0krtp2jk67mc6oq0dqmota2vg&amp;dl=0","Click to download SizeChart")</f>
      </c>
      <c r="C4896" s="0" t="inlineStr">
        <is>
          <t>Roman Infant Swim Set</t>
        </is>
      </c>
      <c r="D4896" s="0" t="inlineStr">
        <is>
          <t>'104393</t>
        </is>
      </c>
      <c r="E4896" s="0" t="inlineStr">
        <is>
          <t>ROMAN:104393D- 12M</t>
        </is>
      </c>
      <c r="F4896" s="0" t="inlineStr">
        <is>
          <t>'000000000000</t>
        </is>
      </c>
      <c r="G4896" s="0" t="inlineStr">
        <is>
          <t>INFANT</t>
        </is>
      </c>
      <c r="H4896" s="0" t="inlineStr">
        <is>
          <t>12M</t>
        </is>
      </c>
      <c r="I4896" s="0">
        <v>24.99</v>
      </c>
      <c r="J4896" s="0">
        <v>50</v>
      </c>
    </row>
    <row r="4897" spans="1:10" customHeight="0">
      <c r="A4897" s="0">
        <f>HYPERLINK("https://dl.dropboxusercontent.com/scl/fi/i10a3vqg99b15uy3tnxjr/dsc5748bc.jpg?rlkey=vxrrtmqzhtkyz42n1ryy2x9qf&amp;dl=0","Click to download Image")</f>
      </c>
      <c r="B4897" s="0">
        <f>HYPERLINK("https://dl.dropboxusercontent.com/scl/fi/dg2bx66owfdpague8got3/womens-size-chartsbella.jpg?rlkey=5myku6ywwqdbbwjn5z1omgojp&amp;dl=0","Click to download SizeChart")</f>
      </c>
      <c r="C4897" s="0" t="inlineStr">
        <is>
          <t>Bella Women's Quilted Puffer Jacket</t>
        </is>
      </c>
      <c r="D4897" s="0" t="inlineStr">
        <is>
          <t>'110863</t>
        </is>
      </c>
      <c r="E4897" s="0" t="inlineStr">
        <is>
          <t>IOWA BELLA JACKET:110863AA-XS</t>
        </is>
      </c>
      <c r="F4897" s="0" t="inlineStr">
        <is>
          <t>'800110863034</t>
        </is>
      </c>
      <c r="G4897" s="0" t="inlineStr">
        <is>
          <t>WOMENS</t>
        </is>
      </c>
      <c r="H4897" s="0" t="inlineStr">
        <is>
          <t>XS</t>
        </is>
      </c>
      <c r="I4897" s="0">
        <v>129.99</v>
      </c>
      <c r="J4897" s="0">
        <v>32</v>
      </c>
    </row>
    <row r="4898" spans="1:10" customHeight="0">
      <c r="A4898" s="0">
        <f>HYPERLINK("https://dl.dropboxusercontent.com/scl/fi/i10a3vqg99b15uy3tnxjr/dsc5748bc.jpg?rlkey=vxrrtmqzhtkyz42n1ryy2x9qf&amp;dl=0","Click to download Image")</f>
      </c>
      <c r="B4898" s="0">
        <f>HYPERLINK("https://dl.dropboxusercontent.com/scl/fi/dg2bx66owfdpague8got3/womens-size-chartsbella.jpg?rlkey=5myku6ywwqdbbwjn5z1omgojp&amp;dl=0","Click to download SizeChart")</f>
      </c>
      <c r="C4898" s="0" t="inlineStr">
        <is>
          <t>Bella Women's Quilted Puffer Jacket</t>
        </is>
      </c>
      <c r="D4898" s="0" t="inlineStr">
        <is>
          <t>'110863</t>
        </is>
      </c>
      <c r="E4898" s="0" t="inlineStr">
        <is>
          <t>IOWA BELLA JACKET:110863A-S</t>
        </is>
      </c>
      <c r="F4898" s="0" t="inlineStr">
        <is>
          <t>'800110863041</t>
        </is>
      </c>
      <c r="G4898" s="0" t="inlineStr">
        <is>
          <t>WOMENS</t>
        </is>
      </c>
      <c r="H4898" s="0" t="inlineStr">
        <is>
          <t>S</t>
        </is>
      </c>
      <c r="I4898" s="0">
        <v>129.99</v>
      </c>
      <c r="J4898" s="0">
        <v>45</v>
      </c>
    </row>
    <row r="4899" spans="1:10" customHeight="0">
      <c r="A4899" s="0">
        <f>HYPERLINK("https://dl.dropboxusercontent.com/scl/fi/i10a3vqg99b15uy3tnxjr/dsc5748bc.jpg?rlkey=vxrrtmqzhtkyz42n1ryy2x9qf&amp;dl=0","Click to download Image")</f>
      </c>
      <c r="B4899" s="0">
        <f>HYPERLINK("https://dl.dropboxusercontent.com/scl/fi/dg2bx66owfdpague8got3/womens-size-chartsbella.jpg?rlkey=5myku6ywwqdbbwjn5z1omgojp&amp;dl=0","Click to download SizeChart")</f>
      </c>
      <c r="C4899" s="0" t="inlineStr">
        <is>
          <t>Bella Women's Quilted Puffer Jacket</t>
        </is>
      </c>
      <c r="D4899" s="0" t="inlineStr">
        <is>
          <t>'110863</t>
        </is>
      </c>
      <c r="E4899" s="0" t="inlineStr">
        <is>
          <t>IOWA BELLA JACKET:110863B-M</t>
        </is>
      </c>
      <c r="F4899" s="0" t="inlineStr">
        <is>
          <t>'800110863058</t>
        </is>
      </c>
      <c r="G4899" s="0" t="inlineStr">
        <is>
          <t>WOMENS</t>
        </is>
      </c>
      <c r="H4899" s="0" t="inlineStr">
        <is>
          <t>M</t>
        </is>
      </c>
      <c r="I4899" s="0">
        <v>129.99</v>
      </c>
      <c r="J4899" s="0">
        <v>45</v>
      </c>
    </row>
    <row r="4900" spans="1:10" customHeight="0">
      <c r="A4900" s="0">
        <f>HYPERLINK("https://dl.dropboxusercontent.com/scl/fi/i10a3vqg99b15uy3tnxjr/dsc5748bc.jpg?rlkey=vxrrtmqzhtkyz42n1ryy2x9qf&amp;dl=0","Click to download Image")</f>
      </c>
      <c r="B4900" s="0">
        <f>HYPERLINK("https://dl.dropboxusercontent.com/scl/fi/dg2bx66owfdpague8got3/womens-size-chartsbella.jpg?rlkey=5myku6ywwqdbbwjn5z1omgojp&amp;dl=0","Click to download SizeChart")</f>
      </c>
      <c r="C4900" s="0" t="inlineStr">
        <is>
          <t>Bella Women's Quilted Puffer Jacket</t>
        </is>
      </c>
      <c r="D4900" s="0" t="inlineStr">
        <is>
          <t>'110863</t>
        </is>
      </c>
      <c r="E4900" s="0" t="inlineStr">
        <is>
          <t>IOWA BELLA JACKET:110863C-L</t>
        </is>
      </c>
      <c r="F4900" s="0" t="inlineStr">
        <is>
          <t>'800110863065</t>
        </is>
      </c>
      <c r="G4900" s="0" t="inlineStr">
        <is>
          <t>WOMENS</t>
        </is>
      </c>
      <c r="H4900" s="0" t="inlineStr">
        <is>
          <t>L</t>
        </is>
      </c>
      <c r="I4900" s="0">
        <v>129.99</v>
      </c>
      <c r="J4900" s="0">
        <v>30</v>
      </c>
    </row>
    <row r="4901" spans="1:10" customHeight="0">
      <c r="A4901" s="0">
        <f>HYPERLINK("https://dl.dropboxusercontent.com/scl/fi/i10a3vqg99b15uy3tnxjr/dsc5748bc.jpg?rlkey=vxrrtmqzhtkyz42n1ryy2x9qf&amp;dl=0","Click to download Image")</f>
      </c>
      <c r="B4901" s="0">
        <f>HYPERLINK("https://dl.dropboxusercontent.com/scl/fi/dg2bx66owfdpague8got3/womens-size-chartsbella.jpg?rlkey=5myku6ywwqdbbwjn5z1omgojp&amp;dl=0","Click to download SizeChart")</f>
      </c>
      <c r="C4901" s="0" t="inlineStr">
        <is>
          <t>Bella Women's Quilted Puffer Jacket</t>
        </is>
      </c>
      <c r="D4901" s="0" t="inlineStr">
        <is>
          <t>'110863</t>
        </is>
      </c>
      <c r="E4901" s="0" t="inlineStr">
        <is>
          <t>IOWA BELLA JACKET:110863D-XL</t>
        </is>
      </c>
      <c r="F4901" s="0" t="inlineStr">
        <is>
          <t>'800110863072</t>
        </is>
      </c>
      <c r="G4901" s="0" t="inlineStr">
        <is>
          <t>WOMENS</t>
        </is>
      </c>
      <c r="H4901" s="0" t="inlineStr">
        <is>
          <t>XL</t>
        </is>
      </c>
      <c r="I4901" s="0">
        <v>129.99</v>
      </c>
      <c r="J4901" s="0">
        <v>28</v>
      </c>
    </row>
    <row r="4902" spans="1:10" customHeight="0">
      <c r="A4902" s="0">
        <f>HYPERLINK("https://dl.dropboxusercontent.com/scl/fi/i10a3vqg99b15uy3tnxjr/dsc5748bc.jpg?rlkey=vxrrtmqzhtkyz42n1ryy2x9qf&amp;dl=0","Click to download Image")</f>
      </c>
      <c r="B4902" s="0">
        <f>HYPERLINK("https://dl.dropboxusercontent.com/scl/fi/dg2bx66owfdpague8got3/womens-size-chartsbella.jpg?rlkey=5myku6ywwqdbbwjn5z1omgojp&amp;dl=0","Click to download SizeChart")</f>
      </c>
      <c r="C4902" s="0" t="inlineStr">
        <is>
          <t>Bella Women's Quilted Puffer Jacket</t>
        </is>
      </c>
      <c r="D4902" s="0" t="inlineStr">
        <is>
          <t>'110863</t>
        </is>
      </c>
      <c r="E4902" s="0" t="inlineStr">
        <is>
          <t>IOWA BELLA JACKET:110863E-2XL</t>
        </is>
      </c>
      <c r="F4902" s="0" t="inlineStr">
        <is>
          <t>'800110863089</t>
        </is>
      </c>
      <c r="G4902" s="0" t="inlineStr">
        <is>
          <t>WOMENS</t>
        </is>
      </c>
      <c r="H4902" s="0" t="inlineStr">
        <is>
          <t>2XL</t>
        </is>
      </c>
      <c r="I4902" s="0">
        <v>131.99</v>
      </c>
      <c r="J4902" s="0">
        <v>16</v>
      </c>
    </row>
    <row r="4903" spans="1:10" customHeight="0">
      <c r="A4903" s="0">
        <f>HYPERLINK("https://dl.dropboxusercontent.com/scl/fi/i10a3vqg99b15uy3tnxjr/dsc5748bc.jpg?rlkey=vxrrtmqzhtkyz42n1ryy2x9qf&amp;dl=0","Click to download Image")</f>
      </c>
      <c r="B4903" s="0">
        <f>HYPERLINK("https://dl.dropboxusercontent.com/scl/fi/dg2bx66owfdpague8got3/womens-size-chartsbella.jpg?rlkey=5myku6ywwqdbbwjn5z1omgojp&amp;dl=0","Click to download SizeChart")</f>
      </c>
      <c r="C4903" s="0" t="inlineStr">
        <is>
          <t>Bella Women's Quilted Puffer Jacket</t>
        </is>
      </c>
      <c r="D4903" s="0" t="inlineStr">
        <is>
          <t>'110863</t>
        </is>
      </c>
      <c r="E4903" s="0" t="inlineStr">
        <is>
          <t>IOWA BELLA JACKET:110863F-3XL</t>
        </is>
      </c>
      <c r="F4903" s="0" t="inlineStr">
        <is>
          <t>'800110863096</t>
        </is>
      </c>
      <c r="G4903" s="0" t="inlineStr">
        <is>
          <t>WOMENS</t>
        </is>
      </c>
      <c r="H4903" s="0" t="inlineStr">
        <is>
          <t>3XL</t>
        </is>
      </c>
      <c r="I4903" s="0">
        <v>131.99</v>
      </c>
      <c r="J4903" s="0">
        <v>14</v>
      </c>
    </row>
    <row r="4904" spans="1:10" customHeight="0">
      <c r="A4904" s="0">
        <f>HYPERLINK("https://dl.dropboxusercontent.com/scl/fi/606132bkmfvw17kw5il2r/daphnei.jpg?rlkey=rw0ia9xydvi4mf24r7malrl5v&amp;dl=0","Click to download Image")</f>
      </c>
      <c r="B4904" s="0">
        <f>HYPERLINK("https://dl.dropboxusercontent.com/scl/fi/iku8na31928lwt856q85k/womens-size-chartsdaphne.jpg?rlkey=josqtgxxmch61lzdzk3t7qprg&amp;dl=0","Click to download SizeChart")</f>
      </c>
      <c r="C4904" s="0" t="inlineStr">
        <is>
          <t>Daphne Women's Bomber Jacket</t>
        </is>
      </c>
      <c r="D4904" s="0" t="inlineStr">
        <is>
          <t>'111930</t>
        </is>
      </c>
      <c r="E4904" s="0" t="inlineStr">
        <is>
          <t>IOWA DAPHNE BLACK:111930AA-XS</t>
        </is>
      </c>
      <c r="F4904" s="0" t="inlineStr">
        <is>
          <t>'800111930032</t>
        </is>
      </c>
      <c r="G4904" s="0" t="inlineStr">
        <is>
          <t>WOMENS</t>
        </is>
      </c>
      <c r="H4904" s="0" t="inlineStr">
        <is>
          <t>XS</t>
        </is>
      </c>
      <c r="I4904" s="0">
        <v>89.99</v>
      </c>
      <c r="J4904" s="0">
        <v>11</v>
      </c>
    </row>
    <row r="4905" spans="1:10" customHeight="0">
      <c r="A4905" s="0">
        <f>HYPERLINK("https://dl.dropboxusercontent.com/scl/fi/606132bkmfvw17kw5il2r/daphnei.jpg?rlkey=rw0ia9xydvi4mf24r7malrl5v&amp;dl=0","Click to download Image")</f>
      </c>
      <c r="B4905" s="0">
        <f>HYPERLINK("https://dl.dropboxusercontent.com/scl/fi/iku8na31928lwt856q85k/womens-size-chartsdaphne.jpg?rlkey=josqtgxxmch61lzdzk3t7qprg&amp;dl=0","Click to download SizeChart")</f>
      </c>
      <c r="C4905" s="0" t="inlineStr">
        <is>
          <t>Daphne Women's Bomber Jacket</t>
        </is>
      </c>
      <c r="D4905" s="0" t="inlineStr">
        <is>
          <t>'111930</t>
        </is>
      </c>
      <c r="E4905" s="0" t="inlineStr">
        <is>
          <t>IOWA DAPHNE BLACK:111930A-S</t>
        </is>
      </c>
      <c r="F4905" s="0" t="inlineStr">
        <is>
          <t>'800111930049</t>
        </is>
      </c>
      <c r="G4905" s="0" t="inlineStr">
        <is>
          <t>WOMENS</t>
        </is>
      </c>
      <c r="H4905" s="0" t="inlineStr">
        <is>
          <t>S</t>
        </is>
      </c>
      <c r="I4905" s="0">
        <v>89.99</v>
      </c>
      <c r="J4905" s="0">
        <v>9</v>
      </c>
    </row>
    <row r="4906" spans="1:10" customHeight="0">
      <c r="A4906" s="0">
        <f>HYPERLINK("https://dl.dropboxusercontent.com/scl/fi/606132bkmfvw17kw5il2r/daphnei.jpg?rlkey=rw0ia9xydvi4mf24r7malrl5v&amp;dl=0","Click to download Image")</f>
      </c>
      <c r="B4906" s="0">
        <f>HYPERLINK("https://dl.dropboxusercontent.com/scl/fi/iku8na31928lwt856q85k/womens-size-chartsdaphne.jpg?rlkey=josqtgxxmch61lzdzk3t7qprg&amp;dl=0","Click to download SizeChart")</f>
      </c>
      <c r="C4906" s="0" t="inlineStr">
        <is>
          <t>Daphne Women's Bomber Jacket</t>
        </is>
      </c>
      <c r="D4906" s="0" t="inlineStr">
        <is>
          <t>'111930</t>
        </is>
      </c>
      <c r="E4906" s="0" t="inlineStr">
        <is>
          <t>IOWA DAPHNE BLACK:111930B-M</t>
        </is>
      </c>
      <c r="F4906" s="0" t="inlineStr">
        <is>
          <t>'800111930056</t>
        </is>
      </c>
      <c r="G4906" s="0" t="inlineStr">
        <is>
          <t>WOMENS</t>
        </is>
      </c>
      <c r="H4906" s="0" t="inlineStr">
        <is>
          <t>M</t>
        </is>
      </c>
      <c r="I4906" s="0">
        <v>89.99</v>
      </c>
      <c r="J4906" s="0">
        <v>0</v>
      </c>
    </row>
    <row r="4907" spans="1:10" customHeight="0">
      <c r="A4907" s="0">
        <f>HYPERLINK("https://dl.dropboxusercontent.com/scl/fi/606132bkmfvw17kw5il2r/daphnei.jpg?rlkey=rw0ia9xydvi4mf24r7malrl5v&amp;dl=0","Click to download Image")</f>
      </c>
      <c r="B4907" s="0">
        <f>HYPERLINK("https://dl.dropboxusercontent.com/scl/fi/iku8na31928lwt856q85k/womens-size-chartsdaphne.jpg?rlkey=josqtgxxmch61lzdzk3t7qprg&amp;dl=0","Click to download SizeChart")</f>
      </c>
      <c r="C4907" s="0" t="inlineStr">
        <is>
          <t>Daphne Women's Bomber Jacket</t>
        </is>
      </c>
      <c r="D4907" s="0" t="inlineStr">
        <is>
          <t>'111930</t>
        </is>
      </c>
      <c r="E4907" s="0" t="inlineStr">
        <is>
          <t>IOWA DAPHNE BLACK:111930C-L</t>
        </is>
      </c>
      <c r="F4907" s="0" t="inlineStr">
        <is>
          <t>'800111930063</t>
        </is>
      </c>
      <c r="G4907" s="0" t="inlineStr">
        <is>
          <t>WOMENS</t>
        </is>
      </c>
      <c r="H4907" s="0" t="inlineStr">
        <is>
          <t>L</t>
        </is>
      </c>
      <c r="I4907" s="0">
        <v>89.99</v>
      </c>
      <c r="J4907" s="0">
        <v>0</v>
      </c>
    </row>
    <row r="4908" spans="1:10" customHeight="0">
      <c r="A4908" s="0">
        <f>HYPERLINK("https://dl.dropboxusercontent.com/scl/fi/606132bkmfvw17kw5il2r/daphnei.jpg?rlkey=rw0ia9xydvi4mf24r7malrl5v&amp;dl=0","Click to download Image")</f>
      </c>
      <c r="B4908" s="0">
        <f>HYPERLINK("https://dl.dropboxusercontent.com/scl/fi/iku8na31928lwt856q85k/womens-size-chartsdaphne.jpg?rlkey=josqtgxxmch61lzdzk3t7qprg&amp;dl=0","Click to download SizeChart")</f>
      </c>
      <c r="C4908" s="0" t="inlineStr">
        <is>
          <t>Daphne Women's Bomber Jacket</t>
        </is>
      </c>
      <c r="D4908" s="0" t="inlineStr">
        <is>
          <t>'111930</t>
        </is>
      </c>
      <c r="E4908" s="0" t="inlineStr">
        <is>
          <t>IOWA DAPHNE BLACK:111930D-XL</t>
        </is>
      </c>
      <c r="F4908" s="0" t="inlineStr">
        <is>
          <t>'800111930070</t>
        </is>
      </c>
      <c r="G4908" s="0" t="inlineStr">
        <is>
          <t>WOMENS</t>
        </is>
      </c>
      <c r="H4908" s="0" t="inlineStr">
        <is>
          <t>XL</t>
        </is>
      </c>
      <c r="I4908" s="0">
        <v>89.99</v>
      </c>
      <c r="J4908" s="0">
        <v>6</v>
      </c>
    </row>
    <row r="4909" spans="1:10" customHeight="0">
      <c r="A4909" s="0">
        <f>HYPERLINK("https://dl.dropboxusercontent.com/scl/fi/606132bkmfvw17kw5il2r/daphnei.jpg?rlkey=rw0ia9xydvi4mf24r7malrl5v&amp;dl=0","Click to download Image")</f>
      </c>
      <c r="B4909" s="0">
        <f>HYPERLINK("https://dl.dropboxusercontent.com/scl/fi/iku8na31928lwt856q85k/womens-size-chartsdaphne.jpg?rlkey=josqtgxxmch61lzdzk3t7qprg&amp;dl=0","Click to download SizeChart")</f>
      </c>
      <c r="C4909" s="0" t="inlineStr">
        <is>
          <t>Daphne Women's Bomber Jacket</t>
        </is>
      </c>
      <c r="D4909" s="0" t="inlineStr">
        <is>
          <t>'111930</t>
        </is>
      </c>
      <c r="E4909" s="0" t="inlineStr">
        <is>
          <t>IOWA DAPHNE BLACK:111930E-2XL</t>
        </is>
      </c>
      <c r="F4909" s="0" t="inlineStr">
        <is>
          <t>'800111930087</t>
        </is>
      </c>
      <c r="G4909" s="0" t="inlineStr">
        <is>
          <t>WOMENS</t>
        </is>
      </c>
      <c r="H4909" s="0" t="inlineStr">
        <is>
          <t>2XL</t>
        </is>
      </c>
      <c r="I4909" s="0">
        <v>91.99</v>
      </c>
      <c r="J4909" s="0">
        <v>0</v>
      </c>
    </row>
    <row r="4910" spans="1:10" customHeight="0">
      <c r="A4910" s="0">
        <f>HYPERLINK("https://dl.dropboxusercontent.com/scl/fi/606132bkmfvw17kw5il2r/daphnei.jpg?rlkey=rw0ia9xydvi4mf24r7malrl5v&amp;dl=0","Click to download Image")</f>
      </c>
      <c r="B4910" s="0">
        <f>HYPERLINK("https://dl.dropboxusercontent.com/scl/fi/iku8na31928lwt856q85k/womens-size-chartsdaphne.jpg?rlkey=josqtgxxmch61lzdzk3t7qprg&amp;dl=0","Click to download SizeChart")</f>
      </c>
      <c r="C4910" s="0" t="inlineStr">
        <is>
          <t>Daphne Women's Bomber Jacket</t>
        </is>
      </c>
      <c r="D4910" s="0" t="inlineStr">
        <is>
          <t>'111930</t>
        </is>
      </c>
      <c r="E4910" s="0" t="inlineStr">
        <is>
          <t>IOWA DAPHNE BLACK:111930F-3XL</t>
        </is>
      </c>
      <c r="F4910" s="0" t="inlineStr">
        <is>
          <t>'800111930094</t>
        </is>
      </c>
      <c r="G4910" s="0" t="inlineStr">
        <is>
          <t>WOMENS</t>
        </is>
      </c>
      <c r="H4910" s="0" t="inlineStr">
        <is>
          <t>3XL</t>
        </is>
      </c>
      <c r="I4910" s="0">
        <v>91.99</v>
      </c>
      <c r="J4910" s="0">
        <v>4</v>
      </c>
    </row>
    <row r="4911" spans="1:10" customHeight="0">
      <c r="A4911" s="0">
        <f>HYPERLINK("https://dl.dropboxusercontent.com/scl/fi/rznxpdpiiiki5p2s5nvd8/108949f35568.jpg?rlkey=g34ga5rsyygt0cguaxzdlxohc&amp;dl=0","Click to download Image")</f>
      </c>
      <c r="B4911" s="0">
        <f>HYPERLINK("https://dl.dropboxusercontent.com/scl/fi/jaoohvz0bo48cnwwumg62/8-19womens-fitted.jpg?rlkey=6y6r44srifpjz3a8epss8z98s&amp;dl=0","Click to download SizeChart")</f>
      </c>
      <c r="C4911" s="0" t="inlineStr">
        <is>
          <t>Jacqueline Women's Quilted Puffer Jacket</t>
        </is>
      </c>
      <c r="D4911" s="0" t="inlineStr">
        <is>
          <t>'108949</t>
        </is>
      </c>
      <c r="E4911" s="0" t="inlineStr">
        <is>
          <t>ISU JACQUELINE:108949A-S</t>
        </is>
      </c>
      <c r="F4911" s="0" t="inlineStr">
        <is>
          <t>'800108949016</t>
        </is>
      </c>
      <c r="G4911" s="0" t="inlineStr">
        <is>
          <t>WOMENS</t>
        </is>
      </c>
      <c r="H4911" s="0" t="inlineStr">
        <is>
          <t>S</t>
        </is>
      </c>
      <c r="I4911" s="0">
        <v>129.99</v>
      </c>
      <c r="J4911" s="0">
        <v>4</v>
      </c>
    </row>
    <row r="4912" spans="1:10" customHeight="0">
      <c r="A4912" s="0">
        <f>HYPERLINK("https://dl.dropboxusercontent.com/scl/fi/rznxpdpiiiki5p2s5nvd8/108949f35568.jpg?rlkey=g34ga5rsyygt0cguaxzdlxohc&amp;dl=0","Click to download Image")</f>
      </c>
      <c r="B4912" s="0">
        <f>HYPERLINK("https://dl.dropboxusercontent.com/scl/fi/jaoohvz0bo48cnwwumg62/8-19womens-fitted.jpg?rlkey=6y6r44srifpjz3a8epss8z98s&amp;dl=0","Click to download SizeChart")</f>
      </c>
      <c r="C4912" s="0" t="inlineStr">
        <is>
          <t>Jacqueline Women's Quilted Puffer Jacket</t>
        </is>
      </c>
      <c r="D4912" s="0" t="inlineStr">
        <is>
          <t>'108949</t>
        </is>
      </c>
      <c r="E4912" s="0" t="inlineStr">
        <is>
          <t>ISU JACQUELINE:108949B-M</t>
        </is>
      </c>
      <c r="F4912" s="0" t="inlineStr">
        <is>
          <t>'800108949023</t>
        </is>
      </c>
      <c r="G4912" s="0" t="inlineStr">
        <is>
          <t>WOMENS</t>
        </is>
      </c>
      <c r="H4912" s="0" t="inlineStr">
        <is>
          <t>M</t>
        </is>
      </c>
      <c r="I4912" s="0">
        <v>129.99</v>
      </c>
      <c r="J4912" s="0">
        <v>0</v>
      </c>
    </row>
    <row r="4913" spans="1:10" customHeight="0">
      <c r="A4913" s="0">
        <f>HYPERLINK("https://dl.dropboxusercontent.com/scl/fi/rznxpdpiiiki5p2s5nvd8/108949f35568.jpg?rlkey=g34ga5rsyygt0cguaxzdlxohc&amp;dl=0","Click to download Image")</f>
      </c>
      <c r="B4913" s="0">
        <f>HYPERLINK("https://dl.dropboxusercontent.com/scl/fi/jaoohvz0bo48cnwwumg62/8-19womens-fitted.jpg?rlkey=6y6r44srifpjz3a8epss8z98s&amp;dl=0","Click to download SizeChart")</f>
      </c>
      <c r="C4913" s="0" t="inlineStr">
        <is>
          <t>Jacqueline Women's Quilted Puffer Jacket</t>
        </is>
      </c>
      <c r="D4913" s="0" t="inlineStr">
        <is>
          <t>'108949</t>
        </is>
      </c>
      <c r="E4913" s="0" t="inlineStr">
        <is>
          <t>ISU JACQUELINE:108949C-L</t>
        </is>
      </c>
      <c r="F4913" s="0" t="inlineStr">
        <is>
          <t>'800108949030</t>
        </is>
      </c>
      <c r="G4913" s="0" t="inlineStr">
        <is>
          <t>WOMENS</t>
        </is>
      </c>
      <c r="H4913" s="0" t="inlineStr">
        <is>
          <t>L</t>
        </is>
      </c>
      <c r="I4913" s="0">
        <v>129.99</v>
      </c>
      <c r="J4913" s="0">
        <v>0</v>
      </c>
    </row>
    <row r="4914" spans="1:10" customHeight="0">
      <c r="A4914" s="0">
        <f>HYPERLINK("https://dl.dropboxusercontent.com/scl/fi/rznxpdpiiiki5p2s5nvd8/108949f35568.jpg?rlkey=g34ga5rsyygt0cguaxzdlxohc&amp;dl=0","Click to download Image")</f>
      </c>
      <c r="B4914" s="0">
        <f>HYPERLINK("https://dl.dropboxusercontent.com/scl/fi/jaoohvz0bo48cnwwumg62/8-19womens-fitted.jpg?rlkey=6y6r44srifpjz3a8epss8z98s&amp;dl=0","Click to download SizeChart")</f>
      </c>
      <c r="C4914" s="0" t="inlineStr">
        <is>
          <t>Jacqueline Women's Quilted Puffer Jacket</t>
        </is>
      </c>
      <c r="D4914" s="0" t="inlineStr">
        <is>
          <t>'108949</t>
        </is>
      </c>
      <c r="E4914" s="0" t="inlineStr">
        <is>
          <t>ISU JACQUELINE:108949D-XL</t>
        </is>
      </c>
      <c r="F4914" s="0" t="inlineStr">
        <is>
          <t>'800108949047</t>
        </is>
      </c>
      <c r="G4914" s="0" t="inlineStr">
        <is>
          <t>WOMENS</t>
        </is>
      </c>
      <c r="H4914" s="0" t="inlineStr">
        <is>
          <t>XL</t>
        </is>
      </c>
      <c r="I4914" s="0">
        <v>129.99</v>
      </c>
      <c r="J4914" s="0">
        <v>0</v>
      </c>
    </row>
    <row r="4915" spans="1:10" customHeight="0">
      <c r="A4915" s="0">
        <f>HYPERLINK("https://dl.dropboxusercontent.com/scl/fi/rznxpdpiiiki5p2s5nvd8/108949f35568.jpg?rlkey=g34ga5rsyygt0cguaxzdlxohc&amp;dl=0","Click to download Image")</f>
      </c>
      <c r="B4915" s="0">
        <f>HYPERLINK("https://dl.dropboxusercontent.com/scl/fi/jaoohvz0bo48cnwwumg62/8-19womens-fitted.jpg?rlkey=6y6r44srifpjz3a8epss8z98s&amp;dl=0","Click to download SizeChart")</f>
      </c>
      <c r="C4915" s="0" t="inlineStr">
        <is>
          <t>Jacqueline Women's Quilted Puffer Jacket</t>
        </is>
      </c>
      <c r="D4915" s="0" t="inlineStr">
        <is>
          <t>'108949</t>
        </is>
      </c>
      <c r="E4915" s="0" t="inlineStr">
        <is>
          <t>ISU JACQUELINE:108949E-2XL</t>
        </is>
      </c>
      <c r="F4915" s="0" t="inlineStr">
        <is>
          <t>'800108949054</t>
        </is>
      </c>
      <c r="G4915" s="0" t="inlineStr">
        <is>
          <t>WOMENS</t>
        </is>
      </c>
      <c r="H4915" s="0" t="inlineStr">
        <is>
          <t>2XL</t>
        </is>
      </c>
      <c r="I4915" s="0">
        <v>131.99</v>
      </c>
      <c r="J4915" s="0">
        <v>0</v>
      </c>
    </row>
    <row r="4916" spans="1:10" customHeight="0">
      <c r="A4916" s="0">
        <f>HYPERLINK("https://dl.dropboxusercontent.com/scl/fi/rznxpdpiiiki5p2s5nvd8/108949f35568.jpg?rlkey=g34ga5rsyygt0cguaxzdlxohc&amp;dl=0","Click to download Image")</f>
      </c>
      <c r="B4916" s="0">
        <f>HYPERLINK("https://dl.dropboxusercontent.com/scl/fi/jaoohvz0bo48cnwwumg62/8-19womens-fitted.jpg?rlkey=6y6r44srifpjz3a8epss8z98s&amp;dl=0","Click to download SizeChart")</f>
      </c>
      <c r="C4916" s="0" t="inlineStr">
        <is>
          <t>Jacqueline Women's Quilted Puffer Jacket</t>
        </is>
      </c>
      <c r="D4916" s="0" t="inlineStr">
        <is>
          <t>'108949</t>
        </is>
      </c>
      <c r="E4916" s="0" t="inlineStr">
        <is>
          <t>ISU JACQUELINE:108949F-3XL</t>
        </is>
      </c>
      <c r="F4916" s="0" t="inlineStr">
        <is>
          <t>'800108949061</t>
        </is>
      </c>
      <c r="G4916" s="0" t="inlineStr">
        <is>
          <t>WOMENS</t>
        </is>
      </c>
      <c r="H4916" s="0" t="inlineStr">
        <is>
          <t>3XL</t>
        </is>
      </c>
      <c r="I4916" s="0">
        <v>131.99</v>
      </c>
      <c r="J4916" s="0">
        <v>6</v>
      </c>
    </row>
    <row r="4917" spans="1:10" customHeight="0">
      <c r="A4917" s="0">
        <f>HYPERLINK("https://dl.dropboxusercontent.com/scl/fi/oczibhmjua65azcc6wy07/109013f81285.jpg?rlkey=hv0630tzq418ifvcivtgsy0z4&amp;dl=0","Click to download Image")</f>
      </c>
      <c r="B4917" s="0">
        <f>HYPERLINK("https://dl.dropboxusercontent.com/scl/fi/jaoohvz0bo48cnwwumg62/8-19womens-fitted.jpg?rlkey=6y6r44srifpjz3a8epss8z98s&amp;dl=0","Click to download SizeChart")</f>
      </c>
      <c r="C4917" s="0" t="inlineStr">
        <is>
          <t>Jacqueline Women's Quilted Puffer Jacket</t>
        </is>
      </c>
      <c r="D4917" s="0" t="inlineStr">
        <is>
          <t>'109013</t>
        </is>
      </c>
      <c r="E4917" s="0" t="inlineStr">
        <is>
          <t>IA JACQUELINE - SILVER:109013A-S</t>
        </is>
      </c>
      <c r="F4917" s="0" t="inlineStr">
        <is>
          <t>'800109013013</t>
        </is>
      </c>
      <c r="G4917" s="0" t="inlineStr">
        <is>
          <t>WOMENS</t>
        </is>
      </c>
      <c r="H4917" s="0" t="inlineStr">
        <is>
          <t>S</t>
        </is>
      </c>
      <c r="I4917" s="0">
        <v>129.99</v>
      </c>
      <c r="J4917" s="0">
        <v>6</v>
      </c>
    </row>
    <row r="4918" spans="1:10" customHeight="0">
      <c r="A4918" s="0">
        <f>HYPERLINK("https://dl.dropboxusercontent.com/scl/fi/oczibhmjua65azcc6wy07/109013f81285.jpg?rlkey=hv0630tzq418ifvcivtgsy0z4&amp;dl=0","Click to download Image")</f>
      </c>
      <c r="B4918" s="0">
        <f>HYPERLINK("https://dl.dropboxusercontent.com/scl/fi/jaoohvz0bo48cnwwumg62/8-19womens-fitted.jpg?rlkey=6y6r44srifpjz3a8epss8z98s&amp;dl=0","Click to download SizeChart")</f>
      </c>
      <c r="C4918" s="0" t="inlineStr">
        <is>
          <t>Jacqueline Women's Quilted Puffer Jacket</t>
        </is>
      </c>
      <c r="D4918" s="0" t="inlineStr">
        <is>
          <t>'109013</t>
        </is>
      </c>
      <c r="E4918" s="0" t="inlineStr">
        <is>
          <t>IA JACQUELINE - SILVER:109013B-M</t>
        </is>
      </c>
      <c r="F4918" s="0" t="inlineStr">
        <is>
          <t>'800109013020</t>
        </is>
      </c>
      <c r="G4918" s="0" t="inlineStr">
        <is>
          <t>WOMENS</t>
        </is>
      </c>
      <c r="H4918" s="0" t="inlineStr">
        <is>
          <t>M</t>
        </is>
      </c>
      <c r="I4918" s="0">
        <v>129.99</v>
      </c>
      <c r="J4918" s="0">
        <v>12</v>
      </c>
    </row>
    <row r="4919" spans="1:10" customHeight="0">
      <c r="A4919" s="0">
        <f>HYPERLINK("https://dl.dropboxusercontent.com/scl/fi/oczibhmjua65azcc6wy07/109013f81285.jpg?rlkey=hv0630tzq418ifvcivtgsy0z4&amp;dl=0","Click to download Image")</f>
      </c>
      <c r="B4919" s="0">
        <f>HYPERLINK("https://dl.dropboxusercontent.com/scl/fi/jaoohvz0bo48cnwwumg62/8-19womens-fitted.jpg?rlkey=6y6r44srifpjz3a8epss8z98s&amp;dl=0","Click to download SizeChart")</f>
      </c>
      <c r="C4919" s="0" t="inlineStr">
        <is>
          <t>Jacqueline Women's Quilted Puffer Jacket</t>
        </is>
      </c>
      <c r="D4919" s="0" t="inlineStr">
        <is>
          <t>'109013</t>
        </is>
      </c>
      <c r="E4919" s="0" t="inlineStr">
        <is>
          <t>IA JACQUELINE - SILVER:109013C-L</t>
        </is>
      </c>
      <c r="F4919" s="0" t="inlineStr">
        <is>
          <t>'800109013037</t>
        </is>
      </c>
      <c r="G4919" s="0" t="inlineStr">
        <is>
          <t>WOMENS</t>
        </is>
      </c>
      <c r="H4919" s="0" t="inlineStr">
        <is>
          <t>L</t>
        </is>
      </c>
      <c r="I4919" s="0">
        <v>129.99</v>
      </c>
      <c r="J4919" s="0">
        <v>10</v>
      </c>
    </row>
    <row r="4920" spans="1:10" customHeight="0">
      <c r="A4920" s="0">
        <f>HYPERLINK("https://dl.dropboxusercontent.com/scl/fi/oczibhmjua65azcc6wy07/109013f81285.jpg?rlkey=hv0630tzq418ifvcivtgsy0z4&amp;dl=0","Click to download Image")</f>
      </c>
      <c r="B4920" s="0">
        <f>HYPERLINK("https://dl.dropboxusercontent.com/scl/fi/jaoohvz0bo48cnwwumg62/8-19womens-fitted.jpg?rlkey=6y6r44srifpjz3a8epss8z98s&amp;dl=0","Click to download SizeChart")</f>
      </c>
      <c r="C4920" s="0" t="inlineStr">
        <is>
          <t>Jacqueline Women's Quilted Puffer Jacket</t>
        </is>
      </c>
      <c r="D4920" s="0" t="inlineStr">
        <is>
          <t>'109013</t>
        </is>
      </c>
      <c r="E4920" s="0" t="inlineStr">
        <is>
          <t>IA JACQUELINE - SILVER:109013D-XL</t>
        </is>
      </c>
      <c r="F4920" s="0" t="inlineStr">
        <is>
          <t>'800109013044</t>
        </is>
      </c>
      <c r="G4920" s="0" t="inlineStr">
        <is>
          <t>WOMENS</t>
        </is>
      </c>
      <c r="H4920" s="0" t="inlineStr">
        <is>
          <t>XL</t>
        </is>
      </c>
      <c r="I4920" s="0">
        <v>129.99</v>
      </c>
      <c r="J4920" s="0">
        <v>4</v>
      </c>
    </row>
    <row r="4921" spans="1:10" customHeight="0">
      <c r="A4921" s="0">
        <f>HYPERLINK("https://dl.dropboxusercontent.com/scl/fi/oczibhmjua65azcc6wy07/109013f81285.jpg?rlkey=hv0630tzq418ifvcivtgsy0z4&amp;dl=0","Click to download Image")</f>
      </c>
      <c r="B4921" s="0">
        <f>HYPERLINK("https://dl.dropboxusercontent.com/scl/fi/jaoohvz0bo48cnwwumg62/8-19womens-fitted.jpg?rlkey=6y6r44srifpjz3a8epss8z98s&amp;dl=0","Click to download SizeChart")</f>
      </c>
      <c r="C4921" s="0" t="inlineStr">
        <is>
          <t>Jacqueline Women's Quilted Puffer Jacket</t>
        </is>
      </c>
      <c r="D4921" s="0" t="inlineStr">
        <is>
          <t>'109013</t>
        </is>
      </c>
      <c r="E4921" s="0" t="inlineStr">
        <is>
          <t>IA JACQUELINE - SILVER:109013E-2XL</t>
        </is>
      </c>
      <c r="F4921" s="0" t="inlineStr">
        <is>
          <t>'800109013051</t>
        </is>
      </c>
      <c r="G4921" s="0" t="inlineStr">
        <is>
          <t>WOMENS</t>
        </is>
      </c>
      <c r="H4921" s="0" t="inlineStr">
        <is>
          <t>2XL</t>
        </is>
      </c>
      <c r="I4921" s="0">
        <v>131.99</v>
      </c>
      <c r="J4921" s="0">
        <v>2</v>
      </c>
    </row>
    <row r="4922" spans="1:10" customHeight="0">
      <c r="A4922" s="0">
        <f>HYPERLINK("https://dl.dropboxusercontent.com/scl/fi/oczibhmjua65azcc6wy07/109013f81285.jpg?rlkey=hv0630tzq418ifvcivtgsy0z4&amp;dl=0","Click to download Image")</f>
      </c>
      <c r="B4922" s="0">
        <f>HYPERLINK("https://dl.dropboxusercontent.com/scl/fi/jaoohvz0bo48cnwwumg62/8-19womens-fitted.jpg?rlkey=6y6r44srifpjz3a8epss8z98s&amp;dl=0","Click to download SizeChart")</f>
      </c>
      <c r="C4922" s="0" t="inlineStr">
        <is>
          <t>Jacqueline Women's Quilted Puffer Jacket</t>
        </is>
      </c>
      <c r="D4922" s="0" t="inlineStr">
        <is>
          <t>'109013</t>
        </is>
      </c>
      <c r="E4922" s="0" t="inlineStr">
        <is>
          <t>IA JACQUELINE - SILVER:109013F-3XL</t>
        </is>
      </c>
      <c r="F4922" s="0" t="inlineStr">
        <is>
          <t>'800109013068</t>
        </is>
      </c>
      <c r="G4922" s="0" t="inlineStr">
        <is>
          <t>WOMENS</t>
        </is>
      </c>
      <c r="H4922" s="0" t="inlineStr">
        <is>
          <t>3XL</t>
        </is>
      </c>
      <c r="I4922" s="0">
        <v>131.99</v>
      </c>
      <c r="J4922" s="0">
        <v>1</v>
      </c>
    </row>
    <row r="4923" spans="1:10" customHeight="0">
      <c r="A4923" s="0">
        <f>HYPERLINK("https://dl.dropboxusercontent.com/scl/fi/lpghnz039tcdk6lcv7xkm/109023f51678.jpg?rlkey=cyfprqiaf0jjerbkvjypjb3kc&amp;dl=0","Click to download Image")</f>
      </c>
      <c r="B4923" s="0">
        <f>HYPERLINK("https://dl.dropboxusercontent.com/scl/fi/jaoohvz0bo48cnwwumg62/8-19womens-fitted.jpg?rlkey=6y6r44srifpjz3a8epss8z98s&amp;dl=0","Click to download SizeChart")</f>
      </c>
      <c r="C4923" s="0" t="inlineStr">
        <is>
          <t>Jacqueline Women's Quilted Puffer Jacket</t>
        </is>
      </c>
      <c r="D4923" s="0" t="inlineStr">
        <is>
          <t>'109023</t>
        </is>
      </c>
      <c r="E4923" s="0" t="inlineStr">
        <is>
          <t>IA JACQUELINE - WHITE:109023A-S</t>
        </is>
      </c>
      <c r="F4923" s="0" t="inlineStr">
        <is>
          <t>'800109023012</t>
        </is>
      </c>
      <c r="G4923" s="0" t="inlineStr">
        <is>
          <t>WOMENS</t>
        </is>
      </c>
      <c r="H4923" s="0" t="inlineStr">
        <is>
          <t>S</t>
        </is>
      </c>
      <c r="I4923" s="0">
        <v>129.99</v>
      </c>
      <c r="J4923" s="0">
        <v>2</v>
      </c>
    </row>
    <row r="4924" spans="1:10" customHeight="0">
      <c r="A4924" s="0">
        <f>HYPERLINK("https://dl.dropboxusercontent.com/scl/fi/lpghnz039tcdk6lcv7xkm/109023f51678.jpg?rlkey=cyfprqiaf0jjerbkvjypjb3kc&amp;dl=0","Click to download Image")</f>
      </c>
      <c r="B4924" s="0">
        <f>HYPERLINK("https://dl.dropboxusercontent.com/scl/fi/jaoohvz0bo48cnwwumg62/8-19womens-fitted.jpg?rlkey=6y6r44srifpjz3a8epss8z98s&amp;dl=0","Click to download SizeChart")</f>
      </c>
      <c r="C4924" s="0" t="inlineStr">
        <is>
          <t>Jacqueline Women's Quilted Puffer Jacket</t>
        </is>
      </c>
      <c r="D4924" s="0" t="inlineStr">
        <is>
          <t>'109023</t>
        </is>
      </c>
      <c r="E4924" s="0" t="inlineStr">
        <is>
          <t>IA JACQUELINE - WHITE:109023B-M</t>
        </is>
      </c>
      <c r="F4924" s="0" t="inlineStr">
        <is>
          <t>'800109023029</t>
        </is>
      </c>
      <c r="G4924" s="0" t="inlineStr">
        <is>
          <t>WOMENS</t>
        </is>
      </c>
      <c r="H4924" s="0" t="inlineStr">
        <is>
          <t>M</t>
        </is>
      </c>
      <c r="I4924" s="0">
        <v>129.99</v>
      </c>
      <c r="J4924" s="0">
        <v>2</v>
      </c>
    </row>
    <row r="4925" spans="1:10" customHeight="0">
      <c r="A4925" s="0">
        <f>HYPERLINK("https://dl.dropboxusercontent.com/scl/fi/lpghnz039tcdk6lcv7xkm/109023f51678.jpg?rlkey=cyfprqiaf0jjerbkvjypjb3kc&amp;dl=0","Click to download Image")</f>
      </c>
      <c r="B4925" s="0">
        <f>HYPERLINK("https://dl.dropboxusercontent.com/scl/fi/jaoohvz0bo48cnwwumg62/8-19womens-fitted.jpg?rlkey=6y6r44srifpjz3a8epss8z98s&amp;dl=0","Click to download SizeChart")</f>
      </c>
      <c r="C4925" s="0" t="inlineStr">
        <is>
          <t>Jacqueline Women's Quilted Puffer Jacket</t>
        </is>
      </c>
      <c r="D4925" s="0" t="inlineStr">
        <is>
          <t>'109023</t>
        </is>
      </c>
      <c r="E4925" s="0" t="inlineStr">
        <is>
          <t>IA JACQUELINE - WHITE:109023C-L</t>
        </is>
      </c>
      <c r="F4925" s="0" t="inlineStr">
        <is>
          <t>'800109023036</t>
        </is>
      </c>
      <c r="G4925" s="0" t="inlineStr">
        <is>
          <t>WOMENS</t>
        </is>
      </c>
      <c r="H4925" s="0" t="inlineStr">
        <is>
          <t>L</t>
        </is>
      </c>
      <c r="I4925" s="0">
        <v>129.99</v>
      </c>
      <c r="J4925" s="0">
        <v>3</v>
      </c>
    </row>
    <row r="4926" spans="1:10" customHeight="0">
      <c r="A4926" s="0">
        <f>HYPERLINK("https://dl.dropboxusercontent.com/scl/fi/lpghnz039tcdk6lcv7xkm/109023f51678.jpg?rlkey=cyfprqiaf0jjerbkvjypjb3kc&amp;dl=0","Click to download Image")</f>
      </c>
      <c r="B4926" s="0">
        <f>HYPERLINK("https://dl.dropboxusercontent.com/scl/fi/jaoohvz0bo48cnwwumg62/8-19womens-fitted.jpg?rlkey=6y6r44srifpjz3a8epss8z98s&amp;dl=0","Click to download SizeChart")</f>
      </c>
      <c r="C4926" s="0" t="inlineStr">
        <is>
          <t>Jacqueline Women's Quilted Puffer Jacket</t>
        </is>
      </c>
      <c r="D4926" s="0" t="inlineStr">
        <is>
          <t>'109023</t>
        </is>
      </c>
      <c r="E4926" s="0" t="inlineStr">
        <is>
          <t>IA JACQUELINE - WHITE:109023D-XL</t>
        </is>
      </c>
      <c r="F4926" s="0" t="inlineStr">
        <is>
          <t>'800109023043</t>
        </is>
      </c>
      <c r="G4926" s="0" t="inlineStr">
        <is>
          <t>WOMENS</t>
        </is>
      </c>
      <c r="H4926" s="0" t="inlineStr">
        <is>
          <t>XL</t>
        </is>
      </c>
      <c r="I4926" s="0">
        <v>129.99</v>
      </c>
      <c r="J4926" s="0">
        <v>0</v>
      </c>
    </row>
    <row r="4927" spans="1:10" customHeight="0">
      <c r="A4927" s="0">
        <f>HYPERLINK("https://dl.dropboxusercontent.com/scl/fi/lpghnz039tcdk6lcv7xkm/109023f51678.jpg?rlkey=cyfprqiaf0jjerbkvjypjb3kc&amp;dl=0","Click to download Image")</f>
      </c>
      <c r="B4927" s="0">
        <f>HYPERLINK("https://dl.dropboxusercontent.com/scl/fi/jaoohvz0bo48cnwwumg62/8-19womens-fitted.jpg?rlkey=6y6r44srifpjz3a8epss8z98s&amp;dl=0","Click to download SizeChart")</f>
      </c>
      <c r="C4927" s="0" t="inlineStr">
        <is>
          <t>Jacqueline Women's Quilted Puffer Jacket</t>
        </is>
      </c>
      <c r="D4927" s="0" t="inlineStr">
        <is>
          <t>'109023</t>
        </is>
      </c>
      <c r="E4927" s="0" t="inlineStr">
        <is>
          <t>IA JACQUELINE - WHITE:109023E-2XL</t>
        </is>
      </c>
      <c r="F4927" s="0" t="inlineStr">
        <is>
          <t>'800109023050</t>
        </is>
      </c>
      <c r="G4927" s="0" t="inlineStr">
        <is>
          <t>WOMENS</t>
        </is>
      </c>
      <c r="H4927" s="0" t="inlineStr">
        <is>
          <t>2XL</t>
        </is>
      </c>
      <c r="I4927" s="0">
        <v>131.99</v>
      </c>
      <c r="J4927" s="0">
        <v>0</v>
      </c>
    </row>
    <row r="4928" spans="1:10" customHeight="0">
      <c r="A4928" s="0">
        <f>HYPERLINK("https://dl.dropboxusercontent.com/scl/fi/lpghnz039tcdk6lcv7xkm/109023f51678.jpg?rlkey=cyfprqiaf0jjerbkvjypjb3kc&amp;dl=0","Click to download Image")</f>
      </c>
      <c r="B4928" s="0">
        <f>HYPERLINK("https://dl.dropboxusercontent.com/scl/fi/jaoohvz0bo48cnwwumg62/8-19womens-fitted.jpg?rlkey=6y6r44srifpjz3a8epss8z98s&amp;dl=0","Click to download SizeChart")</f>
      </c>
      <c r="C4928" s="0" t="inlineStr">
        <is>
          <t>Jacqueline Women's Quilted Puffer Jacket</t>
        </is>
      </c>
      <c r="D4928" s="0" t="inlineStr">
        <is>
          <t>'109023</t>
        </is>
      </c>
      <c r="E4928" s="0" t="inlineStr">
        <is>
          <t>IA JACQUELINE - WHITE:109023F-3XL</t>
        </is>
      </c>
      <c r="F4928" s="0" t="inlineStr">
        <is>
          <t>'800109023067</t>
        </is>
      </c>
      <c r="G4928" s="0" t="inlineStr">
        <is>
          <t>WOMENS</t>
        </is>
      </c>
      <c r="H4928" s="0" t="inlineStr">
        <is>
          <t>3XL</t>
        </is>
      </c>
      <c r="I4928" s="0">
        <v>131.99</v>
      </c>
      <c r="J4928" s="0">
        <v>0</v>
      </c>
    </row>
    <row r="4929" spans="1:10" customHeight="0">
      <c r="A4929" s="0">
        <f>HYPERLINK("https://dl.dropboxusercontent.com/scl/fi/exp1hueycw8ujrhzl3sqj/108956f17623.jpg?rlkey=8c5szb2f1q4efega49kl207q9&amp;dl=0","Click to download Image")</f>
      </c>
      <c r="B4929" s="0">
        <f>HYPERLINK("https://dl.dropboxusercontent.com/scl/fi/jaoohvz0bo48cnwwumg62/8-19womens-fitted.jpg?rlkey=6y6r44srifpjz3a8epss8z98s&amp;dl=0","Click to download SizeChart")</f>
      </c>
      <c r="C4929" s="0" t="inlineStr">
        <is>
          <t>Jacqueline Women's Quilted Puffer Jacket</t>
        </is>
      </c>
      <c r="D4929" s="0" t="inlineStr">
        <is>
          <t>'108956</t>
        </is>
      </c>
      <c r="E4929" s="0" t="inlineStr">
        <is>
          <t>UNI JACQUELINE:108956A-S</t>
        </is>
      </c>
      <c r="F4929" s="0" t="inlineStr">
        <is>
          <t>'800108956014</t>
        </is>
      </c>
      <c r="G4929" s="0" t="inlineStr">
        <is>
          <t>WOMENS</t>
        </is>
      </c>
      <c r="H4929" s="0" t="inlineStr">
        <is>
          <t>S</t>
        </is>
      </c>
      <c r="I4929" s="0">
        <v>129.99</v>
      </c>
      <c r="J4929" s="0">
        <v>2</v>
      </c>
    </row>
    <row r="4930" spans="1:10" customHeight="0">
      <c r="A4930" s="0">
        <f>HYPERLINK("https://dl.dropboxusercontent.com/scl/fi/exp1hueycw8ujrhzl3sqj/108956f17623.jpg?rlkey=8c5szb2f1q4efega49kl207q9&amp;dl=0","Click to download Image")</f>
      </c>
      <c r="B4930" s="0">
        <f>HYPERLINK("https://dl.dropboxusercontent.com/scl/fi/jaoohvz0bo48cnwwumg62/8-19womens-fitted.jpg?rlkey=6y6r44srifpjz3a8epss8z98s&amp;dl=0","Click to download SizeChart")</f>
      </c>
      <c r="C4930" s="0" t="inlineStr">
        <is>
          <t>Jacqueline Women's Quilted Puffer Jacket</t>
        </is>
      </c>
      <c r="D4930" s="0" t="inlineStr">
        <is>
          <t>'108956</t>
        </is>
      </c>
      <c r="E4930" s="0" t="inlineStr">
        <is>
          <t>UNI JACQUELINE:108956B-M</t>
        </is>
      </c>
      <c r="F4930" s="0" t="inlineStr">
        <is>
          <t>'800108956021</t>
        </is>
      </c>
      <c r="G4930" s="0" t="inlineStr">
        <is>
          <t>WOMENS</t>
        </is>
      </c>
      <c r="H4930" s="0" t="inlineStr">
        <is>
          <t>M</t>
        </is>
      </c>
      <c r="I4930" s="0">
        <v>129.99</v>
      </c>
      <c r="J4930" s="0">
        <v>5</v>
      </c>
    </row>
    <row r="4931" spans="1:10" customHeight="0">
      <c r="A4931" s="0">
        <f>HYPERLINK("https://dl.dropboxusercontent.com/scl/fi/exp1hueycw8ujrhzl3sqj/108956f17623.jpg?rlkey=8c5szb2f1q4efega49kl207q9&amp;dl=0","Click to download Image")</f>
      </c>
      <c r="B4931" s="0">
        <f>HYPERLINK("https://dl.dropboxusercontent.com/scl/fi/jaoohvz0bo48cnwwumg62/8-19womens-fitted.jpg?rlkey=6y6r44srifpjz3a8epss8z98s&amp;dl=0","Click to download SizeChart")</f>
      </c>
      <c r="C4931" s="0" t="inlineStr">
        <is>
          <t>Jacqueline Women's Quilted Puffer Jacket</t>
        </is>
      </c>
      <c r="D4931" s="0" t="inlineStr">
        <is>
          <t>'108956</t>
        </is>
      </c>
      <c r="E4931" s="0" t="inlineStr">
        <is>
          <t>UNI JACQUELINE:108956C-L</t>
        </is>
      </c>
      <c r="F4931" s="0" t="inlineStr">
        <is>
          <t>'800108956038</t>
        </is>
      </c>
      <c r="G4931" s="0" t="inlineStr">
        <is>
          <t>WOMENS</t>
        </is>
      </c>
      <c r="H4931" s="0" t="inlineStr">
        <is>
          <t>L</t>
        </is>
      </c>
      <c r="I4931" s="0">
        <v>129.99</v>
      </c>
      <c r="J4931" s="0">
        <v>4</v>
      </c>
    </row>
    <row r="4932" spans="1:10" customHeight="0">
      <c r="A4932" s="0">
        <f>HYPERLINK("https://dl.dropboxusercontent.com/scl/fi/exp1hueycw8ujrhzl3sqj/108956f17623.jpg?rlkey=8c5szb2f1q4efega49kl207q9&amp;dl=0","Click to download Image")</f>
      </c>
      <c r="B4932" s="0">
        <f>HYPERLINK("https://dl.dropboxusercontent.com/scl/fi/jaoohvz0bo48cnwwumg62/8-19womens-fitted.jpg?rlkey=6y6r44srifpjz3a8epss8z98s&amp;dl=0","Click to download SizeChart")</f>
      </c>
      <c r="C4932" s="0" t="inlineStr">
        <is>
          <t>Jacqueline Women's Quilted Puffer Jacket</t>
        </is>
      </c>
      <c r="D4932" s="0" t="inlineStr">
        <is>
          <t>'108956</t>
        </is>
      </c>
      <c r="E4932" s="0" t="inlineStr">
        <is>
          <t>UNI JACQUELINE:108956D-XL</t>
        </is>
      </c>
      <c r="F4932" s="0" t="inlineStr">
        <is>
          <t>'800108956045</t>
        </is>
      </c>
      <c r="G4932" s="0" t="inlineStr">
        <is>
          <t>WOMENS</t>
        </is>
      </c>
      <c r="H4932" s="0" t="inlineStr">
        <is>
          <t>XL</t>
        </is>
      </c>
      <c r="I4932" s="0">
        <v>129.99</v>
      </c>
      <c r="J4932" s="0">
        <v>3</v>
      </c>
    </row>
    <row r="4933" spans="1:10" customHeight="0">
      <c r="A4933" s="0">
        <f>HYPERLINK("https://dl.dropboxusercontent.com/scl/fi/exp1hueycw8ujrhzl3sqj/108956f17623.jpg?rlkey=8c5szb2f1q4efega49kl207q9&amp;dl=0","Click to download Image")</f>
      </c>
      <c r="B4933" s="0">
        <f>HYPERLINK("https://dl.dropboxusercontent.com/scl/fi/jaoohvz0bo48cnwwumg62/8-19womens-fitted.jpg?rlkey=6y6r44srifpjz3a8epss8z98s&amp;dl=0","Click to download SizeChart")</f>
      </c>
      <c r="C4933" s="0" t="inlineStr">
        <is>
          <t>Jacqueline Women's Quilted Puffer Jacket</t>
        </is>
      </c>
      <c r="D4933" s="0" t="inlineStr">
        <is>
          <t>'108956</t>
        </is>
      </c>
      <c r="E4933" s="0" t="inlineStr">
        <is>
          <t>UNI JACQUELINE:108956E-2XL</t>
        </is>
      </c>
      <c r="F4933" s="0" t="inlineStr">
        <is>
          <t>'800108956052</t>
        </is>
      </c>
      <c r="G4933" s="0" t="inlineStr">
        <is>
          <t>WOMENS</t>
        </is>
      </c>
      <c r="H4933" s="0" t="inlineStr">
        <is>
          <t>2XL</t>
        </is>
      </c>
      <c r="I4933" s="0">
        <v>131.99</v>
      </c>
      <c r="J4933" s="0">
        <v>0</v>
      </c>
    </row>
    <row r="4934" spans="1:10" customHeight="0">
      <c r="A4934" s="0">
        <f>HYPERLINK("https://dl.dropboxusercontent.com/scl/fi/exp1hueycw8ujrhzl3sqj/108956f17623.jpg?rlkey=8c5szb2f1q4efega49kl207q9&amp;dl=0","Click to download Image")</f>
      </c>
      <c r="B4934" s="0">
        <f>HYPERLINK("https://dl.dropboxusercontent.com/scl/fi/jaoohvz0bo48cnwwumg62/8-19womens-fitted.jpg?rlkey=6y6r44srifpjz3a8epss8z98s&amp;dl=0","Click to download SizeChart")</f>
      </c>
      <c r="C4934" s="0" t="inlineStr">
        <is>
          <t>Jacqueline Women's Quilted Puffer Jacket</t>
        </is>
      </c>
      <c r="D4934" s="0" t="inlineStr">
        <is>
          <t>'108956</t>
        </is>
      </c>
      <c r="E4934" s="0" t="inlineStr">
        <is>
          <t>UNI JACQUELINE:108956F-3XL</t>
        </is>
      </c>
      <c r="F4934" s="0" t="inlineStr">
        <is>
          <t>'800108956069</t>
        </is>
      </c>
      <c r="G4934" s="0" t="inlineStr">
        <is>
          <t>WOMENS</t>
        </is>
      </c>
      <c r="H4934" s="0" t="inlineStr">
        <is>
          <t>3XL</t>
        </is>
      </c>
      <c r="I4934" s="0">
        <v>131.99</v>
      </c>
      <c r="J4934" s="0">
        <v>0</v>
      </c>
    </row>
    <row r="4935" spans="1:10" customHeight="0">
      <c r="A4935" s="0">
        <f>HYPERLINK("https://dl.dropboxusercontent.com/scl/fi/brf13hu9jc770nv3esch3/108960af46261.jpg?rlkey=4koxxvtlhwgo6a25ohjundx7j&amp;dl=0","Click to download Image")</f>
      </c>
      <c r="B4935" s="0">
        <f>HYPERLINK("https://dl.dropboxusercontent.com/scl/fi/jaoohvz0bo48cnwwumg62/8-19womens-fitted.jpg?rlkey=6y6r44srifpjz3a8epss8z98s&amp;dl=0","Click to download SizeChart")</f>
      </c>
      <c r="C4935" s="0" t="inlineStr">
        <is>
          <t>Jacqueline Women's Quilted Puffer Jacket</t>
        </is>
      </c>
      <c r="D4935" s="0" t="inlineStr">
        <is>
          <t>'108960</t>
        </is>
      </c>
      <c r="E4935" s="0" t="inlineStr">
        <is>
          <t>PURDUE JACQUELINE:108960A-S</t>
        </is>
      </c>
      <c r="F4935" s="0" t="inlineStr">
        <is>
          <t>'800108960011</t>
        </is>
      </c>
      <c r="G4935" s="0" t="inlineStr">
        <is>
          <t>WOMENS</t>
        </is>
      </c>
      <c r="H4935" s="0" t="inlineStr">
        <is>
          <t>S</t>
        </is>
      </c>
      <c r="I4935" s="0">
        <v>129.99</v>
      </c>
      <c r="J4935" s="0">
        <v>10</v>
      </c>
    </row>
    <row r="4936" spans="1:10" customHeight="0">
      <c r="A4936" s="0">
        <f>HYPERLINK("https://dl.dropboxusercontent.com/scl/fi/brf13hu9jc770nv3esch3/108960af46261.jpg?rlkey=4koxxvtlhwgo6a25ohjundx7j&amp;dl=0","Click to download Image")</f>
      </c>
      <c r="B4936" s="0">
        <f>HYPERLINK("https://dl.dropboxusercontent.com/scl/fi/jaoohvz0bo48cnwwumg62/8-19womens-fitted.jpg?rlkey=6y6r44srifpjz3a8epss8z98s&amp;dl=0","Click to download SizeChart")</f>
      </c>
      <c r="C4936" s="0" t="inlineStr">
        <is>
          <t>Jacqueline Women's Quilted Puffer Jacket</t>
        </is>
      </c>
      <c r="D4936" s="0" t="inlineStr">
        <is>
          <t>'108960</t>
        </is>
      </c>
      <c r="E4936" s="0" t="inlineStr">
        <is>
          <t>PURDUE JACQUELINE:108960B-M</t>
        </is>
      </c>
      <c r="F4936" s="0" t="inlineStr">
        <is>
          <t>'800108960028</t>
        </is>
      </c>
      <c r="G4936" s="0" t="inlineStr">
        <is>
          <t>WOMENS</t>
        </is>
      </c>
      <c r="H4936" s="0" t="inlineStr">
        <is>
          <t>M</t>
        </is>
      </c>
      <c r="I4936" s="0">
        <v>129.99</v>
      </c>
      <c r="J4936" s="0">
        <v>22</v>
      </c>
    </row>
    <row r="4937" spans="1:10" customHeight="0">
      <c r="A4937" s="0">
        <f>HYPERLINK("https://dl.dropboxusercontent.com/scl/fi/brf13hu9jc770nv3esch3/108960af46261.jpg?rlkey=4koxxvtlhwgo6a25ohjundx7j&amp;dl=0","Click to download Image")</f>
      </c>
      <c r="B4937" s="0">
        <f>HYPERLINK("https://dl.dropboxusercontent.com/scl/fi/jaoohvz0bo48cnwwumg62/8-19womens-fitted.jpg?rlkey=6y6r44srifpjz3a8epss8z98s&amp;dl=0","Click to download SizeChart")</f>
      </c>
      <c r="C4937" s="0" t="inlineStr">
        <is>
          <t>Jacqueline Women's Quilted Puffer Jacket</t>
        </is>
      </c>
      <c r="D4937" s="0" t="inlineStr">
        <is>
          <t>'108960</t>
        </is>
      </c>
      <c r="E4937" s="0" t="inlineStr">
        <is>
          <t>PURDUE JACQUELINE:108960C-L</t>
        </is>
      </c>
      <c r="F4937" s="0" t="inlineStr">
        <is>
          <t>'800108960035</t>
        </is>
      </c>
      <c r="G4937" s="0" t="inlineStr">
        <is>
          <t>WOMENS</t>
        </is>
      </c>
      <c r="H4937" s="0" t="inlineStr">
        <is>
          <t>L</t>
        </is>
      </c>
      <c r="I4937" s="0">
        <v>129.99</v>
      </c>
      <c r="J4937" s="0">
        <v>21</v>
      </c>
    </row>
    <row r="4938" spans="1:10" customHeight="0">
      <c r="A4938" s="0">
        <f>HYPERLINK("https://dl.dropboxusercontent.com/scl/fi/brf13hu9jc770nv3esch3/108960af46261.jpg?rlkey=4koxxvtlhwgo6a25ohjundx7j&amp;dl=0","Click to download Image")</f>
      </c>
      <c r="B4938" s="0">
        <f>HYPERLINK("https://dl.dropboxusercontent.com/scl/fi/jaoohvz0bo48cnwwumg62/8-19womens-fitted.jpg?rlkey=6y6r44srifpjz3a8epss8z98s&amp;dl=0","Click to download SizeChart")</f>
      </c>
      <c r="C4938" s="0" t="inlineStr">
        <is>
          <t>Jacqueline Women's Quilted Puffer Jacket</t>
        </is>
      </c>
      <c r="D4938" s="0" t="inlineStr">
        <is>
          <t>'108960</t>
        </is>
      </c>
      <c r="E4938" s="0" t="inlineStr">
        <is>
          <t>PURDUE JACQUELINE:108960D-XL</t>
        </is>
      </c>
      <c r="F4938" s="0" t="inlineStr">
        <is>
          <t>'800108960042</t>
        </is>
      </c>
      <c r="G4938" s="0" t="inlineStr">
        <is>
          <t>WOMENS</t>
        </is>
      </c>
      <c r="H4938" s="0" t="inlineStr">
        <is>
          <t>XL</t>
        </is>
      </c>
      <c r="I4938" s="0">
        <v>129.99</v>
      </c>
      <c r="J4938" s="0">
        <v>12</v>
      </c>
    </row>
    <row r="4939" spans="1:10" customHeight="0">
      <c r="A4939" s="0">
        <f>HYPERLINK("https://dl.dropboxusercontent.com/scl/fi/brf13hu9jc770nv3esch3/108960af46261.jpg?rlkey=4koxxvtlhwgo6a25ohjundx7j&amp;dl=0","Click to download Image")</f>
      </c>
      <c r="B4939" s="0">
        <f>HYPERLINK("https://dl.dropboxusercontent.com/scl/fi/jaoohvz0bo48cnwwumg62/8-19womens-fitted.jpg?rlkey=6y6r44srifpjz3a8epss8z98s&amp;dl=0","Click to download SizeChart")</f>
      </c>
      <c r="C4939" s="0" t="inlineStr">
        <is>
          <t>Jacqueline Women's Quilted Puffer Jacket</t>
        </is>
      </c>
      <c r="D4939" s="0" t="inlineStr">
        <is>
          <t>'108960</t>
        </is>
      </c>
      <c r="E4939" s="0" t="inlineStr">
        <is>
          <t>PURDUE JACQUELINE:108960E-2XL</t>
        </is>
      </c>
      <c r="F4939" s="0" t="inlineStr">
        <is>
          <t>'800108960059</t>
        </is>
      </c>
      <c r="G4939" s="0" t="inlineStr">
        <is>
          <t>WOMENS</t>
        </is>
      </c>
      <c r="H4939" s="0" t="inlineStr">
        <is>
          <t>2XL</t>
        </is>
      </c>
      <c r="I4939" s="0">
        <v>131.99</v>
      </c>
      <c r="J4939" s="0">
        <v>4</v>
      </c>
    </row>
    <row r="4940" spans="1:10" customHeight="0">
      <c r="A4940" s="0">
        <f>HYPERLINK("https://dl.dropboxusercontent.com/scl/fi/brf13hu9jc770nv3esch3/108960af46261.jpg?rlkey=4koxxvtlhwgo6a25ohjundx7j&amp;dl=0","Click to download Image")</f>
      </c>
      <c r="B4940" s="0">
        <f>HYPERLINK("https://dl.dropboxusercontent.com/scl/fi/jaoohvz0bo48cnwwumg62/8-19womens-fitted.jpg?rlkey=6y6r44srifpjz3a8epss8z98s&amp;dl=0","Click to download SizeChart")</f>
      </c>
      <c r="C4940" s="0" t="inlineStr">
        <is>
          <t>Jacqueline Women's Quilted Puffer Jacket</t>
        </is>
      </c>
      <c r="D4940" s="0" t="inlineStr">
        <is>
          <t>'108960</t>
        </is>
      </c>
      <c r="E4940" s="0" t="inlineStr">
        <is>
          <t>PURDUE JACQUELINE:108960F-3XL</t>
        </is>
      </c>
      <c r="F4940" s="0" t="inlineStr">
        <is>
          <t>'800108960066</t>
        </is>
      </c>
      <c r="G4940" s="0" t="inlineStr">
        <is>
          <t>WOMENS</t>
        </is>
      </c>
      <c r="H4940" s="0" t="inlineStr">
        <is>
          <t>3XL</t>
        </is>
      </c>
      <c r="I4940" s="0">
        <v>131.99</v>
      </c>
      <c r="J4940" s="0">
        <v>4</v>
      </c>
    </row>
    <row r="4941" spans="1:10" customHeight="0">
      <c r="A4941" s="0">
        <f>HYPERLINK("https://dl.dropboxusercontent.com/scl/fi/tgooxpftnx8641h24j6z6/108960af-125620.jpg?rlkey=pgdxb6oma44zfgtoweqtjsfub&amp;dl=0","Click to download Image")</f>
      </c>
      <c r="B4941" s="0">
        <f>HYPERLINK("https://dl.dropboxusercontent.com/scl/fi/jaoohvz0bo48cnwwumg62/8-19womens-fitted.jpg?rlkey=6y6r44srifpjz3a8epss8z98s&amp;dl=0","Click to download SizeChart")</f>
      </c>
      <c r="C4941" s="0" t="inlineStr">
        <is>
          <t>Jacqueline Women's Quilted Puffer Jacket</t>
        </is>
      </c>
      <c r="D4941" s="0" t="inlineStr">
        <is>
          <t>'108961</t>
        </is>
      </c>
      <c r="E4941" s="0" t="inlineStr">
        <is>
          <t>INDIANA JACQUELINE:108961A-S</t>
        </is>
      </c>
      <c r="F4941" s="0" t="inlineStr">
        <is>
          <t>'800108961018</t>
        </is>
      </c>
      <c r="G4941" s="0" t="inlineStr">
        <is>
          <t>WOMENS</t>
        </is>
      </c>
      <c r="H4941" s="0" t="inlineStr">
        <is>
          <t>S</t>
        </is>
      </c>
      <c r="I4941" s="0">
        <v>129.99</v>
      </c>
      <c r="J4941" s="0">
        <v>12</v>
      </c>
    </row>
    <row r="4942" spans="1:10" customHeight="0">
      <c r="A4942" s="0">
        <f>HYPERLINK("https://dl.dropboxusercontent.com/scl/fi/tgooxpftnx8641h24j6z6/108960af-125620.jpg?rlkey=pgdxb6oma44zfgtoweqtjsfub&amp;dl=0","Click to download Image")</f>
      </c>
      <c r="B4942" s="0">
        <f>HYPERLINK("https://dl.dropboxusercontent.com/scl/fi/jaoohvz0bo48cnwwumg62/8-19womens-fitted.jpg?rlkey=6y6r44srifpjz3a8epss8z98s&amp;dl=0","Click to download SizeChart")</f>
      </c>
      <c r="C4942" s="0" t="inlineStr">
        <is>
          <t>Jacqueline Women's Quilted Puffer Jacket</t>
        </is>
      </c>
      <c r="D4942" s="0" t="inlineStr">
        <is>
          <t>'108961</t>
        </is>
      </c>
      <c r="E4942" s="0" t="inlineStr">
        <is>
          <t>INDIANA JACQUELINE:108961B-M</t>
        </is>
      </c>
      <c r="F4942" s="0" t="inlineStr">
        <is>
          <t>'800108961025</t>
        </is>
      </c>
      <c r="G4942" s="0" t="inlineStr">
        <is>
          <t>WOMENS</t>
        </is>
      </c>
      <c r="H4942" s="0" t="inlineStr">
        <is>
          <t>M</t>
        </is>
      </c>
      <c r="I4942" s="0">
        <v>129.99</v>
      </c>
      <c r="J4942" s="0">
        <v>24</v>
      </c>
    </row>
    <row r="4943" spans="1:10" customHeight="0">
      <c r="A4943" s="0">
        <f>HYPERLINK("https://dl.dropboxusercontent.com/scl/fi/tgooxpftnx8641h24j6z6/108960af-125620.jpg?rlkey=pgdxb6oma44zfgtoweqtjsfub&amp;dl=0","Click to download Image")</f>
      </c>
      <c r="B4943" s="0">
        <f>HYPERLINK("https://dl.dropboxusercontent.com/scl/fi/jaoohvz0bo48cnwwumg62/8-19womens-fitted.jpg?rlkey=6y6r44srifpjz3a8epss8z98s&amp;dl=0","Click to download SizeChart")</f>
      </c>
      <c r="C4943" s="0" t="inlineStr">
        <is>
          <t>Jacqueline Women's Quilted Puffer Jacket</t>
        </is>
      </c>
      <c r="D4943" s="0" t="inlineStr">
        <is>
          <t>'108961</t>
        </is>
      </c>
      <c r="E4943" s="0" t="inlineStr">
        <is>
          <t>INDIANA JACQUELINE:108961C-L</t>
        </is>
      </c>
      <c r="F4943" s="0" t="inlineStr">
        <is>
          <t>'800108961032</t>
        </is>
      </c>
      <c r="G4943" s="0" t="inlineStr">
        <is>
          <t>WOMENS</t>
        </is>
      </c>
      <c r="H4943" s="0" t="inlineStr">
        <is>
          <t>L</t>
        </is>
      </c>
      <c r="I4943" s="0">
        <v>129.99</v>
      </c>
      <c r="J4943" s="0">
        <v>24</v>
      </c>
    </row>
    <row r="4944" spans="1:10" customHeight="0">
      <c r="A4944" s="0">
        <f>HYPERLINK("https://dl.dropboxusercontent.com/scl/fi/tgooxpftnx8641h24j6z6/108960af-125620.jpg?rlkey=pgdxb6oma44zfgtoweqtjsfub&amp;dl=0","Click to download Image")</f>
      </c>
      <c r="B4944" s="0">
        <f>HYPERLINK("https://dl.dropboxusercontent.com/scl/fi/jaoohvz0bo48cnwwumg62/8-19womens-fitted.jpg?rlkey=6y6r44srifpjz3a8epss8z98s&amp;dl=0","Click to download SizeChart")</f>
      </c>
      <c r="C4944" s="0" t="inlineStr">
        <is>
          <t>Jacqueline Women's Quilted Puffer Jacket</t>
        </is>
      </c>
      <c r="D4944" s="0" t="inlineStr">
        <is>
          <t>'108961</t>
        </is>
      </c>
      <c r="E4944" s="0" t="inlineStr">
        <is>
          <t>INDIANA JACQUELINE:108961D-XL</t>
        </is>
      </c>
      <c r="F4944" s="0" t="inlineStr">
        <is>
          <t>'800108961049</t>
        </is>
      </c>
      <c r="G4944" s="0" t="inlineStr">
        <is>
          <t>WOMENS</t>
        </is>
      </c>
      <c r="H4944" s="0" t="inlineStr">
        <is>
          <t>XL</t>
        </is>
      </c>
      <c r="I4944" s="0">
        <v>129.99</v>
      </c>
      <c r="J4944" s="0">
        <v>12</v>
      </c>
    </row>
    <row r="4945" spans="1:10" customHeight="0">
      <c r="A4945" s="0">
        <f>HYPERLINK("https://dl.dropboxusercontent.com/scl/fi/tgooxpftnx8641h24j6z6/108960af-125620.jpg?rlkey=pgdxb6oma44zfgtoweqtjsfub&amp;dl=0","Click to download Image")</f>
      </c>
      <c r="B4945" s="0">
        <f>HYPERLINK("https://dl.dropboxusercontent.com/scl/fi/jaoohvz0bo48cnwwumg62/8-19womens-fitted.jpg?rlkey=6y6r44srifpjz3a8epss8z98s&amp;dl=0","Click to download SizeChart")</f>
      </c>
      <c r="C4945" s="0" t="inlineStr">
        <is>
          <t>Jacqueline Women's Quilted Puffer Jacket</t>
        </is>
      </c>
      <c r="D4945" s="0" t="inlineStr">
        <is>
          <t>'108961</t>
        </is>
      </c>
      <c r="E4945" s="0" t="inlineStr">
        <is>
          <t>INDIANA JACQUELINE:108961E-2XL</t>
        </is>
      </c>
      <c r="F4945" s="0" t="inlineStr">
        <is>
          <t>'800108961056</t>
        </is>
      </c>
      <c r="G4945" s="0" t="inlineStr">
        <is>
          <t>WOMENS</t>
        </is>
      </c>
      <c r="H4945" s="0" t="inlineStr">
        <is>
          <t>2XL</t>
        </is>
      </c>
      <c r="I4945" s="0">
        <v>131.99</v>
      </c>
      <c r="J4945" s="0">
        <v>4</v>
      </c>
    </row>
    <row r="4946" spans="1:10" customHeight="0">
      <c r="A4946" s="0">
        <f>HYPERLINK("https://dl.dropboxusercontent.com/scl/fi/tgooxpftnx8641h24j6z6/108960af-125620.jpg?rlkey=pgdxb6oma44zfgtoweqtjsfub&amp;dl=0","Click to download Image")</f>
      </c>
      <c r="B4946" s="0">
        <f>HYPERLINK("https://dl.dropboxusercontent.com/scl/fi/jaoohvz0bo48cnwwumg62/8-19womens-fitted.jpg?rlkey=6y6r44srifpjz3a8epss8z98s&amp;dl=0","Click to download SizeChart")</f>
      </c>
      <c r="C4946" s="0" t="inlineStr">
        <is>
          <t>Jacqueline Women's Quilted Puffer Jacket</t>
        </is>
      </c>
      <c r="D4946" s="0" t="inlineStr">
        <is>
          <t>'108961</t>
        </is>
      </c>
      <c r="E4946" s="0" t="inlineStr">
        <is>
          <t>INDIANA JACQUELINE:108961F-3XL</t>
        </is>
      </c>
      <c r="F4946" s="0" t="inlineStr">
        <is>
          <t>'800108961063</t>
        </is>
      </c>
      <c r="G4946" s="0" t="inlineStr">
        <is>
          <t>WOMENS</t>
        </is>
      </c>
      <c r="H4946" s="0" t="inlineStr">
        <is>
          <t>3XL</t>
        </is>
      </c>
      <c r="I4946" s="0">
        <v>131.99</v>
      </c>
      <c r="J4946" s="0">
        <v>4</v>
      </c>
    </row>
    <row r="4947" spans="1:10" customHeight="0">
      <c r="A4947" s="0">
        <f>HYPERLINK("https://dl.dropboxusercontent.com/scl/fi/6n93r5p5uyc9qprtm619h/108962f51447.jpg?rlkey=wxdaef0ne7z7566l5jp2r4dp9&amp;dl=0","Click to download Image")</f>
      </c>
      <c r="B4947" s="0">
        <f>HYPERLINK("https://dl.dropboxusercontent.com/scl/fi/jaoohvz0bo48cnwwumg62/8-19womens-fitted.jpg?rlkey=6y6r44srifpjz3a8epss8z98s&amp;dl=0","Click to download SizeChart")</f>
      </c>
      <c r="C4947" s="0" t="inlineStr">
        <is>
          <t>Jacqueline Women's Quilted Puffer Jacket</t>
        </is>
      </c>
      <c r="D4947" s="0" t="inlineStr">
        <is>
          <t>'108962</t>
        </is>
      </c>
      <c r="E4947" s="0" t="inlineStr">
        <is>
          <t>MARQ JACQUELINE:108962A-S</t>
        </is>
      </c>
      <c r="F4947" s="0" t="inlineStr">
        <is>
          <t>'800108962015</t>
        </is>
      </c>
      <c r="G4947" s="0" t="inlineStr">
        <is>
          <t>WOMENS</t>
        </is>
      </c>
      <c r="H4947" s="0" t="inlineStr">
        <is>
          <t>S</t>
        </is>
      </c>
      <c r="I4947" s="0">
        <v>129.99</v>
      </c>
      <c r="J4947" s="0">
        <v>12</v>
      </c>
    </row>
    <row r="4948" spans="1:10" customHeight="0">
      <c r="A4948" s="0">
        <f>HYPERLINK("https://dl.dropboxusercontent.com/scl/fi/6n93r5p5uyc9qprtm619h/108962f51447.jpg?rlkey=wxdaef0ne7z7566l5jp2r4dp9&amp;dl=0","Click to download Image")</f>
      </c>
      <c r="B4948" s="0">
        <f>HYPERLINK("https://dl.dropboxusercontent.com/scl/fi/jaoohvz0bo48cnwwumg62/8-19womens-fitted.jpg?rlkey=6y6r44srifpjz3a8epss8z98s&amp;dl=0","Click to download SizeChart")</f>
      </c>
      <c r="C4948" s="0" t="inlineStr">
        <is>
          <t>Jacqueline Women's Quilted Puffer Jacket</t>
        </is>
      </c>
      <c r="D4948" s="0" t="inlineStr">
        <is>
          <t>'108962</t>
        </is>
      </c>
      <c r="E4948" s="0" t="inlineStr">
        <is>
          <t>MARQ JACQUELINE:108962B-M</t>
        </is>
      </c>
      <c r="F4948" s="0" t="inlineStr">
        <is>
          <t>'800108962022</t>
        </is>
      </c>
      <c r="G4948" s="0" t="inlineStr">
        <is>
          <t>WOMENS</t>
        </is>
      </c>
      <c r="H4948" s="0" t="inlineStr">
        <is>
          <t>M</t>
        </is>
      </c>
      <c r="I4948" s="0">
        <v>129.99</v>
      </c>
      <c r="J4948" s="0">
        <v>24</v>
      </c>
    </row>
    <row r="4949" spans="1:10" customHeight="0">
      <c r="A4949" s="0">
        <f>HYPERLINK("https://dl.dropboxusercontent.com/scl/fi/6n93r5p5uyc9qprtm619h/108962f51447.jpg?rlkey=wxdaef0ne7z7566l5jp2r4dp9&amp;dl=0","Click to download Image")</f>
      </c>
      <c r="B4949" s="0">
        <f>HYPERLINK("https://dl.dropboxusercontent.com/scl/fi/jaoohvz0bo48cnwwumg62/8-19womens-fitted.jpg?rlkey=6y6r44srifpjz3a8epss8z98s&amp;dl=0","Click to download SizeChart")</f>
      </c>
      <c r="C4949" s="0" t="inlineStr">
        <is>
          <t>Jacqueline Women's Quilted Puffer Jacket</t>
        </is>
      </c>
      <c r="D4949" s="0" t="inlineStr">
        <is>
          <t>'108962</t>
        </is>
      </c>
      <c r="E4949" s="0" t="inlineStr">
        <is>
          <t>MARQ JACQUELINE:108962C-L</t>
        </is>
      </c>
      <c r="F4949" s="0" t="inlineStr">
        <is>
          <t>'800108962039</t>
        </is>
      </c>
      <c r="G4949" s="0" t="inlineStr">
        <is>
          <t>WOMENS</t>
        </is>
      </c>
      <c r="H4949" s="0" t="inlineStr">
        <is>
          <t>L</t>
        </is>
      </c>
      <c r="I4949" s="0">
        <v>129.99</v>
      </c>
      <c r="J4949" s="0">
        <v>24</v>
      </c>
    </row>
    <row r="4950" spans="1:10" customHeight="0">
      <c r="A4950" s="0">
        <f>HYPERLINK("https://dl.dropboxusercontent.com/scl/fi/6n93r5p5uyc9qprtm619h/108962f51447.jpg?rlkey=wxdaef0ne7z7566l5jp2r4dp9&amp;dl=0","Click to download Image")</f>
      </c>
      <c r="B4950" s="0">
        <f>HYPERLINK("https://dl.dropboxusercontent.com/scl/fi/jaoohvz0bo48cnwwumg62/8-19womens-fitted.jpg?rlkey=6y6r44srifpjz3a8epss8z98s&amp;dl=0","Click to download SizeChart")</f>
      </c>
      <c r="C4950" s="0" t="inlineStr">
        <is>
          <t>Jacqueline Women's Quilted Puffer Jacket</t>
        </is>
      </c>
      <c r="D4950" s="0" t="inlineStr">
        <is>
          <t>'108962</t>
        </is>
      </c>
      <c r="E4950" s="0" t="inlineStr">
        <is>
          <t>MARQ JACQUELINE:108962D-XL</t>
        </is>
      </c>
      <c r="F4950" s="0" t="inlineStr">
        <is>
          <t>'800108962046</t>
        </is>
      </c>
      <c r="G4950" s="0" t="inlineStr">
        <is>
          <t>WOMENS</t>
        </is>
      </c>
      <c r="H4950" s="0" t="inlineStr">
        <is>
          <t>XL</t>
        </is>
      </c>
      <c r="I4950" s="0">
        <v>129.99</v>
      </c>
      <c r="J4950" s="0">
        <v>12</v>
      </c>
    </row>
    <row r="4951" spans="1:10" customHeight="0">
      <c r="A4951" s="0">
        <f>HYPERLINK("https://dl.dropboxusercontent.com/scl/fi/6n93r5p5uyc9qprtm619h/108962f51447.jpg?rlkey=wxdaef0ne7z7566l5jp2r4dp9&amp;dl=0","Click to download Image")</f>
      </c>
      <c r="B4951" s="0">
        <f>HYPERLINK("https://dl.dropboxusercontent.com/scl/fi/jaoohvz0bo48cnwwumg62/8-19womens-fitted.jpg?rlkey=6y6r44srifpjz3a8epss8z98s&amp;dl=0","Click to download SizeChart")</f>
      </c>
      <c r="C4951" s="0" t="inlineStr">
        <is>
          <t>Jacqueline Women's Quilted Puffer Jacket</t>
        </is>
      </c>
      <c r="D4951" s="0" t="inlineStr">
        <is>
          <t>'108962</t>
        </is>
      </c>
      <c r="E4951" s="0" t="inlineStr">
        <is>
          <t>MARQ JACQUELINE:108962E-2XL</t>
        </is>
      </c>
      <c r="F4951" s="0" t="inlineStr">
        <is>
          <t>'800108962053</t>
        </is>
      </c>
      <c r="G4951" s="0" t="inlineStr">
        <is>
          <t>WOMENS</t>
        </is>
      </c>
      <c r="H4951" s="0" t="inlineStr">
        <is>
          <t>2XL</t>
        </is>
      </c>
      <c r="I4951" s="0">
        <v>131.99</v>
      </c>
      <c r="J4951" s="0">
        <v>4</v>
      </c>
    </row>
    <row r="4952" spans="1:10" customHeight="0">
      <c r="A4952" s="0">
        <f>HYPERLINK("https://dl.dropboxusercontent.com/scl/fi/6n93r5p5uyc9qprtm619h/108962f51447.jpg?rlkey=wxdaef0ne7z7566l5jp2r4dp9&amp;dl=0","Click to download Image")</f>
      </c>
      <c r="B4952" s="0">
        <f>HYPERLINK("https://dl.dropboxusercontent.com/scl/fi/jaoohvz0bo48cnwwumg62/8-19womens-fitted.jpg?rlkey=6y6r44srifpjz3a8epss8z98s&amp;dl=0","Click to download SizeChart")</f>
      </c>
      <c r="C4952" s="0" t="inlineStr">
        <is>
          <t>Jacqueline Women's Quilted Puffer Jacket</t>
        </is>
      </c>
      <c r="D4952" s="0" t="inlineStr">
        <is>
          <t>'108962</t>
        </is>
      </c>
      <c r="E4952" s="0" t="inlineStr">
        <is>
          <t>MARQ JACQUELINE:108962F-3XL</t>
        </is>
      </c>
      <c r="F4952" s="0" t="inlineStr">
        <is>
          <t>'800108962060</t>
        </is>
      </c>
      <c r="G4952" s="0" t="inlineStr">
        <is>
          <t>WOMENS</t>
        </is>
      </c>
      <c r="H4952" s="0" t="inlineStr">
        <is>
          <t>3XL</t>
        </is>
      </c>
      <c r="I4952" s="0">
        <v>131.99</v>
      </c>
      <c r="J4952" s="0">
        <v>4</v>
      </c>
    </row>
    <row r="4953" spans="1:10" customHeight="0">
      <c r="A4953" s="0">
        <f>HYPERLINK("https://dl.dropboxusercontent.com/scl/fi/odbrytml9zdbn2sp3zyo1/109023af00968.jpg?rlkey=6w1cakaac8w0iwc1bxsi2hykq&amp;dl=0","Click to download Image")</f>
      </c>
      <c r="B4953" s="0">
        <f>HYPERLINK("https://dl.dropboxusercontent.com/scl/fi/jaoohvz0bo48cnwwumg62/8-19womens-fitted.jpg?rlkey=6y6r44srifpjz3a8epss8z98s&amp;dl=0","Click to download SizeChart")</f>
      </c>
      <c r="C4953" s="0" t="inlineStr">
        <is>
          <t>Jacqueline Women's Quilted Puffer Jacket</t>
        </is>
      </c>
      <c r="D4953" s="0" t="inlineStr">
        <is>
          <t>'109028</t>
        </is>
      </c>
      <c r="E4953" s="0" t="inlineStr">
        <is>
          <t>PURDUE JACQUELINE - WHITE:109028A-S</t>
        </is>
      </c>
      <c r="F4953" s="0" t="inlineStr">
        <is>
          <t>'800109028017</t>
        </is>
      </c>
      <c r="G4953" s="0" t="inlineStr">
        <is>
          <t>WOMENS</t>
        </is>
      </c>
      <c r="H4953" s="0" t="inlineStr">
        <is>
          <t>S</t>
        </is>
      </c>
      <c r="I4953" s="0">
        <v>129.99</v>
      </c>
      <c r="J4953" s="0">
        <v>6</v>
      </c>
    </row>
    <row r="4954" spans="1:10" customHeight="0">
      <c r="A4954" s="0">
        <f>HYPERLINK("https://dl.dropboxusercontent.com/scl/fi/odbrytml9zdbn2sp3zyo1/109023af00968.jpg?rlkey=6w1cakaac8w0iwc1bxsi2hykq&amp;dl=0","Click to download Image")</f>
      </c>
      <c r="B4954" s="0">
        <f>HYPERLINK("https://dl.dropboxusercontent.com/scl/fi/jaoohvz0bo48cnwwumg62/8-19womens-fitted.jpg?rlkey=6y6r44srifpjz3a8epss8z98s&amp;dl=0","Click to download SizeChart")</f>
      </c>
      <c r="C4954" s="0" t="inlineStr">
        <is>
          <t>Jacqueline Women's Quilted Puffer Jacket</t>
        </is>
      </c>
      <c r="D4954" s="0" t="inlineStr">
        <is>
          <t>'109028</t>
        </is>
      </c>
      <c r="E4954" s="0" t="inlineStr">
        <is>
          <t>PURDUE JACQUELINE - WHITE:109028B-M</t>
        </is>
      </c>
      <c r="F4954" s="0" t="inlineStr">
        <is>
          <t>'800109028024</t>
        </is>
      </c>
      <c r="G4954" s="0" t="inlineStr">
        <is>
          <t>WOMENS</t>
        </is>
      </c>
      <c r="H4954" s="0" t="inlineStr">
        <is>
          <t>M</t>
        </is>
      </c>
      <c r="I4954" s="0">
        <v>129.99</v>
      </c>
      <c r="J4954" s="0">
        <v>12</v>
      </c>
    </row>
    <row r="4955" spans="1:10" customHeight="0">
      <c r="A4955" s="0">
        <f>HYPERLINK("https://dl.dropboxusercontent.com/scl/fi/odbrytml9zdbn2sp3zyo1/109023af00968.jpg?rlkey=6w1cakaac8w0iwc1bxsi2hykq&amp;dl=0","Click to download Image")</f>
      </c>
      <c r="B4955" s="0">
        <f>HYPERLINK("https://dl.dropboxusercontent.com/scl/fi/jaoohvz0bo48cnwwumg62/8-19womens-fitted.jpg?rlkey=6y6r44srifpjz3a8epss8z98s&amp;dl=0","Click to download SizeChart")</f>
      </c>
      <c r="C4955" s="0" t="inlineStr">
        <is>
          <t>Jacqueline Women's Quilted Puffer Jacket</t>
        </is>
      </c>
      <c r="D4955" s="0" t="inlineStr">
        <is>
          <t>'109028</t>
        </is>
      </c>
      <c r="E4955" s="0" t="inlineStr">
        <is>
          <t>PURDUE JACQUELINE - WHITE:109028C-L</t>
        </is>
      </c>
      <c r="F4955" s="0" t="inlineStr">
        <is>
          <t>'800109028031</t>
        </is>
      </c>
      <c r="G4955" s="0" t="inlineStr">
        <is>
          <t>WOMENS</t>
        </is>
      </c>
      <c r="H4955" s="0" t="inlineStr">
        <is>
          <t>L</t>
        </is>
      </c>
      <c r="I4955" s="0">
        <v>129.99</v>
      </c>
      <c r="J4955" s="0">
        <v>12</v>
      </c>
    </row>
    <row r="4956" spans="1:10" customHeight="0">
      <c r="A4956" s="0">
        <f>HYPERLINK("https://dl.dropboxusercontent.com/scl/fi/odbrytml9zdbn2sp3zyo1/109023af00968.jpg?rlkey=6w1cakaac8w0iwc1bxsi2hykq&amp;dl=0","Click to download Image")</f>
      </c>
      <c r="B4956" s="0">
        <f>HYPERLINK("https://dl.dropboxusercontent.com/scl/fi/jaoohvz0bo48cnwwumg62/8-19womens-fitted.jpg?rlkey=6y6r44srifpjz3a8epss8z98s&amp;dl=0","Click to download SizeChart")</f>
      </c>
      <c r="C4956" s="0" t="inlineStr">
        <is>
          <t>Jacqueline Women's Quilted Puffer Jacket</t>
        </is>
      </c>
      <c r="D4956" s="0" t="inlineStr">
        <is>
          <t>'109028</t>
        </is>
      </c>
      <c r="E4956" s="0" t="inlineStr">
        <is>
          <t>PURDUE JACQUELINE - WHITE:109028D-XL</t>
        </is>
      </c>
      <c r="F4956" s="0" t="inlineStr">
        <is>
          <t>'800109028048</t>
        </is>
      </c>
      <c r="G4956" s="0" t="inlineStr">
        <is>
          <t>WOMENS</t>
        </is>
      </c>
      <c r="H4956" s="0" t="inlineStr">
        <is>
          <t>XL</t>
        </is>
      </c>
      <c r="I4956" s="0">
        <v>129.99</v>
      </c>
      <c r="J4956" s="0">
        <v>6</v>
      </c>
    </row>
    <row r="4957" spans="1:10" customHeight="0">
      <c r="A4957" s="0">
        <f>HYPERLINK("https://dl.dropboxusercontent.com/scl/fi/odbrytml9zdbn2sp3zyo1/109023af00968.jpg?rlkey=6w1cakaac8w0iwc1bxsi2hykq&amp;dl=0","Click to download Image")</f>
      </c>
      <c r="B4957" s="0">
        <f>HYPERLINK("https://dl.dropboxusercontent.com/scl/fi/jaoohvz0bo48cnwwumg62/8-19womens-fitted.jpg?rlkey=6y6r44srifpjz3a8epss8z98s&amp;dl=0","Click to download SizeChart")</f>
      </c>
      <c r="C4957" s="0" t="inlineStr">
        <is>
          <t>Jacqueline Women's Quilted Puffer Jacket</t>
        </is>
      </c>
      <c r="D4957" s="0" t="inlineStr">
        <is>
          <t>'109028</t>
        </is>
      </c>
      <c r="E4957" s="0" t="inlineStr">
        <is>
          <t>PURDUE JACQUELINE - WHITE:109028E-2XL</t>
        </is>
      </c>
      <c r="F4957" s="0" t="inlineStr">
        <is>
          <t>'800109028055</t>
        </is>
      </c>
      <c r="G4957" s="0" t="inlineStr">
        <is>
          <t>WOMENS</t>
        </is>
      </c>
      <c r="H4957" s="0" t="inlineStr">
        <is>
          <t>2XL</t>
        </is>
      </c>
      <c r="I4957" s="0">
        <v>131.99</v>
      </c>
      <c r="J4957" s="0">
        <v>1</v>
      </c>
    </row>
    <row r="4958" spans="1:10" customHeight="0">
      <c r="A4958" s="0">
        <f>HYPERLINK("https://dl.dropboxusercontent.com/scl/fi/odbrytml9zdbn2sp3zyo1/109023af00968.jpg?rlkey=6w1cakaac8w0iwc1bxsi2hykq&amp;dl=0","Click to download Image")</f>
      </c>
      <c r="B4958" s="0">
        <f>HYPERLINK("https://dl.dropboxusercontent.com/scl/fi/jaoohvz0bo48cnwwumg62/8-19womens-fitted.jpg?rlkey=6y6r44srifpjz3a8epss8z98s&amp;dl=0","Click to download SizeChart")</f>
      </c>
      <c r="C4958" s="0" t="inlineStr">
        <is>
          <t>Jacqueline Women's Quilted Puffer Jacket</t>
        </is>
      </c>
      <c r="D4958" s="0" t="inlineStr">
        <is>
          <t>'109028</t>
        </is>
      </c>
      <c r="E4958" s="0" t="inlineStr">
        <is>
          <t>PURDUE JACQUELINE - WHITE:109028F-3XL</t>
        </is>
      </c>
      <c r="F4958" s="0" t="inlineStr">
        <is>
          <t>'800109028062</t>
        </is>
      </c>
      <c r="G4958" s="0" t="inlineStr">
        <is>
          <t>WOMENS</t>
        </is>
      </c>
      <c r="H4958" s="0" t="inlineStr">
        <is>
          <t>3XL</t>
        </is>
      </c>
      <c r="I4958" s="0">
        <v>131.99</v>
      </c>
      <c r="J4958" s="0">
        <v>0</v>
      </c>
    </row>
    <row r="4959" spans="1:10" customHeight="0">
      <c r="A4959" s="0">
        <f>HYPERLINK("https://dl.dropboxusercontent.com/scl/fi/vb00juyplf5wl0dbof5j9/109029f67785.jpg?rlkey=uzv8b1y2kc5dw8ljvzdrktuet&amp;dl=0","Click to download Image")</f>
      </c>
      <c r="B4959" s="0">
        <f>HYPERLINK("https://dl.dropboxusercontent.com/scl/fi/jaoohvz0bo48cnwwumg62/8-19womens-fitted.jpg?rlkey=6y6r44srifpjz3a8epss8z98s&amp;dl=0","Click to download SizeChart")</f>
      </c>
      <c r="C4959" s="0" t="inlineStr">
        <is>
          <t>Jacqueline Women's Quilted Puffer Jacket</t>
        </is>
      </c>
      <c r="D4959" s="0" t="inlineStr">
        <is>
          <t>'109029</t>
        </is>
      </c>
      <c r="E4959" s="0" t="inlineStr">
        <is>
          <t>MU JACQUELINE - WHITE:109029A-S</t>
        </is>
      </c>
      <c r="F4959" s="0" t="inlineStr">
        <is>
          <t>'800109029014</t>
        </is>
      </c>
      <c r="G4959" s="0" t="inlineStr">
        <is>
          <t>WOMENS</t>
        </is>
      </c>
      <c r="H4959" s="0" t="inlineStr">
        <is>
          <t>S</t>
        </is>
      </c>
      <c r="I4959" s="0">
        <v>129.99</v>
      </c>
      <c r="J4959" s="0">
        <v>5</v>
      </c>
    </row>
    <row r="4960" spans="1:10" customHeight="0">
      <c r="A4960" s="0">
        <f>HYPERLINK("https://dl.dropboxusercontent.com/scl/fi/vb00juyplf5wl0dbof5j9/109029f67785.jpg?rlkey=uzv8b1y2kc5dw8ljvzdrktuet&amp;dl=0","Click to download Image")</f>
      </c>
      <c r="B4960" s="0">
        <f>HYPERLINK("https://dl.dropboxusercontent.com/scl/fi/jaoohvz0bo48cnwwumg62/8-19womens-fitted.jpg?rlkey=6y6r44srifpjz3a8epss8z98s&amp;dl=0","Click to download SizeChart")</f>
      </c>
      <c r="C4960" s="0" t="inlineStr">
        <is>
          <t>Jacqueline Women's Quilted Puffer Jacket</t>
        </is>
      </c>
      <c r="D4960" s="0" t="inlineStr">
        <is>
          <t>'109029</t>
        </is>
      </c>
      <c r="E4960" s="0" t="inlineStr">
        <is>
          <t>MU JACQUELINE - WHITE:109029B-M</t>
        </is>
      </c>
      <c r="F4960" s="0" t="inlineStr">
        <is>
          <t>'800109029021</t>
        </is>
      </c>
      <c r="G4960" s="0" t="inlineStr">
        <is>
          <t>WOMENS</t>
        </is>
      </c>
      <c r="H4960" s="0" t="inlineStr">
        <is>
          <t>M</t>
        </is>
      </c>
      <c r="I4960" s="0">
        <v>129.99</v>
      </c>
      <c r="J4960" s="0">
        <v>11</v>
      </c>
    </row>
    <row r="4961" spans="1:10" customHeight="0">
      <c r="A4961" s="0">
        <f>HYPERLINK("https://dl.dropboxusercontent.com/scl/fi/vb00juyplf5wl0dbof5j9/109029f67785.jpg?rlkey=uzv8b1y2kc5dw8ljvzdrktuet&amp;dl=0","Click to download Image")</f>
      </c>
      <c r="B4961" s="0">
        <f>HYPERLINK("https://dl.dropboxusercontent.com/scl/fi/jaoohvz0bo48cnwwumg62/8-19womens-fitted.jpg?rlkey=6y6r44srifpjz3a8epss8z98s&amp;dl=0","Click to download SizeChart")</f>
      </c>
      <c r="C4961" s="0" t="inlineStr">
        <is>
          <t>Jacqueline Women's Quilted Puffer Jacket</t>
        </is>
      </c>
      <c r="D4961" s="0" t="inlineStr">
        <is>
          <t>'109029</t>
        </is>
      </c>
      <c r="E4961" s="0" t="inlineStr">
        <is>
          <t>MU JACQUELINE - WHITE:109029C-L</t>
        </is>
      </c>
      <c r="F4961" s="0" t="inlineStr">
        <is>
          <t>'800109029038</t>
        </is>
      </c>
      <c r="G4961" s="0" t="inlineStr">
        <is>
          <t>WOMENS</t>
        </is>
      </c>
      <c r="H4961" s="0" t="inlineStr">
        <is>
          <t>L</t>
        </is>
      </c>
      <c r="I4961" s="0">
        <v>129.99</v>
      </c>
      <c r="J4961" s="0">
        <v>12</v>
      </c>
    </row>
    <row r="4962" spans="1:10" customHeight="0">
      <c r="A4962" s="0">
        <f>HYPERLINK("https://dl.dropboxusercontent.com/scl/fi/vb00juyplf5wl0dbof5j9/109029f67785.jpg?rlkey=uzv8b1y2kc5dw8ljvzdrktuet&amp;dl=0","Click to download Image")</f>
      </c>
      <c r="B4962" s="0">
        <f>HYPERLINK("https://dl.dropboxusercontent.com/scl/fi/jaoohvz0bo48cnwwumg62/8-19womens-fitted.jpg?rlkey=6y6r44srifpjz3a8epss8z98s&amp;dl=0","Click to download SizeChart")</f>
      </c>
      <c r="C4962" s="0" t="inlineStr">
        <is>
          <t>Jacqueline Women's Quilted Puffer Jacket</t>
        </is>
      </c>
      <c r="D4962" s="0" t="inlineStr">
        <is>
          <t>'109029</t>
        </is>
      </c>
      <c r="E4962" s="0" t="inlineStr">
        <is>
          <t>MU JACQUELINE - WHITE:109029D-XL</t>
        </is>
      </c>
      <c r="F4962" s="0" t="inlineStr">
        <is>
          <t>'800109029045</t>
        </is>
      </c>
      <c r="G4962" s="0" t="inlineStr">
        <is>
          <t>WOMENS</t>
        </is>
      </c>
      <c r="H4962" s="0" t="inlineStr">
        <is>
          <t>XL</t>
        </is>
      </c>
      <c r="I4962" s="0">
        <v>129.99</v>
      </c>
      <c r="J4962" s="0">
        <v>5</v>
      </c>
    </row>
    <row r="4963" spans="1:10" customHeight="0">
      <c r="A4963" s="0">
        <f>HYPERLINK("https://dl.dropboxusercontent.com/scl/fi/vb00juyplf5wl0dbof5j9/109029f67785.jpg?rlkey=uzv8b1y2kc5dw8ljvzdrktuet&amp;dl=0","Click to download Image")</f>
      </c>
      <c r="B4963" s="0">
        <f>HYPERLINK("https://dl.dropboxusercontent.com/scl/fi/jaoohvz0bo48cnwwumg62/8-19womens-fitted.jpg?rlkey=6y6r44srifpjz3a8epss8z98s&amp;dl=0","Click to download SizeChart")</f>
      </c>
      <c r="C4963" s="0" t="inlineStr">
        <is>
          <t>Jacqueline Women's Quilted Puffer Jacket</t>
        </is>
      </c>
      <c r="D4963" s="0" t="inlineStr">
        <is>
          <t>'109029</t>
        </is>
      </c>
      <c r="E4963" s="0" t="inlineStr">
        <is>
          <t>MU JACQUELINE - WHITE:109029E-2XL</t>
        </is>
      </c>
      <c r="F4963" s="0" t="inlineStr">
        <is>
          <t>'800109029052</t>
        </is>
      </c>
      <c r="G4963" s="0" t="inlineStr">
        <is>
          <t>WOMENS</t>
        </is>
      </c>
      <c r="H4963" s="0" t="inlineStr">
        <is>
          <t>2XL</t>
        </is>
      </c>
      <c r="I4963" s="0">
        <v>131.99</v>
      </c>
      <c r="J4963" s="0">
        <v>1</v>
      </c>
    </row>
    <row r="4964" spans="1:10" customHeight="0">
      <c r="A4964" s="0">
        <f>HYPERLINK("https://dl.dropboxusercontent.com/scl/fi/vb00juyplf5wl0dbof5j9/109029f67785.jpg?rlkey=uzv8b1y2kc5dw8ljvzdrktuet&amp;dl=0","Click to download Image")</f>
      </c>
      <c r="B4964" s="0">
        <f>HYPERLINK("https://dl.dropboxusercontent.com/scl/fi/jaoohvz0bo48cnwwumg62/8-19womens-fitted.jpg?rlkey=6y6r44srifpjz3a8epss8z98s&amp;dl=0","Click to download SizeChart")</f>
      </c>
      <c r="C4964" s="0" t="inlineStr">
        <is>
          <t>Jacqueline Women's Quilted Puffer Jacket</t>
        </is>
      </c>
      <c r="D4964" s="0" t="inlineStr">
        <is>
          <t>'109029</t>
        </is>
      </c>
      <c r="E4964" s="0" t="inlineStr">
        <is>
          <t>MU JACQUELINE - WHITE:109029F-3XL</t>
        </is>
      </c>
      <c r="F4964" s="0" t="inlineStr">
        <is>
          <t>'800109029069</t>
        </is>
      </c>
      <c r="G4964" s="0" t="inlineStr">
        <is>
          <t>WOMENS</t>
        </is>
      </c>
      <c r="H4964" s="0" t="inlineStr">
        <is>
          <t>3XL</t>
        </is>
      </c>
      <c r="I4964" s="0">
        <v>131.99</v>
      </c>
      <c r="J4964" s="0">
        <v>1</v>
      </c>
    </row>
    <row r="4965" spans="1:10" customHeight="0">
      <c r="A4965" s="0">
        <f>HYPERLINK("https://dl.dropboxusercontent.com/scl/fi/sd50o98kxbzozo06jlni8/109030f18850.jpg?rlkey=9zmxohzw0bqwy0yyh2lk4xxtc&amp;dl=0","Click to download Image")</f>
      </c>
      <c r="B4965" s="0">
        <f>HYPERLINK("https://dl.dropboxusercontent.com/scl/fi/jaoohvz0bo48cnwwumg62/8-19womens-fitted.jpg?rlkey=6y6r44srifpjz3a8epss8z98s&amp;dl=0","Click to download SizeChart")</f>
      </c>
      <c r="C4965" s="0" t="inlineStr">
        <is>
          <t>Jacqueline Women's Quilted Puffer Jacket</t>
        </is>
      </c>
      <c r="D4965" s="0" t="inlineStr">
        <is>
          <t>'109030</t>
        </is>
      </c>
      <c r="E4965" s="0" t="inlineStr">
        <is>
          <t>KSU JACQUELINE - WHITE:109030A-S</t>
        </is>
      </c>
      <c r="F4965" s="0" t="inlineStr">
        <is>
          <t>'800109030010</t>
        </is>
      </c>
      <c r="G4965" s="0" t="inlineStr">
        <is>
          <t>WOMENS</t>
        </is>
      </c>
      <c r="H4965" s="0" t="inlineStr">
        <is>
          <t>S</t>
        </is>
      </c>
      <c r="I4965" s="0">
        <v>129.99</v>
      </c>
      <c r="J4965" s="0">
        <v>3</v>
      </c>
    </row>
    <row r="4966" spans="1:10" customHeight="0">
      <c r="A4966" s="0">
        <f>HYPERLINK("https://dl.dropboxusercontent.com/scl/fi/sd50o98kxbzozo06jlni8/109030f18850.jpg?rlkey=9zmxohzw0bqwy0yyh2lk4xxtc&amp;dl=0","Click to download Image")</f>
      </c>
      <c r="B4966" s="0">
        <f>HYPERLINK("https://dl.dropboxusercontent.com/scl/fi/jaoohvz0bo48cnwwumg62/8-19womens-fitted.jpg?rlkey=6y6r44srifpjz3a8epss8z98s&amp;dl=0","Click to download SizeChart")</f>
      </c>
      <c r="C4966" s="0" t="inlineStr">
        <is>
          <t>Jacqueline Women's Quilted Puffer Jacket</t>
        </is>
      </c>
      <c r="D4966" s="0" t="inlineStr">
        <is>
          <t>'109030</t>
        </is>
      </c>
      <c r="E4966" s="0" t="inlineStr">
        <is>
          <t>KSU JACQUELINE - WHITE:109030B-M</t>
        </is>
      </c>
      <c r="F4966" s="0" t="inlineStr">
        <is>
          <t>'800109030027</t>
        </is>
      </c>
      <c r="G4966" s="0" t="inlineStr">
        <is>
          <t>WOMENS</t>
        </is>
      </c>
      <c r="H4966" s="0" t="inlineStr">
        <is>
          <t>M</t>
        </is>
      </c>
      <c r="I4966" s="0">
        <v>129.99</v>
      </c>
      <c r="J4966" s="0">
        <v>10</v>
      </c>
    </row>
    <row r="4967" spans="1:10" customHeight="0">
      <c r="A4967" s="0">
        <f>HYPERLINK("https://dl.dropboxusercontent.com/scl/fi/sd50o98kxbzozo06jlni8/109030f18850.jpg?rlkey=9zmxohzw0bqwy0yyh2lk4xxtc&amp;dl=0","Click to download Image")</f>
      </c>
      <c r="B4967" s="0">
        <f>HYPERLINK("https://dl.dropboxusercontent.com/scl/fi/jaoohvz0bo48cnwwumg62/8-19womens-fitted.jpg?rlkey=6y6r44srifpjz3a8epss8z98s&amp;dl=0","Click to download SizeChart")</f>
      </c>
      <c r="C4967" s="0" t="inlineStr">
        <is>
          <t>Jacqueline Women's Quilted Puffer Jacket</t>
        </is>
      </c>
      <c r="D4967" s="0" t="inlineStr">
        <is>
          <t>'109030</t>
        </is>
      </c>
      <c r="E4967" s="0" t="inlineStr">
        <is>
          <t>KSU JACQUELINE - WHITE:109030C-L</t>
        </is>
      </c>
      <c r="F4967" s="0" t="inlineStr">
        <is>
          <t>'800109030034</t>
        </is>
      </c>
      <c r="G4967" s="0" t="inlineStr">
        <is>
          <t>WOMENS</t>
        </is>
      </c>
      <c r="H4967" s="0" t="inlineStr">
        <is>
          <t>L</t>
        </is>
      </c>
      <c r="I4967" s="0">
        <v>129.99</v>
      </c>
      <c r="J4967" s="0">
        <v>10</v>
      </c>
    </row>
    <row r="4968" spans="1:10" customHeight="0">
      <c r="A4968" s="0">
        <f>HYPERLINK("https://dl.dropboxusercontent.com/scl/fi/sd50o98kxbzozo06jlni8/109030f18850.jpg?rlkey=9zmxohzw0bqwy0yyh2lk4xxtc&amp;dl=0","Click to download Image")</f>
      </c>
      <c r="B4968" s="0">
        <f>HYPERLINK("https://dl.dropboxusercontent.com/scl/fi/jaoohvz0bo48cnwwumg62/8-19womens-fitted.jpg?rlkey=6y6r44srifpjz3a8epss8z98s&amp;dl=0","Click to download SizeChart")</f>
      </c>
      <c r="C4968" s="0" t="inlineStr">
        <is>
          <t>Jacqueline Women's Quilted Puffer Jacket</t>
        </is>
      </c>
      <c r="D4968" s="0" t="inlineStr">
        <is>
          <t>'109030</t>
        </is>
      </c>
      <c r="E4968" s="0" t="inlineStr">
        <is>
          <t>KSU JACQUELINE - WHITE:109030D-XL</t>
        </is>
      </c>
      <c r="F4968" s="0" t="inlineStr">
        <is>
          <t>'800109030041</t>
        </is>
      </c>
      <c r="G4968" s="0" t="inlineStr">
        <is>
          <t>WOMENS</t>
        </is>
      </c>
      <c r="H4968" s="0" t="inlineStr">
        <is>
          <t>XL</t>
        </is>
      </c>
      <c r="I4968" s="0">
        <v>129.99</v>
      </c>
      <c r="J4968" s="0">
        <v>6</v>
      </c>
    </row>
    <row r="4969" spans="1:10" customHeight="0">
      <c r="A4969" s="0">
        <f>HYPERLINK("https://dl.dropboxusercontent.com/scl/fi/sd50o98kxbzozo06jlni8/109030f18850.jpg?rlkey=9zmxohzw0bqwy0yyh2lk4xxtc&amp;dl=0","Click to download Image")</f>
      </c>
      <c r="B4969" s="0">
        <f>HYPERLINK("https://dl.dropboxusercontent.com/scl/fi/jaoohvz0bo48cnwwumg62/8-19womens-fitted.jpg?rlkey=6y6r44srifpjz3a8epss8z98s&amp;dl=0","Click to download SizeChart")</f>
      </c>
      <c r="C4969" s="0" t="inlineStr">
        <is>
          <t>Jacqueline Women's Quilted Puffer Jacket</t>
        </is>
      </c>
      <c r="D4969" s="0" t="inlineStr">
        <is>
          <t>'109030</t>
        </is>
      </c>
      <c r="E4969" s="0" t="inlineStr">
        <is>
          <t>KSU JACQUELINE - WHITE:109030E-2XL</t>
        </is>
      </c>
      <c r="F4969" s="0" t="inlineStr">
        <is>
          <t>'800109030058</t>
        </is>
      </c>
      <c r="G4969" s="0" t="inlineStr">
        <is>
          <t>WOMENS</t>
        </is>
      </c>
      <c r="H4969" s="0" t="inlineStr">
        <is>
          <t>2XL</t>
        </is>
      </c>
      <c r="I4969" s="0">
        <v>131.99</v>
      </c>
      <c r="J4969" s="0">
        <v>1</v>
      </c>
    </row>
    <row r="4970" spans="1:10" customHeight="0">
      <c r="A4970" s="0">
        <f>HYPERLINK("https://dl.dropboxusercontent.com/scl/fi/sd50o98kxbzozo06jlni8/109030f18850.jpg?rlkey=9zmxohzw0bqwy0yyh2lk4xxtc&amp;dl=0","Click to download Image")</f>
      </c>
      <c r="B4970" s="0">
        <f>HYPERLINK("https://dl.dropboxusercontent.com/scl/fi/jaoohvz0bo48cnwwumg62/8-19womens-fitted.jpg?rlkey=6y6r44srifpjz3a8epss8z98s&amp;dl=0","Click to download SizeChart")</f>
      </c>
      <c r="C4970" s="0" t="inlineStr">
        <is>
          <t>Jacqueline Women's Quilted Puffer Jacket</t>
        </is>
      </c>
      <c r="D4970" s="0" t="inlineStr">
        <is>
          <t>'109030</t>
        </is>
      </c>
      <c r="E4970" s="0" t="inlineStr">
        <is>
          <t>KSU JACQUELINE - WHITE:109030F-3XL</t>
        </is>
      </c>
      <c r="F4970" s="0" t="inlineStr">
        <is>
          <t>'800109030065</t>
        </is>
      </c>
      <c r="G4970" s="0" t="inlineStr">
        <is>
          <t>WOMENS</t>
        </is>
      </c>
      <c r="H4970" s="0" t="inlineStr">
        <is>
          <t>3XL</t>
        </is>
      </c>
      <c r="I4970" s="0">
        <v>131.99</v>
      </c>
      <c r="J4970" s="0">
        <v>1</v>
      </c>
    </row>
    <row r="4971" spans="1:10" customHeight="0">
      <c r="A4971" s="0">
        <f>HYPERLINK("https://dl.dropboxusercontent.com/scl/fi/cynotq7zyumx2g2q6bysn/97918-af90812.jpg?rlkey=yqo6mvx1wbw8jla1x7kb3x6r6&amp;dl=0","Click to download Image")</f>
      </c>
      <c r="C4971" s="0" t="inlineStr">
        <is>
          <t>Boone Realtree Camo Men's Cap</t>
        </is>
      </c>
      <c r="D4971" s="0" t="inlineStr">
        <is>
          <t>'97918</t>
        </is>
      </c>
      <c r="E4971" s="0" t="inlineStr">
        <is>
          <t>REALTREE:97918</t>
        </is>
      </c>
      <c r="F4971" s="0" t="inlineStr">
        <is>
          <t>'000000000000</t>
        </is>
      </c>
      <c r="G4971" s="0" t="inlineStr">
        <is>
          <t>MENS</t>
        </is>
      </c>
      <c r="H4971" s="0" t="inlineStr">
        <is>
          <t>STANDARD MENS</t>
        </is>
      </c>
      <c r="I4971" s="0">
        <v>19.99</v>
      </c>
      <c r="J4971" s="0">
        <v>40</v>
      </c>
    </row>
    <row r="4972" spans="1:10" customHeight="0">
      <c r="A4972" s="0">
        <f>HYPERLINK("https://dl.dropboxusercontent.com/scl/fi/smmaxqhyetekm4da988cm/97922-af62113.jpg?rlkey=6yyjsiotijgg350zyoe0soe2u&amp;dl=0","Click to download Image")</f>
      </c>
      <c r="C4972" s="0" t="inlineStr">
        <is>
          <t>Corbett Realtree Camo Men's Cap</t>
        </is>
      </c>
      <c r="D4972" s="0" t="inlineStr">
        <is>
          <t>'97922</t>
        </is>
      </c>
      <c r="E4972" s="0" t="inlineStr">
        <is>
          <t>REALTREE:97922</t>
        </is>
      </c>
      <c r="F4972" s="0" t="inlineStr">
        <is>
          <t>'000000000000</t>
        </is>
      </c>
      <c r="G4972" s="0" t="inlineStr">
        <is>
          <t>MENS</t>
        </is>
      </c>
      <c r="H4972" s="0" t="inlineStr">
        <is>
          <t>STANDARD MENS</t>
        </is>
      </c>
      <c r="I4972" s="0">
        <v>19.99</v>
      </c>
      <c r="J4972" s="0">
        <v>147</v>
      </c>
    </row>
    <row r="4973" spans="1:10" customHeight="0">
      <c r="A4973" s="0">
        <f>HYPERLINK("https://dl.dropboxusercontent.com/scl/fi/ts80a51jmlu2lhlsopwox/97915af-rt04175.jpg?rlkey=d892rknavru317n23f0xvwskb&amp;dl=0","Click to download Image")</f>
      </c>
      <c r="C4973" s="0" t="inlineStr">
        <is>
          <t>O'Connor Realtree Camo Men's Cap</t>
        </is>
      </c>
      <c r="D4973" s="0" t="inlineStr">
        <is>
          <t>'97915B</t>
        </is>
      </c>
      <c r="E4973" s="0" t="inlineStr">
        <is>
          <t>BLANK OCONNOR:97915B</t>
        </is>
      </c>
      <c r="F4973" s="0" t="inlineStr">
        <is>
          <t>'000000000000</t>
        </is>
      </c>
      <c r="G4973" s="0" t="inlineStr">
        <is>
          <t>MENS</t>
        </is>
      </c>
      <c r="H4973" s="0" t="inlineStr">
        <is>
          <t>STANDARD MENS</t>
        </is>
      </c>
      <c r="I4973" s="0">
        <v>19.99</v>
      </c>
      <c r="J4973" s="0">
        <v>44</v>
      </c>
    </row>
    <row r="4974" spans="1:10" customHeight="0">
      <c r="A4974" s="0">
        <f>HYPERLINK("https://dl.dropboxusercontent.com/scl/fi/uwxy3dtqrk2r5olu3iudk/102300f09341.jpg?rlkey=cxq3qnixr72xopuabsohgvqqe&amp;dl=0","Click to download Image")</f>
      </c>
      <c r="C4974" s="0" t="inlineStr">
        <is>
          <t>Dane Realtree Camo 1/2 Zip Men's Pullover</t>
        </is>
      </c>
      <c r="D4974" s="0" t="inlineStr">
        <is>
          <t>'102300</t>
        </is>
      </c>
      <c r="E4974" s="0" t="inlineStr">
        <is>
          <t>REALTREE:102300A-S</t>
        </is>
      </c>
      <c r="F4974" s="0" t="inlineStr">
        <is>
          <t>'000000000000</t>
        </is>
      </c>
      <c r="G4974" s="0" t="inlineStr">
        <is>
          <t>MENS</t>
        </is>
      </c>
      <c r="H4974" s="0" t="inlineStr">
        <is>
          <t>S</t>
        </is>
      </c>
      <c r="I4974" s="0">
        <v>59.99</v>
      </c>
      <c r="J4974" s="0">
        <v>129</v>
      </c>
    </row>
    <row r="4975" spans="1:10" customHeight="0">
      <c r="A4975" s="0">
        <f>HYPERLINK("https://dl.dropboxusercontent.com/scl/fi/uwxy3dtqrk2r5olu3iudk/102300f09341.jpg?rlkey=cxq3qnixr72xopuabsohgvqqe&amp;dl=0","Click to download Image")</f>
      </c>
      <c r="C4975" s="0" t="inlineStr">
        <is>
          <t>Dane Realtree Camo 1/2 Zip Men's Pullover</t>
        </is>
      </c>
      <c r="D4975" s="0" t="inlineStr">
        <is>
          <t>'102300</t>
        </is>
      </c>
      <c r="E4975" s="0" t="inlineStr">
        <is>
          <t>REALTREE:102300B-M</t>
        </is>
      </c>
      <c r="F4975" s="0" t="inlineStr">
        <is>
          <t>'000000000000</t>
        </is>
      </c>
      <c r="G4975" s="0" t="inlineStr">
        <is>
          <t>MENS</t>
        </is>
      </c>
      <c r="H4975" s="0" t="inlineStr">
        <is>
          <t>M</t>
        </is>
      </c>
      <c r="I4975" s="0">
        <v>59.99</v>
      </c>
      <c r="J4975" s="0">
        <v>148</v>
      </c>
    </row>
    <row r="4976" spans="1:10" customHeight="0">
      <c r="A4976" s="0">
        <f>HYPERLINK("https://dl.dropboxusercontent.com/scl/fi/uwxy3dtqrk2r5olu3iudk/102300f09341.jpg?rlkey=cxq3qnixr72xopuabsohgvqqe&amp;dl=0","Click to download Image")</f>
      </c>
      <c r="C4976" s="0" t="inlineStr">
        <is>
          <t>Dane Realtree Camo 1/2 Zip Men's Pullover</t>
        </is>
      </c>
      <c r="D4976" s="0" t="inlineStr">
        <is>
          <t>'102300</t>
        </is>
      </c>
      <c r="E4976" s="0" t="inlineStr">
        <is>
          <t>REALTREE:102300C-L</t>
        </is>
      </c>
      <c r="F4976" s="0" t="inlineStr">
        <is>
          <t>'000000000000</t>
        </is>
      </c>
      <c r="G4976" s="0" t="inlineStr">
        <is>
          <t>MENS</t>
        </is>
      </c>
      <c r="H4976" s="0" t="inlineStr">
        <is>
          <t>L</t>
        </is>
      </c>
      <c r="I4976" s="0">
        <v>59.99</v>
      </c>
      <c r="J4976" s="0">
        <v>152</v>
      </c>
    </row>
    <row r="4977" spans="1:10" customHeight="0">
      <c r="A4977" s="0">
        <f>HYPERLINK("https://dl.dropboxusercontent.com/scl/fi/uwxy3dtqrk2r5olu3iudk/102300f09341.jpg?rlkey=cxq3qnixr72xopuabsohgvqqe&amp;dl=0","Click to download Image")</f>
      </c>
      <c r="C4977" s="0" t="inlineStr">
        <is>
          <t>Dane Realtree Camo 1/2 Zip Men's Pullover</t>
        </is>
      </c>
      <c r="D4977" s="0" t="inlineStr">
        <is>
          <t>'102300</t>
        </is>
      </c>
      <c r="E4977" s="0" t="inlineStr">
        <is>
          <t>REALTREE:102300D-XL</t>
        </is>
      </c>
      <c r="F4977" s="0" t="inlineStr">
        <is>
          <t>'000000000000</t>
        </is>
      </c>
      <c r="G4977" s="0" t="inlineStr">
        <is>
          <t>MENS</t>
        </is>
      </c>
      <c r="H4977" s="0" t="inlineStr">
        <is>
          <t>XL</t>
        </is>
      </c>
      <c r="I4977" s="0">
        <v>59.99</v>
      </c>
      <c r="J4977" s="0">
        <v>177</v>
      </c>
    </row>
    <row r="4978" spans="1:10" customHeight="0">
      <c r="A4978" s="0">
        <f>HYPERLINK("https://dl.dropboxusercontent.com/scl/fi/uwxy3dtqrk2r5olu3iudk/102300f09341.jpg?rlkey=cxq3qnixr72xopuabsohgvqqe&amp;dl=0","Click to download Image")</f>
      </c>
      <c r="C4978" s="0" t="inlineStr">
        <is>
          <t>Dane Realtree Camo 1/2 Zip Men's Pullover</t>
        </is>
      </c>
      <c r="D4978" s="0" t="inlineStr">
        <is>
          <t>'102300</t>
        </is>
      </c>
      <c r="E4978" s="0" t="inlineStr">
        <is>
          <t>REALTREE:102300E-2XL</t>
        </is>
      </c>
      <c r="F4978" s="0" t="inlineStr">
        <is>
          <t>'000000000000</t>
        </is>
      </c>
      <c r="G4978" s="0" t="inlineStr">
        <is>
          <t>MENS</t>
        </is>
      </c>
      <c r="H4978" s="0" t="inlineStr">
        <is>
          <t>2XL</t>
        </is>
      </c>
      <c r="I4978" s="0">
        <v>61.99</v>
      </c>
      <c r="J4978" s="0">
        <v>129</v>
      </c>
    </row>
    <row r="4979" spans="1:10" customHeight="0">
      <c r="A4979" s="0">
        <f>HYPERLINK("https://dl.dropboxusercontent.com/scl/fi/uwxy3dtqrk2r5olu3iudk/102300f09341.jpg?rlkey=cxq3qnixr72xopuabsohgvqqe&amp;dl=0","Click to download Image")</f>
      </c>
      <c r="C4979" s="0" t="inlineStr">
        <is>
          <t>Dane Realtree Camo 1/2 Zip Men's Pullover</t>
        </is>
      </c>
      <c r="D4979" s="0" t="inlineStr">
        <is>
          <t>'102300</t>
        </is>
      </c>
      <c r="E4979" s="0" t="inlineStr">
        <is>
          <t>REALTREE:102300F-3XL</t>
        </is>
      </c>
      <c r="F4979" s="0" t="inlineStr">
        <is>
          <t>'000000000000</t>
        </is>
      </c>
      <c r="G4979" s="0" t="inlineStr">
        <is>
          <t>MENS</t>
        </is>
      </c>
      <c r="H4979" s="0" t="inlineStr">
        <is>
          <t>3XL</t>
        </is>
      </c>
      <c r="I4979" s="0">
        <v>61.99</v>
      </c>
      <c r="J4979" s="0">
        <v>100</v>
      </c>
    </row>
    <row r="4980" spans="1:10" customHeight="0">
      <c r="A4980" s="0">
        <f>HYPERLINK("https://dl.dropboxusercontent.com/scl/fi/402x5kijfofosx78w9nbl/102306f15463.jpg?rlkey=huw6ylu0w0g03dx5vjb9wy0ek&amp;dl=0","Click to download Image")</f>
      </c>
      <c r="C4980" s="0" t="inlineStr">
        <is>
          <t>Dane Realtree Camo 1/2 Zip Women's Pullover</t>
        </is>
      </c>
      <c r="D4980" s="0" t="inlineStr">
        <is>
          <t>'102306</t>
        </is>
      </c>
      <c r="E4980" s="0" t="inlineStr">
        <is>
          <t>REALTREE:102306A-S</t>
        </is>
      </c>
      <c r="F4980" s="0" t="inlineStr">
        <is>
          <t>'000000000000</t>
        </is>
      </c>
      <c r="G4980" s="0" t="inlineStr">
        <is>
          <t>WOMENS</t>
        </is>
      </c>
      <c r="H4980" s="0" t="inlineStr">
        <is>
          <t>S</t>
        </is>
      </c>
      <c r="I4980" s="0">
        <v>59.99</v>
      </c>
      <c r="J4980" s="0">
        <v>17</v>
      </c>
    </row>
    <row r="4981" spans="1:10" customHeight="0">
      <c r="A4981" s="0">
        <f>HYPERLINK("https://dl.dropboxusercontent.com/scl/fi/402x5kijfofosx78w9nbl/102306f15463.jpg?rlkey=huw6ylu0w0g03dx5vjb9wy0ek&amp;dl=0","Click to download Image")</f>
      </c>
      <c r="C4981" s="0" t="inlineStr">
        <is>
          <t>Dane Realtree Camo 1/2 Zip Women's Pullover</t>
        </is>
      </c>
      <c r="D4981" s="0" t="inlineStr">
        <is>
          <t>'102306</t>
        </is>
      </c>
      <c r="E4981" s="0" t="inlineStr">
        <is>
          <t>REALTREE:102306B-M</t>
        </is>
      </c>
      <c r="F4981" s="0" t="inlineStr">
        <is>
          <t>'000000000000</t>
        </is>
      </c>
      <c r="G4981" s="0" t="inlineStr">
        <is>
          <t>WOMENS</t>
        </is>
      </c>
      <c r="H4981" s="0" t="inlineStr">
        <is>
          <t>M</t>
        </is>
      </c>
      <c r="I4981" s="0">
        <v>59.99</v>
      </c>
      <c r="J4981" s="0">
        <v>13</v>
      </c>
    </row>
    <row r="4982" spans="1:10" customHeight="0">
      <c r="A4982" s="0">
        <f>HYPERLINK("https://dl.dropboxusercontent.com/scl/fi/402x5kijfofosx78w9nbl/102306f15463.jpg?rlkey=huw6ylu0w0g03dx5vjb9wy0ek&amp;dl=0","Click to download Image")</f>
      </c>
      <c r="C4982" s="0" t="inlineStr">
        <is>
          <t>Dane Realtree Camo 1/2 Zip Women's Pullover</t>
        </is>
      </c>
      <c r="D4982" s="0" t="inlineStr">
        <is>
          <t>'102306</t>
        </is>
      </c>
      <c r="E4982" s="0" t="inlineStr">
        <is>
          <t>REALTREE:102306C-L</t>
        </is>
      </c>
      <c r="F4982" s="0" t="inlineStr">
        <is>
          <t>'000000000000</t>
        </is>
      </c>
      <c r="G4982" s="0" t="inlineStr">
        <is>
          <t>WOMENS</t>
        </is>
      </c>
      <c r="H4982" s="0" t="inlineStr">
        <is>
          <t>L</t>
        </is>
      </c>
      <c r="I4982" s="0">
        <v>59.99</v>
      </c>
      <c r="J4982" s="0">
        <v>10</v>
      </c>
    </row>
    <row r="4983" spans="1:10" customHeight="0">
      <c r="A4983" s="0">
        <f>HYPERLINK("https://dl.dropboxusercontent.com/scl/fi/402x5kijfofosx78w9nbl/102306f15463.jpg?rlkey=huw6ylu0w0g03dx5vjb9wy0ek&amp;dl=0","Click to download Image")</f>
      </c>
      <c r="C4983" s="0" t="inlineStr">
        <is>
          <t>Dane Realtree Camo 1/2 Zip Women's Pullover</t>
        </is>
      </c>
      <c r="D4983" s="0" t="inlineStr">
        <is>
          <t>'102306</t>
        </is>
      </c>
      <c r="E4983" s="0" t="inlineStr">
        <is>
          <t>REALTREE:102306D-XL</t>
        </is>
      </c>
      <c r="F4983" s="0" t="inlineStr">
        <is>
          <t>'000000000000</t>
        </is>
      </c>
      <c r="G4983" s="0" t="inlineStr">
        <is>
          <t>WOMENS</t>
        </is>
      </c>
      <c r="H4983" s="0" t="inlineStr">
        <is>
          <t>XL</t>
        </is>
      </c>
      <c r="I4983" s="0">
        <v>59.99</v>
      </c>
      <c r="J4983" s="0">
        <v>27</v>
      </c>
    </row>
    <row r="4984" spans="1:10" customHeight="0">
      <c r="A4984" s="0">
        <f>HYPERLINK("https://dl.dropboxusercontent.com/scl/fi/402x5kijfofosx78w9nbl/102306f15463.jpg?rlkey=huw6ylu0w0g03dx5vjb9wy0ek&amp;dl=0","Click to download Image")</f>
      </c>
      <c r="C4984" s="0" t="inlineStr">
        <is>
          <t>Dane Realtree Camo 1/2 Zip Women's Pullover</t>
        </is>
      </c>
      <c r="D4984" s="0" t="inlineStr">
        <is>
          <t>'102306</t>
        </is>
      </c>
      <c r="E4984" s="0" t="inlineStr">
        <is>
          <t>REALTREE:102306E-2XL</t>
        </is>
      </c>
      <c r="F4984" s="0" t="inlineStr">
        <is>
          <t>'000000000000</t>
        </is>
      </c>
      <c r="G4984" s="0" t="inlineStr">
        <is>
          <t>WOMENS</t>
        </is>
      </c>
      <c r="H4984" s="0" t="inlineStr">
        <is>
          <t>2XL</t>
        </is>
      </c>
      <c r="I4984" s="0">
        <v>61.99</v>
      </c>
      <c r="J4984" s="0">
        <v>25</v>
      </c>
    </row>
    <row r="4985" spans="1:10" customHeight="0">
      <c r="A4985" s="0">
        <f>HYPERLINK("https://dl.dropboxusercontent.com/scl/fi/vx3rz09r931ixtlq317fm/102299f41826.jpg?rlkey=46tp2mqc74qll3w9vq72fcrf6&amp;dl=0","Click to download Image")</f>
      </c>
      <c r="C4985" s="0" t="inlineStr">
        <is>
          <t>Chrome Realtree Camo Men's 1/4 Zip Pullover</t>
        </is>
      </c>
      <c r="D4985" s="0" t="inlineStr">
        <is>
          <t>'102299</t>
        </is>
      </c>
      <c r="E4985" s="0" t="inlineStr">
        <is>
          <t>REALTREE:102299A-S</t>
        </is>
      </c>
      <c r="F4985" s="0" t="inlineStr">
        <is>
          <t>'000000000000</t>
        </is>
      </c>
      <c r="G4985" s="0" t="inlineStr">
        <is>
          <t>MENS</t>
        </is>
      </c>
      <c r="H4985" s="0" t="inlineStr">
        <is>
          <t>S</t>
        </is>
      </c>
      <c r="I4985" s="0">
        <v>39.99</v>
      </c>
      <c r="J4985" s="0">
        <v>27</v>
      </c>
    </row>
    <row r="4986" spans="1:10" customHeight="0">
      <c r="A4986" s="0">
        <f>HYPERLINK("https://dl.dropboxusercontent.com/scl/fi/vx3rz09r931ixtlq317fm/102299f41826.jpg?rlkey=46tp2mqc74qll3w9vq72fcrf6&amp;dl=0","Click to download Image")</f>
      </c>
      <c r="C4986" s="0" t="inlineStr">
        <is>
          <t>Chrome Realtree Camo Men's 1/4 Zip Pullover</t>
        </is>
      </c>
      <c r="D4986" s="0" t="inlineStr">
        <is>
          <t>'102299</t>
        </is>
      </c>
      <c r="E4986" s="0" t="inlineStr">
        <is>
          <t>REALTREE:102299B-M</t>
        </is>
      </c>
      <c r="F4986" s="0" t="inlineStr">
        <is>
          <t>'000000000000</t>
        </is>
      </c>
      <c r="G4986" s="0" t="inlineStr">
        <is>
          <t>MENS</t>
        </is>
      </c>
      <c r="H4986" s="0" t="inlineStr">
        <is>
          <t>M</t>
        </is>
      </c>
      <c r="I4986" s="0">
        <v>39.99</v>
      </c>
      <c r="J4986" s="0">
        <v>34</v>
      </c>
    </row>
    <row r="4987" spans="1:10" customHeight="0">
      <c r="A4987" s="0">
        <f>HYPERLINK("https://dl.dropboxusercontent.com/scl/fi/vx3rz09r931ixtlq317fm/102299f41826.jpg?rlkey=46tp2mqc74qll3w9vq72fcrf6&amp;dl=0","Click to download Image")</f>
      </c>
      <c r="C4987" s="0" t="inlineStr">
        <is>
          <t>Chrome Realtree Camo Men's 1/4 Zip Pullover</t>
        </is>
      </c>
      <c r="D4987" s="0" t="inlineStr">
        <is>
          <t>'102299</t>
        </is>
      </c>
      <c r="E4987" s="0" t="inlineStr">
        <is>
          <t>REALTREE:102299C-L</t>
        </is>
      </c>
      <c r="F4987" s="0" t="inlineStr">
        <is>
          <t>'000000000000</t>
        </is>
      </c>
      <c r="G4987" s="0" t="inlineStr">
        <is>
          <t>MENS</t>
        </is>
      </c>
      <c r="H4987" s="0" t="inlineStr">
        <is>
          <t>L</t>
        </is>
      </c>
      <c r="I4987" s="0">
        <v>39.99</v>
      </c>
      <c r="J4987" s="0">
        <v>38</v>
      </c>
    </row>
    <row r="4988" spans="1:10" customHeight="0">
      <c r="A4988" s="0">
        <f>HYPERLINK("https://dl.dropboxusercontent.com/scl/fi/vx3rz09r931ixtlq317fm/102299f41826.jpg?rlkey=46tp2mqc74qll3w9vq72fcrf6&amp;dl=0","Click to download Image")</f>
      </c>
      <c r="C4988" s="0" t="inlineStr">
        <is>
          <t>Chrome Realtree Camo Men's 1/4 Zip Pullover</t>
        </is>
      </c>
      <c r="D4988" s="0" t="inlineStr">
        <is>
          <t>'102299</t>
        </is>
      </c>
      <c r="E4988" s="0" t="inlineStr">
        <is>
          <t>REALTREE:102299D-XL</t>
        </is>
      </c>
      <c r="F4988" s="0" t="inlineStr">
        <is>
          <t>'000000000000</t>
        </is>
      </c>
      <c r="G4988" s="0" t="inlineStr">
        <is>
          <t>MENS</t>
        </is>
      </c>
      <c r="H4988" s="0" t="inlineStr">
        <is>
          <t>XL</t>
        </is>
      </c>
      <c r="I4988" s="0">
        <v>39.99</v>
      </c>
      <c r="J4988" s="0">
        <v>42</v>
      </c>
    </row>
    <row r="4989" spans="1:10" customHeight="0">
      <c r="A4989" s="0">
        <f>HYPERLINK("https://dl.dropboxusercontent.com/scl/fi/vx3rz09r931ixtlq317fm/102299f41826.jpg?rlkey=46tp2mqc74qll3w9vq72fcrf6&amp;dl=0","Click to download Image")</f>
      </c>
      <c r="C4989" s="0" t="inlineStr">
        <is>
          <t>Chrome Realtree Camo Men's 1/4 Zip Pullover</t>
        </is>
      </c>
      <c r="D4989" s="0" t="inlineStr">
        <is>
          <t>'102299</t>
        </is>
      </c>
      <c r="E4989" s="0" t="inlineStr">
        <is>
          <t>REALTREE:102299E-2XL</t>
        </is>
      </c>
      <c r="F4989" s="0" t="inlineStr">
        <is>
          <t>'000000000000</t>
        </is>
      </c>
      <c r="G4989" s="0" t="inlineStr">
        <is>
          <t>MENS</t>
        </is>
      </c>
      <c r="H4989" s="0" t="inlineStr">
        <is>
          <t>2XL</t>
        </is>
      </c>
      <c r="I4989" s="0">
        <v>41.99</v>
      </c>
      <c r="J4989" s="0">
        <v>31</v>
      </c>
    </row>
    <row r="4990" spans="1:10" customHeight="0">
      <c r="A4990" s="0">
        <f>HYPERLINK("https://dl.dropboxusercontent.com/scl/fi/vx3rz09r931ixtlq317fm/102299f41826.jpg?rlkey=46tp2mqc74qll3w9vq72fcrf6&amp;dl=0","Click to download Image")</f>
      </c>
      <c r="C4990" s="0" t="inlineStr">
        <is>
          <t>Chrome Realtree Camo Men's 1/4 Zip Pullover</t>
        </is>
      </c>
      <c r="D4990" s="0" t="inlineStr">
        <is>
          <t>'102299</t>
        </is>
      </c>
      <c r="E4990" s="0" t="inlineStr">
        <is>
          <t>REALTREE:102299F-3XL</t>
        </is>
      </c>
      <c r="F4990" s="0" t="inlineStr">
        <is>
          <t>'000000000000</t>
        </is>
      </c>
      <c r="G4990" s="0" t="inlineStr">
        <is>
          <t>MENS</t>
        </is>
      </c>
      <c r="H4990" s="0" t="inlineStr">
        <is>
          <t>3XL</t>
        </is>
      </c>
      <c r="I4990" s="0">
        <v>41.99</v>
      </c>
      <c r="J4990" s="0">
        <v>25</v>
      </c>
    </row>
    <row r="4991" spans="1:10" customHeight="0">
      <c r="A4991" s="0">
        <f>HYPERLINK("https://dl.dropboxusercontent.com/scl/fi/vx3rz09r931ixtlq317fm/102299f41826.jpg?rlkey=46tp2mqc74qll3w9vq72fcrf6&amp;dl=0","Click to download Image")</f>
      </c>
      <c r="C4991" s="0" t="inlineStr">
        <is>
          <t>Chrome Realtree Camo Men's 1/4 Zip Pullover</t>
        </is>
      </c>
      <c r="D4991" s="0" t="inlineStr">
        <is>
          <t>'102299</t>
        </is>
      </c>
      <c r="E4991" s="0" t="inlineStr">
        <is>
          <t>REALTREE:102299G-4XL</t>
        </is>
      </c>
      <c r="F4991" s="0" t="inlineStr">
        <is>
          <t>'000000000000</t>
        </is>
      </c>
      <c r="G4991" s="0" t="inlineStr">
        <is>
          <t>MENS</t>
        </is>
      </c>
      <c r="H4991" s="0" t="inlineStr">
        <is>
          <t>4XL</t>
        </is>
      </c>
      <c r="I4991" s="0">
        <v>39.99</v>
      </c>
      <c r="J4991" s="0">
        <v>6</v>
      </c>
    </row>
    <row r="4992" spans="1:10" customHeight="0">
      <c r="A4992" s="0">
        <f>HYPERLINK("https://dl.dropboxusercontent.com/scl/fi/vx3rz09r931ixtlq317fm/102299f41826.jpg?rlkey=46tp2mqc74qll3w9vq72fcrf6&amp;dl=0","Click to download Image")</f>
      </c>
      <c r="C4992" s="0" t="inlineStr">
        <is>
          <t>Chrome Realtree Camo Men's 1/4 Zip Pullover</t>
        </is>
      </c>
      <c r="D4992" s="0" t="inlineStr">
        <is>
          <t>'102299</t>
        </is>
      </c>
      <c r="E4992" s="0" t="inlineStr">
        <is>
          <t>REALTREE:102299O-4XLT</t>
        </is>
      </c>
      <c r="F4992" s="0" t="inlineStr">
        <is>
          <t>'000000000000</t>
        </is>
      </c>
      <c r="G4992" s="0" t="inlineStr">
        <is>
          <t>MENS</t>
        </is>
      </c>
      <c r="H4992" s="0" t="inlineStr">
        <is>
          <t>4XL TALL</t>
        </is>
      </c>
      <c r="I4992" s="0">
        <v>39.99</v>
      </c>
      <c r="J4992" s="0">
        <v>6</v>
      </c>
    </row>
    <row r="4993" spans="1:10" customHeight="0">
      <c r="A4993" s="0">
        <f>HYPERLINK("https://dl.dropboxusercontent.com/scl/fi/vx3rz09r931ixtlq317fm/102299f41826.jpg?rlkey=46tp2mqc74qll3w9vq72fcrf6&amp;dl=0","Click to download Image")</f>
      </c>
      <c r="C4993" s="0" t="inlineStr">
        <is>
          <t>Chrome Realtree Camo Men's 1/4 Zip Pullover</t>
        </is>
      </c>
      <c r="D4993" s="0" t="inlineStr">
        <is>
          <t>'102299</t>
        </is>
      </c>
      <c r="E4993" s="0" t="inlineStr">
        <is>
          <t>REALTREE:102299H-5XL</t>
        </is>
      </c>
      <c r="F4993" s="0" t="inlineStr">
        <is>
          <t>'000000000000</t>
        </is>
      </c>
      <c r="G4993" s="0" t="inlineStr">
        <is>
          <t>MENS</t>
        </is>
      </c>
      <c r="H4993" s="0" t="inlineStr">
        <is>
          <t>5XL</t>
        </is>
      </c>
      <c r="I4993" s="0">
        <v>39.99</v>
      </c>
      <c r="J4993" s="0">
        <v>5</v>
      </c>
    </row>
    <row r="4994" spans="1:10" customHeight="0">
      <c r="A4994" s="0">
        <f>HYPERLINK("https://dl.dropboxusercontent.com/scl/fi/vx3rz09r931ixtlq317fm/102299f41826.jpg?rlkey=46tp2mqc74qll3w9vq72fcrf6&amp;dl=0","Click to download Image")</f>
      </c>
      <c r="C4994" s="0" t="inlineStr">
        <is>
          <t>Chrome Realtree Camo Men's 1/4 Zip Pullover</t>
        </is>
      </c>
      <c r="D4994" s="0" t="inlineStr">
        <is>
          <t>'102299</t>
        </is>
      </c>
      <c r="E4994" s="0" t="inlineStr">
        <is>
          <t>REALTREE:102299P-5XLT</t>
        </is>
      </c>
      <c r="F4994" s="0" t="inlineStr">
        <is>
          <t>'000000000000</t>
        </is>
      </c>
      <c r="G4994" s="0" t="inlineStr">
        <is>
          <t>MENS</t>
        </is>
      </c>
      <c r="H4994" s="0" t="inlineStr">
        <is>
          <t>5XL TALL</t>
        </is>
      </c>
      <c r="I4994" s="0">
        <v>39.99</v>
      </c>
      <c r="J4994" s="0">
        <v>6</v>
      </c>
    </row>
    <row r="4995" spans="1:10" customHeight="0">
      <c r="A4995" s="0">
        <f>HYPERLINK("https://dl.dropboxusercontent.com/scl/fi/vx3rz09r931ixtlq317fm/102299f41826.jpg?rlkey=46tp2mqc74qll3w9vq72fcrf6&amp;dl=0","Click to download Image")</f>
      </c>
      <c r="C4995" s="0" t="inlineStr">
        <is>
          <t>Chrome Realtree Camo Men's 1/4 Zip Pullover</t>
        </is>
      </c>
      <c r="D4995" s="0" t="inlineStr">
        <is>
          <t>'102299</t>
        </is>
      </c>
      <c r="E4995" s="0" t="inlineStr">
        <is>
          <t>REALTREE:102299I-6XL</t>
        </is>
      </c>
      <c r="F4995" s="0" t="inlineStr">
        <is>
          <t>'000000000000</t>
        </is>
      </c>
      <c r="G4995" s="0" t="inlineStr">
        <is>
          <t>MENS</t>
        </is>
      </c>
      <c r="H4995" s="0" t="inlineStr">
        <is>
          <t>6XL</t>
        </is>
      </c>
      <c r="I4995" s="0">
        <v>39.99</v>
      </c>
      <c r="J4995" s="0">
        <v>6</v>
      </c>
    </row>
    <row r="4996" spans="1:10" customHeight="0">
      <c r="A4996" s="0">
        <f>HYPERLINK("https://dl.dropboxusercontent.com/scl/fi/vx3rz09r931ixtlq317fm/102299f41826.jpg?rlkey=46tp2mqc74qll3w9vq72fcrf6&amp;dl=0","Click to download Image")</f>
      </c>
      <c r="C4996" s="0" t="inlineStr">
        <is>
          <t>Chrome Realtree Camo Men's 1/4 Zip Pullover</t>
        </is>
      </c>
      <c r="D4996" s="0" t="inlineStr">
        <is>
          <t>'102299</t>
        </is>
      </c>
      <c r="E4996" s="0" t="inlineStr">
        <is>
          <t>REALTREE:102299Q-6XLT</t>
        </is>
      </c>
      <c r="F4996" s="0" t="inlineStr">
        <is>
          <t>'000000000000</t>
        </is>
      </c>
      <c r="G4996" s="0" t="inlineStr">
        <is>
          <t>MENS</t>
        </is>
      </c>
      <c r="H4996" s="0" t="inlineStr">
        <is>
          <t>6XL TALL</t>
        </is>
      </c>
      <c r="I4996" s="0">
        <v>39.99</v>
      </c>
      <c r="J4996" s="0">
        <v>6</v>
      </c>
    </row>
    <row r="4997" spans="1:10" customHeight="0">
      <c r="A4997" s="0">
        <f>HYPERLINK("https://dl.dropboxusercontent.com/scl/fi/4jzwh02ysua9vi5r764dn/102303f54163.jpg?rlkey=5uty67ouh0d026ziei2bs727a&amp;dl=0","Click to download Image")</f>
      </c>
      <c r="C4997" s="0" t="inlineStr">
        <is>
          <t>Jasper Realtree Men's Jacket</t>
        </is>
      </c>
      <c r="D4997" s="0" t="inlineStr">
        <is>
          <t>'102303</t>
        </is>
      </c>
      <c r="E4997" s="0" t="inlineStr">
        <is>
          <t>REALTREE:102303A-S</t>
        </is>
      </c>
      <c r="F4997" s="0" t="inlineStr">
        <is>
          <t>'000000000000</t>
        </is>
      </c>
      <c r="G4997" s="0" t="inlineStr">
        <is>
          <t>MENS</t>
        </is>
      </c>
      <c r="H4997" s="0" t="inlineStr">
        <is>
          <t>S</t>
        </is>
      </c>
      <c r="I4997" s="0">
        <v>69.99</v>
      </c>
      <c r="J4997" s="0">
        <v>101</v>
      </c>
    </row>
    <row r="4998" spans="1:10" customHeight="0">
      <c r="A4998" s="0">
        <f>HYPERLINK("https://dl.dropboxusercontent.com/scl/fi/4jzwh02ysua9vi5r764dn/102303f54163.jpg?rlkey=5uty67ouh0d026ziei2bs727a&amp;dl=0","Click to download Image")</f>
      </c>
      <c r="C4998" s="0" t="inlineStr">
        <is>
          <t>Jasper Realtree Men's Jacket</t>
        </is>
      </c>
      <c r="D4998" s="0" t="inlineStr">
        <is>
          <t>'102303</t>
        </is>
      </c>
      <c r="E4998" s="0" t="inlineStr">
        <is>
          <t>REALTREE:102303B-M</t>
        </is>
      </c>
      <c r="F4998" s="0" t="inlineStr">
        <is>
          <t>'000000000000</t>
        </is>
      </c>
      <c r="G4998" s="0" t="inlineStr">
        <is>
          <t>MENS</t>
        </is>
      </c>
      <c r="H4998" s="0" t="inlineStr">
        <is>
          <t>M</t>
        </is>
      </c>
      <c r="I4998" s="0">
        <v>69.99</v>
      </c>
      <c r="J4998" s="0">
        <v>97</v>
      </c>
    </row>
    <row r="4999" spans="1:10" customHeight="0">
      <c r="A4999" s="0">
        <f>HYPERLINK("https://dl.dropboxusercontent.com/scl/fi/4jzwh02ysua9vi5r764dn/102303f54163.jpg?rlkey=5uty67ouh0d026ziei2bs727a&amp;dl=0","Click to download Image")</f>
      </c>
      <c r="C4999" s="0" t="inlineStr">
        <is>
          <t>Jasper Realtree Men's Jacket</t>
        </is>
      </c>
      <c r="D4999" s="0" t="inlineStr">
        <is>
          <t>'102303</t>
        </is>
      </c>
      <c r="E4999" s="0" t="inlineStr">
        <is>
          <t>REALTREE:102303C-L</t>
        </is>
      </c>
      <c r="F4999" s="0" t="inlineStr">
        <is>
          <t>'000000000000</t>
        </is>
      </c>
      <c r="G4999" s="0" t="inlineStr">
        <is>
          <t>MENS</t>
        </is>
      </c>
      <c r="H4999" s="0" t="inlineStr">
        <is>
          <t>L</t>
        </is>
      </c>
      <c r="I4999" s="0">
        <v>69.99</v>
      </c>
      <c r="J4999" s="0">
        <v>64</v>
      </c>
    </row>
    <row r="5000" spans="1:10" customHeight="0">
      <c r="A5000" s="0">
        <f>HYPERLINK("https://dl.dropboxusercontent.com/scl/fi/4jzwh02ysua9vi5r764dn/102303f54163.jpg?rlkey=5uty67ouh0d026ziei2bs727a&amp;dl=0","Click to download Image")</f>
      </c>
      <c r="C5000" s="0" t="inlineStr">
        <is>
          <t>Jasper Realtree Men's Jacket</t>
        </is>
      </c>
      <c r="D5000" s="0" t="inlineStr">
        <is>
          <t>'102303</t>
        </is>
      </c>
      <c r="E5000" s="0" t="inlineStr">
        <is>
          <t>REALTREE:102303D-XL</t>
        </is>
      </c>
      <c r="F5000" s="0" t="inlineStr">
        <is>
          <t>'000000000000</t>
        </is>
      </c>
      <c r="G5000" s="0" t="inlineStr">
        <is>
          <t>MENS</t>
        </is>
      </c>
      <c r="H5000" s="0" t="inlineStr">
        <is>
          <t>XL</t>
        </is>
      </c>
      <c r="I5000" s="0">
        <v>69.99</v>
      </c>
      <c r="J5000" s="0">
        <v>96</v>
      </c>
    </row>
    <row r="5001" spans="1:10" customHeight="0">
      <c r="A5001" s="0">
        <f>HYPERLINK("https://dl.dropboxusercontent.com/scl/fi/4jzwh02ysua9vi5r764dn/102303f54163.jpg?rlkey=5uty67ouh0d026ziei2bs727a&amp;dl=0","Click to download Image")</f>
      </c>
      <c r="C5001" s="0" t="inlineStr">
        <is>
          <t>Jasper Realtree Men's Jacket</t>
        </is>
      </c>
      <c r="D5001" s="0" t="inlineStr">
        <is>
          <t>'102303</t>
        </is>
      </c>
      <c r="E5001" s="0" t="inlineStr">
        <is>
          <t>REALTREE:102303E-2XL</t>
        </is>
      </c>
      <c r="F5001" s="0" t="inlineStr">
        <is>
          <t>'000000000000</t>
        </is>
      </c>
      <c r="G5001" s="0" t="inlineStr">
        <is>
          <t>MENS</t>
        </is>
      </c>
      <c r="H5001" s="0" t="inlineStr">
        <is>
          <t>2XL</t>
        </is>
      </c>
      <c r="I5001" s="0">
        <v>71.99</v>
      </c>
      <c r="J5001" s="0">
        <v>88</v>
      </c>
    </row>
    <row r="5002" spans="1:10" customHeight="0">
      <c r="A5002" s="0">
        <f>HYPERLINK("https://dl.dropboxusercontent.com/scl/fi/4jzwh02ysua9vi5r764dn/102303f54163.jpg?rlkey=5uty67ouh0d026ziei2bs727a&amp;dl=0","Click to download Image")</f>
      </c>
      <c r="C5002" s="0" t="inlineStr">
        <is>
          <t>Jasper Realtree Men's Jacket</t>
        </is>
      </c>
      <c r="D5002" s="0" t="inlineStr">
        <is>
          <t>'102303</t>
        </is>
      </c>
      <c r="E5002" s="0" t="inlineStr">
        <is>
          <t>REALTREE:102303F-3XL</t>
        </is>
      </c>
      <c r="F5002" s="0" t="inlineStr">
        <is>
          <t>'000000000000</t>
        </is>
      </c>
      <c r="G5002" s="0" t="inlineStr">
        <is>
          <t>MENS</t>
        </is>
      </c>
      <c r="H5002" s="0" t="inlineStr">
        <is>
          <t>3XL</t>
        </is>
      </c>
      <c r="I5002" s="0">
        <v>71.99</v>
      </c>
      <c r="J5002" s="0">
        <v>80</v>
      </c>
    </row>
    <row r="5003" spans="1:10" customHeight="0">
      <c r="A5003" s="0">
        <f>HYPERLINK("https://dl.dropboxusercontent.com/scl/fi/4jzwh02ysua9vi5r764dn/102303f54163.jpg?rlkey=5uty67ouh0d026ziei2bs727a&amp;dl=0","Click to download Image")</f>
      </c>
      <c r="C5003" s="0" t="inlineStr">
        <is>
          <t>Jasper Realtree Men's Jacket</t>
        </is>
      </c>
      <c r="D5003" s="0" t="inlineStr">
        <is>
          <t>'102303</t>
        </is>
      </c>
      <c r="E5003" s="0" t="inlineStr">
        <is>
          <t>REALTREE:102303G-4XL</t>
        </is>
      </c>
      <c r="F5003" s="0" t="inlineStr">
        <is>
          <t>'000000000000</t>
        </is>
      </c>
      <c r="G5003" s="0" t="inlineStr">
        <is>
          <t>MENS</t>
        </is>
      </c>
      <c r="H5003" s="0" t="inlineStr">
        <is>
          <t>4XL</t>
        </is>
      </c>
      <c r="I5003" s="0">
        <v>69.99</v>
      </c>
      <c r="J5003" s="0">
        <v>0</v>
      </c>
    </row>
    <row r="5004" spans="1:10" customHeight="0">
      <c r="A5004" s="0">
        <f>HYPERLINK("https://dl.dropboxusercontent.com/scl/fi/4jzwh02ysua9vi5r764dn/102303f54163.jpg?rlkey=5uty67ouh0d026ziei2bs727a&amp;dl=0","Click to download Image")</f>
      </c>
      <c r="C5004" s="0" t="inlineStr">
        <is>
          <t>Jasper Realtree Men's Jacket</t>
        </is>
      </c>
      <c r="D5004" s="0" t="inlineStr">
        <is>
          <t>'102303</t>
        </is>
      </c>
      <c r="E5004" s="0" t="inlineStr">
        <is>
          <t>REALTREE:102303O-4XLT</t>
        </is>
      </c>
      <c r="F5004" s="0" t="inlineStr">
        <is>
          <t>'000000000000</t>
        </is>
      </c>
      <c r="G5004" s="0" t="inlineStr">
        <is>
          <t>MENS</t>
        </is>
      </c>
      <c r="H5004" s="0" t="inlineStr">
        <is>
          <t>4XL TALL</t>
        </is>
      </c>
      <c r="I5004" s="0">
        <v>73.99</v>
      </c>
      <c r="J5004" s="0">
        <v>6</v>
      </c>
    </row>
    <row r="5005" spans="1:10" customHeight="0">
      <c r="A5005" s="0">
        <f>HYPERLINK("https://dl.dropboxusercontent.com/scl/fi/4jzwh02ysua9vi5r764dn/102303f54163.jpg?rlkey=5uty67ouh0d026ziei2bs727a&amp;dl=0","Click to download Image")</f>
      </c>
      <c r="C5005" s="0" t="inlineStr">
        <is>
          <t>Jasper Realtree Men's Jacket</t>
        </is>
      </c>
      <c r="D5005" s="0" t="inlineStr">
        <is>
          <t>'102303</t>
        </is>
      </c>
      <c r="E5005" s="0" t="inlineStr">
        <is>
          <t>REALTREE:102303H-5XL</t>
        </is>
      </c>
      <c r="F5005" s="0" t="inlineStr">
        <is>
          <t>'000000000000</t>
        </is>
      </c>
      <c r="G5005" s="0" t="inlineStr">
        <is>
          <t>MENS</t>
        </is>
      </c>
      <c r="H5005" s="0" t="inlineStr">
        <is>
          <t>5XL</t>
        </is>
      </c>
      <c r="I5005" s="0">
        <v>69.99</v>
      </c>
      <c r="J5005" s="0">
        <v>4</v>
      </c>
    </row>
    <row r="5006" spans="1:10" customHeight="0">
      <c r="A5006" s="0">
        <f>HYPERLINK("https://dl.dropboxusercontent.com/scl/fi/4jzwh02ysua9vi5r764dn/102303f54163.jpg?rlkey=5uty67ouh0d026ziei2bs727a&amp;dl=0","Click to download Image")</f>
      </c>
      <c r="C5006" s="0" t="inlineStr">
        <is>
          <t>Jasper Realtree Men's Jacket</t>
        </is>
      </c>
      <c r="D5006" s="0" t="inlineStr">
        <is>
          <t>'102303</t>
        </is>
      </c>
      <c r="E5006" s="0" t="inlineStr">
        <is>
          <t>REALTREE:102303P-5XLT</t>
        </is>
      </c>
      <c r="F5006" s="0" t="inlineStr">
        <is>
          <t>'000000000000</t>
        </is>
      </c>
      <c r="G5006" s="0" t="inlineStr">
        <is>
          <t>MENS</t>
        </is>
      </c>
      <c r="H5006" s="0" t="inlineStr">
        <is>
          <t>5XL TALL</t>
        </is>
      </c>
      <c r="I5006" s="0">
        <v>73.99</v>
      </c>
      <c r="J5006" s="0">
        <v>6</v>
      </c>
    </row>
    <row r="5007" spans="1:10" customHeight="0">
      <c r="A5007" s="0">
        <f>HYPERLINK("https://dl.dropboxusercontent.com/scl/fi/4jzwh02ysua9vi5r764dn/102303f54163.jpg?rlkey=5uty67ouh0d026ziei2bs727a&amp;dl=0","Click to download Image")</f>
      </c>
      <c r="C5007" s="0" t="inlineStr">
        <is>
          <t>Jasper Realtree Men's Jacket</t>
        </is>
      </c>
      <c r="D5007" s="0" t="inlineStr">
        <is>
          <t>'102303</t>
        </is>
      </c>
      <c r="E5007" s="0" t="inlineStr">
        <is>
          <t>REALTREE:102303I-6XL</t>
        </is>
      </c>
      <c r="F5007" s="0" t="inlineStr">
        <is>
          <t>'000000000000</t>
        </is>
      </c>
      <c r="G5007" s="0" t="inlineStr">
        <is>
          <t>MENS</t>
        </is>
      </c>
      <c r="H5007" s="0" t="inlineStr">
        <is>
          <t>6XL</t>
        </is>
      </c>
      <c r="I5007" s="0">
        <v>74.99</v>
      </c>
      <c r="J5007" s="0">
        <v>6</v>
      </c>
    </row>
    <row r="5008" spans="1:10" customHeight="0">
      <c r="A5008" s="0">
        <f>HYPERLINK("https://dl.dropboxusercontent.com/scl/fi/4jzwh02ysua9vi5r764dn/102303f54163.jpg?rlkey=5uty67ouh0d026ziei2bs727a&amp;dl=0","Click to download Image")</f>
      </c>
      <c r="C5008" s="0" t="inlineStr">
        <is>
          <t>Jasper Realtree Men's Jacket</t>
        </is>
      </c>
      <c r="D5008" s="0" t="inlineStr">
        <is>
          <t>'102303</t>
        </is>
      </c>
      <c r="E5008" s="0" t="inlineStr">
        <is>
          <t>REALTREE:102303Q-6XLT</t>
        </is>
      </c>
      <c r="F5008" s="0" t="inlineStr">
        <is>
          <t>'000000000000</t>
        </is>
      </c>
      <c r="G5008" s="0" t="inlineStr">
        <is>
          <t>MENS</t>
        </is>
      </c>
      <c r="H5008" s="0" t="inlineStr">
        <is>
          <t>6XL TALL</t>
        </is>
      </c>
      <c r="I5008" s="0">
        <v>74.99</v>
      </c>
      <c r="J5008" s="0">
        <v>6</v>
      </c>
    </row>
    <row r="5009" spans="1:10" customHeight="0">
      <c r="A5009" s="0">
        <f>HYPERLINK("https://dl.dropboxusercontent.com/scl/fi/2cv8o132h7mo7mxhcs7pp/102302f95912.jpg?rlkey=1balxv5ibw3byz5872tkck7dj&amp;dl=0","Click to download Image")</f>
      </c>
      <c r="C5009" s="0" t="inlineStr">
        <is>
          <t>Isaiah Realtree Camo Men's 1/2 Zip Hoodie</t>
        </is>
      </c>
      <c r="D5009" s="0" t="inlineStr">
        <is>
          <t>'102302</t>
        </is>
      </c>
      <c r="E5009" s="0" t="inlineStr">
        <is>
          <t>REALTREE:102302A-S</t>
        </is>
      </c>
      <c r="F5009" s="0" t="inlineStr">
        <is>
          <t>'000000000000</t>
        </is>
      </c>
      <c r="G5009" s="0" t="inlineStr">
        <is>
          <t>MENS</t>
        </is>
      </c>
      <c r="H5009" s="0" t="inlineStr">
        <is>
          <t>S</t>
        </is>
      </c>
      <c r="I5009" s="0">
        <v>59.99</v>
      </c>
      <c r="J5009" s="0">
        <v>129</v>
      </c>
    </row>
    <row r="5010" spans="1:10" customHeight="0">
      <c r="A5010" s="0">
        <f>HYPERLINK("https://dl.dropboxusercontent.com/scl/fi/2cv8o132h7mo7mxhcs7pp/102302f95912.jpg?rlkey=1balxv5ibw3byz5872tkck7dj&amp;dl=0","Click to download Image")</f>
      </c>
      <c r="C5010" s="0" t="inlineStr">
        <is>
          <t>Isaiah Realtree Camo Men's 1/2 Zip Hoodie</t>
        </is>
      </c>
      <c r="D5010" s="0" t="inlineStr">
        <is>
          <t>'102302</t>
        </is>
      </c>
      <c r="E5010" s="0" t="inlineStr">
        <is>
          <t>REALTREE:102302B-M</t>
        </is>
      </c>
      <c r="F5010" s="0" t="inlineStr">
        <is>
          <t>'000000000000</t>
        </is>
      </c>
      <c r="G5010" s="0" t="inlineStr">
        <is>
          <t>MENS</t>
        </is>
      </c>
      <c r="H5010" s="0" t="inlineStr">
        <is>
          <t>M</t>
        </is>
      </c>
      <c r="I5010" s="0">
        <v>59.99</v>
      </c>
      <c r="J5010" s="0">
        <v>149</v>
      </c>
    </row>
    <row r="5011" spans="1:10" customHeight="0">
      <c r="A5011" s="0">
        <f>HYPERLINK("https://dl.dropboxusercontent.com/scl/fi/2cv8o132h7mo7mxhcs7pp/102302f95912.jpg?rlkey=1balxv5ibw3byz5872tkck7dj&amp;dl=0","Click to download Image")</f>
      </c>
      <c r="C5011" s="0" t="inlineStr">
        <is>
          <t>Isaiah Realtree Camo Men's 1/2 Zip Hoodie</t>
        </is>
      </c>
      <c r="D5011" s="0" t="inlineStr">
        <is>
          <t>'102302</t>
        </is>
      </c>
      <c r="E5011" s="0" t="inlineStr">
        <is>
          <t>REALTREE:102302C-L</t>
        </is>
      </c>
      <c r="F5011" s="0" t="inlineStr">
        <is>
          <t>'000000000000</t>
        </is>
      </c>
      <c r="G5011" s="0" t="inlineStr">
        <is>
          <t>MENS</t>
        </is>
      </c>
      <c r="H5011" s="0" t="inlineStr">
        <is>
          <t>L</t>
        </is>
      </c>
      <c r="I5011" s="0">
        <v>59.99</v>
      </c>
      <c r="J5011" s="0">
        <v>148</v>
      </c>
    </row>
    <row r="5012" spans="1:10" customHeight="0">
      <c r="A5012" s="0">
        <f>HYPERLINK("https://dl.dropboxusercontent.com/scl/fi/2cv8o132h7mo7mxhcs7pp/102302f95912.jpg?rlkey=1balxv5ibw3byz5872tkck7dj&amp;dl=0","Click to download Image")</f>
      </c>
      <c r="C5012" s="0" t="inlineStr">
        <is>
          <t>Isaiah Realtree Camo Men's 1/2 Zip Hoodie</t>
        </is>
      </c>
      <c r="D5012" s="0" t="inlineStr">
        <is>
          <t>'102302</t>
        </is>
      </c>
      <c r="E5012" s="0" t="inlineStr">
        <is>
          <t>REALTREE:102302D-XL</t>
        </is>
      </c>
      <c r="F5012" s="0" t="inlineStr">
        <is>
          <t>'000000000000</t>
        </is>
      </c>
      <c r="G5012" s="0" t="inlineStr">
        <is>
          <t>MENS</t>
        </is>
      </c>
      <c r="H5012" s="0" t="inlineStr">
        <is>
          <t>XL</t>
        </is>
      </c>
      <c r="I5012" s="0">
        <v>59.99</v>
      </c>
      <c r="J5012" s="0">
        <v>161</v>
      </c>
    </row>
    <row r="5013" spans="1:10" customHeight="0">
      <c r="A5013" s="0">
        <f>HYPERLINK("https://dl.dropboxusercontent.com/scl/fi/2cv8o132h7mo7mxhcs7pp/102302f95912.jpg?rlkey=1balxv5ibw3byz5872tkck7dj&amp;dl=0","Click to download Image")</f>
      </c>
      <c r="C5013" s="0" t="inlineStr">
        <is>
          <t>Isaiah Realtree Camo Men's 1/2 Zip Hoodie</t>
        </is>
      </c>
      <c r="D5013" s="0" t="inlineStr">
        <is>
          <t>'102302</t>
        </is>
      </c>
      <c r="E5013" s="0" t="inlineStr">
        <is>
          <t>REALTREE:102302E-2XL</t>
        </is>
      </c>
      <c r="F5013" s="0" t="inlineStr">
        <is>
          <t>'000000000000</t>
        </is>
      </c>
      <c r="G5013" s="0" t="inlineStr">
        <is>
          <t>MENS</t>
        </is>
      </c>
      <c r="H5013" s="0" t="inlineStr">
        <is>
          <t>2XL</t>
        </is>
      </c>
      <c r="I5013" s="0">
        <v>61.99</v>
      </c>
      <c r="J5013" s="0">
        <v>87</v>
      </c>
    </row>
    <row r="5014" spans="1:10" customHeight="0">
      <c r="A5014" s="0">
        <f>HYPERLINK("https://dl.dropboxusercontent.com/scl/fi/2cv8o132h7mo7mxhcs7pp/102302f95912.jpg?rlkey=1balxv5ibw3byz5872tkck7dj&amp;dl=0","Click to download Image")</f>
      </c>
      <c r="C5014" s="0" t="inlineStr">
        <is>
          <t>Isaiah Realtree Camo Men's 1/2 Zip Hoodie</t>
        </is>
      </c>
      <c r="D5014" s="0" t="inlineStr">
        <is>
          <t>'102302</t>
        </is>
      </c>
      <c r="E5014" s="0" t="inlineStr">
        <is>
          <t>REALTREE:102302F-3XL</t>
        </is>
      </c>
      <c r="F5014" s="0" t="inlineStr">
        <is>
          <t>'000000000000</t>
        </is>
      </c>
      <c r="G5014" s="0" t="inlineStr">
        <is>
          <t>MENS</t>
        </is>
      </c>
      <c r="H5014" s="0" t="inlineStr">
        <is>
          <t>3XL</t>
        </is>
      </c>
      <c r="I5014" s="0">
        <v>61.99</v>
      </c>
      <c r="J5014" s="0">
        <v>112</v>
      </c>
    </row>
    <row r="5015" spans="1:10" customHeight="0">
      <c r="A5015" s="0">
        <f>HYPERLINK("https://dl.dropboxusercontent.com/scl/fi/2cv8o132h7mo7mxhcs7pp/102302f95912.jpg?rlkey=1balxv5ibw3byz5872tkck7dj&amp;dl=0","Click to download Image")</f>
      </c>
      <c r="C5015" s="0" t="inlineStr">
        <is>
          <t>Isaiah Realtree Camo Men's 1/2 Zip Hoodie</t>
        </is>
      </c>
      <c r="D5015" s="0" t="inlineStr">
        <is>
          <t>'102302</t>
        </is>
      </c>
      <c r="E5015" s="0" t="inlineStr">
        <is>
          <t>REALTREE:102302G-4XL</t>
        </is>
      </c>
      <c r="F5015" s="0" t="inlineStr">
        <is>
          <t>'000000000000</t>
        </is>
      </c>
      <c r="G5015" s="0" t="inlineStr">
        <is>
          <t>MENS</t>
        </is>
      </c>
      <c r="H5015" s="0" t="inlineStr">
        <is>
          <t>4XL</t>
        </is>
      </c>
      <c r="I5015" s="0">
        <v>59.99</v>
      </c>
      <c r="J5015" s="0">
        <v>10</v>
      </c>
    </row>
    <row r="5016" spans="1:10" customHeight="0">
      <c r="A5016" s="0">
        <f>HYPERLINK("https://dl.dropboxusercontent.com/scl/fi/2cv8o132h7mo7mxhcs7pp/102302f95912.jpg?rlkey=1balxv5ibw3byz5872tkck7dj&amp;dl=0","Click to download Image")</f>
      </c>
      <c r="C5016" s="0" t="inlineStr">
        <is>
          <t>Isaiah Realtree Camo Men's 1/2 Zip Hoodie</t>
        </is>
      </c>
      <c r="D5016" s="0" t="inlineStr">
        <is>
          <t>'102302</t>
        </is>
      </c>
      <c r="E5016" s="0" t="inlineStr">
        <is>
          <t>REALTREE:102302O-4XLT</t>
        </is>
      </c>
      <c r="F5016" s="0" t="inlineStr">
        <is>
          <t>'000000000000</t>
        </is>
      </c>
      <c r="G5016" s="0" t="inlineStr">
        <is>
          <t>MENS</t>
        </is>
      </c>
      <c r="H5016" s="0" t="inlineStr">
        <is>
          <t>4XL TALL</t>
        </is>
      </c>
      <c r="I5016" s="0">
        <v>63.99</v>
      </c>
      <c r="J5016" s="0">
        <v>0</v>
      </c>
    </row>
    <row r="5017" spans="1:10" customHeight="0">
      <c r="A5017" s="0">
        <f>HYPERLINK("https://dl.dropboxusercontent.com/scl/fi/2cv8o132h7mo7mxhcs7pp/102302f95912.jpg?rlkey=1balxv5ibw3byz5872tkck7dj&amp;dl=0","Click to download Image")</f>
      </c>
      <c r="C5017" s="0" t="inlineStr">
        <is>
          <t>Isaiah Realtree Camo Men's 1/2 Zip Hoodie</t>
        </is>
      </c>
      <c r="D5017" s="0" t="inlineStr">
        <is>
          <t>'102302</t>
        </is>
      </c>
      <c r="E5017" s="0" t="inlineStr">
        <is>
          <t>REALTREE:102302H-5XL</t>
        </is>
      </c>
      <c r="F5017" s="0" t="inlineStr">
        <is>
          <t>'000000000000</t>
        </is>
      </c>
      <c r="G5017" s="0" t="inlineStr">
        <is>
          <t>MENS</t>
        </is>
      </c>
      <c r="H5017" s="0" t="inlineStr">
        <is>
          <t>5XL</t>
        </is>
      </c>
      <c r="I5017" s="0">
        <v>59.99</v>
      </c>
      <c r="J5017" s="0">
        <v>0</v>
      </c>
    </row>
    <row r="5018" spans="1:10" customHeight="0">
      <c r="A5018" s="0">
        <f>HYPERLINK("https://dl.dropboxusercontent.com/scl/fi/2cv8o132h7mo7mxhcs7pp/102302f95912.jpg?rlkey=1balxv5ibw3byz5872tkck7dj&amp;dl=0","Click to download Image")</f>
      </c>
      <c r="C5018" s="0" t="inlineStr">
        <is>
          <t>Isaiah Realtree Camo Men's 1/2 Zip Hoodie</t>
        </is>
      </c>
      <c r="D5018" s="0" t="inlineStr">
        <is>
          <t>'102302</t>
        </is>
      </c>
      <c r="E5018" s="0" t="inlineStr">
        <is>
          <t>REALTREE:102302P-5XLT</t>
        </is>
      </c>
      <c r="F5018" s="0" t="inlineStr">
        <is>
          <t>'000000000000</t>
        </is>
      </c>
      <c r="G5018" s="0" t="inlineStr">
        <is>
          <t>MENS</t>
        </is>
      </c>
      <c r="H5018" s="0" t="inlineStr">
        <is>
          <t>5XL TALL</t>
        </is>
      </c>
      <c r="I5018" s="0">
        <v>63.99</v>
      </c>
      <c r="J5018" s="0">
        <v>3</v>
      </c>
    </row>
    <row r="5019" spans="1:10" customHeight="0">
      <c r="A5019" s="0">
        <f>HYPERLINK("https://dl.dropboxusercontent.com/scl/fi/2cv8o132h7mo7mxhcs7pp/102302f95912.jpg?rlkey=1balxv5ibw3byz5872tkck7dj&amp;dl=0","Click to download Image")</f>
      </c>
      <c r="C5019" s="0" t="inlineStr">
        <is>
          <t>Isaiah Realtree Camo Men's 1/2 Zip Hoodie</t>
        </is>
      </c>
      <c r="D5019" s="0" t="inlineStr">
        <is>
          <t>'102302</t>
        </is>
      </c>
      <c r="E5019" s="0" t="inlineStr">
        <is>
          <t>REALTREE:102302I-6XL</t>
        </is>
      </c>
      <c r="F5019" s="0" t="inlineStr">
        <is>
          <t>'000000000000</t>
        </is>
      </c>
      <c r="G5019" s="0" t="inlineStr">
        <is>
          <t>MENS</t>
        </is>
      </c>
      <c r="H5019" s="0" t="inlineStr">
        <is>
          <t>6XL</t>
        </is>
      </c>
      <c r="I5019" s="0">
        <v>64.99</v>
      </c>
      <c r="J5019" s="0">
        <v>0</v>
      </c>
    </row>
    <row r="5020" spans="1:10" customHeight="0">
      <c r="A5020" s="0">
        <f>HYPERLINK("https://dl.dropboxusercontent.com/scl/fi/2cv8o132h7mo7mxhcs7pp/102302f95912.jpg?rlkey=1balxv5ibw3byz5872tkck7dj&amp;dl=0","Click to download Image")</f>
      </c>
      <c r="C5020" s="0" t="inlineStr">
        <is>
          <t>Isaiah Realtree Camo Men's 1/2 Zip Hoodie</t>
        </is>
      </c>
      <c r="D5020" s="0" t="inlineStr">
        <is>
          <t>'102302</t>
        </is>
      </c>
      <c r="E5020" s="0" t="inlineStr">
        <is>
          <t>REALTREE:102302Q-6XLT</t>
        </is>
      </c>
      <c r="F5020" s="0" t="inlineStr">
        <is>
          <t>'000000000000</t>
        </is>
      </c>
      <c r="G5020" s="0" t="inlineStr">
        <is>
          <t>MENS</t>
        </is>
      </c>
      <c r="H5020" s="0" t="inlineStr">
        <is>
          <t>6XL TALL</t>
        </is>
      </c>
      <c r="I5020" s="0">
        <v>64.99</v>
      </c>
      <c r="J5020" s="0">
        <v>12</v>
      </c>
    </row>
    <row r="5021" spans="1:10" customHeight="0">
      <c r="A5021" s="0">
        <f>HYPERLINK("https://dl.dropboxusercontent.com/scl/fi/w8p4tc66pav85xk6mmbx6/102962-af1.jpg?rlkey=xkrplfcy5ct3obj9qhbnx5ugl&amp;dl=0","Click to download Image")</f>
      </c>
      <c r="C5021" s="0" t="inlineStr">
        <is>
          <t>Wade Swim Trunks</t>
        </is>
      </c>
      <c r="D5021" s="0" t="inlineStr">
        <is>
          <t>'104340</t>
        </is>
      </c>
      <c r="E5021" s="0" t="inlineStr">
        <is>
          <t>WADE:102962A-2T</t>
        </is>
      </c>
      <c r="F5021" s="0" t="inlineStr">
        <is>
          <t>'000000000000</t>
        </is>
      </c>
      <c r="G5021" s="0" t="inlineStr">
        <is>
          <t>TODDLER</t>
        </is>
      </c>
      <c r="H5021" s="0" t="inlineStr">
        <is>
          <t>2T</t>
        </is>
      </c>
      <c r="I5021" s="0">
        <v>24.99</v>
      </c>
      <c r="J5021" s="0">
        <v>102</v>
      </c>
    </row>
    <row r="5022" spans="1:10" customHeight="0">
      <c r="A5022" s="0">
        <f>HYPERLINK("https://dl.dropboxusercontent.com/scl/fi/w8p4tc66pav85xk6mmbx6/102962-af1.jpg?rlkey=xkrplfcy5ct3obj9qhbnx5ugl&amp;dl=0","Click to download Image")</f>
      </c>
      <c r="C5022" s="0" t="inlineStr">
        <is>
          <t>Wade Swim Trunks</t>
        </is>
      </c>
      <c r="D5022" s="0" t="inlineStr">
        <is>
          <t>'104340</t>
        </is>
      </c>
      <c r="E5022" s="0" t="inlineStr">
        <is>
          <t>WADE:102962B-3T</t>
        </is>
      </c>
      <c r="F5022" s="0" t="inlineStr">
        <is>
          <t>'000000000000</t>
        </is>
      </c>
      <c r="G5022" s="0" t="inlineStr">
        <is>
          <t>TODDLER</t>
        </is>
      </c>
      <c r="H5022" s="0" t="inlineStr">
        <is>
          <t>3T</t>
        </is>
      </c>
      <c r="I5022" s="0">
        <v>24.99</v>
      </c>
      <c r="J5022" s="0">
        <v>98</v>
      </c>
    </row>
    <row r="5023" spans="1:10" customHeight="0">
      <c r="A5023" s="0">
        <f>HYPERLINK("https://dl.dropboxusercontent.com/scl/fi/w8p4tc66pav85xk6mmbx6/102962-af1.jpg?rlkey=xkrplfcy5ct3obj9qhbnx5ugl&amp;dl=0","Click to download Image")</f>
      </c>
      <c r="C5023" s="0" t="inlineStr">
        <is>
          <t>Wade Swim Trunks</t>
        </is>
      </c>
      <c r="D5023" s="0" t="inlineStr">
        <is>
          <t>'104340</t>
        </is>
      </c>
      <c r="E5023" s="0" t="inlineStr">
        <is>
          <t>WADE:102962C-4T</t>
        </is>
      </c>
      <c r="F5023" s="0" t="inlineStr">
        <is>
          <t>'000000000000</t>
        </is>
      </c>
      <c r="G5023" s="0" t="inlineStr">
        <is>
          <t>TODDLER</t>
        </is>
      </c>
      <c r="H5023" s="0" t="inlineStr">
        <is>
          <t>4T</t>
        </is>
      </c>
      <c r="I5023" s="0">
        <v>24.99</v>
      </c>
      <c r="J5023" s="0">
        <v>97</v>
      </c>
    </row>
    <row r="5024" spans="1:10" customHeight="0">
      <c r="A5024" s="0">
        <f>HYPERLINK("https://dl.dropboxusercontent.com/scl/fi/w8p4tc66pav85xk6mmbx6/102962-af1.jpg?rlkey=xkrplfcy5ct3obj9qhbnx5ugl&amp;dl=0","Click to download Image")</f>
      </c>
      <c r="C5024" s="0" t="inlineStr">
        <is>
          <t>Wade Swim Trunks</t>
        </is>
      </c>
      <c r="D5024" s="0" t="inlineStr">
        <is>
          <t>'104340</t>
        </is>
      </c>
      <c r="E5024" s="0" t="inlineStr">
        <is>
          <t>WADE:102962D-5T</t>
        </is>
      </c>
      <c r="F5024" s="0" t="inlineStr">
        <is>
          <t>'000000000000</t>
        </is>
      </c>
      <c r="G5024" s="0" t="inlineStr">
        <is>
          <t>TODDLER</t>
        </is>
      </c>
      <c r="H5024" s="0" t="inlineStr">
        <is>
          <t>5T</t>
        </is>
      </c>
      <c r="I5024" s="0">
        <v>24.99</v>
      </c>
      <c r="J5024" s="0">
        <v>107</v>
      </c>
    </row>
    <row r="5025" spans="1:10" customHeight="0">
      <c r="A5025" s="0">
        <f>HYPERLINK("https://dl.dropboxusercontent.com/scl/fi/mhb7w2alyv3wgus591bnm/104340-af1.jpg?rlkey=mh8ftnyeeo4473wkm8m63tlqr&amp;dl=0","Click to download Image")</f>
      </c>
      <c r="C5025" s="0" t="inlineStr">
        <is>
          <t>Wade Swim Trunks</t>
        </is>
      </c>
      <c r="D5025" s="0" t="inlineStr">
        <is>
          <t>'104340</t>
        </is>
      </c>
      <c r="E5025" s="0" t="inlineStr">
        <is>
          <t>WADE:104340A-2T</t>
        </is>
      </c>
      <c r="F5025" s="0" t="inlineStr">
        <is>
          <t>'000000000000</t>
        </is>
      </c>
      <c r="G5025" s="0" t="inlineStr">
        <is>
          <t>TODDLER</t>
        </is>
      </c>
      <c r="H5025" s="0" t="inlineStr">
        <is>
          <t>2T</t>
        </is>
      </c>
      <c r="I5025" s="0">
        <v>24.99</v>
      </c>
      <c r="J5025" s="0">
        <v>14</v>
      </c>
    </row>
    <row r="5026" spans="1:10" customHeight="0">
      <c r="A5026" s="0">
        <f>HYPERLINK("https://dl.dropboxusercontent.com/scl/fi/mhb7w2alyv3wgus591bnm/104340-af1.jpg?rlkey=mh8ftnyeeo4473wkm8m63tlqr&amp;dl=0","Click to download Image")</f>
      </c>
      <c r="C5026" s="0" t="inlineStr">
        <is>
          <t>Wade Swim Trunks</t>
        </is>
      </c>
      <c r="D5026" s="0" t="inlineStr">
        <is>
          <t>'104340</t>
        </is>
      </c>
      <c r="E5026" s="0" t="inlineStr">
        <is>
          <t>WADE:104340B-3T</t>
        </is>
      </c>
      <c r="F5026" s="0" t="inlineStr">
        <is>
          <t>'000000000000</t>
        </is>
      </c>
      <c r="G5026" s="0" t="inlineStr">
        <is>
          <t>TODDLER</t>
        </is>
      </c>
      <c r="H5026" s="0" t="inlineStr">
        <is>
          <t>3T</t>
        </is>
      </c>
      <c r="I5026" s="0">
        <v>24.99</v>
      </c>
      <c r="J5026" s="0">
        <v>15</v>
      </c>
    </row>
    <row r="5027" spans="1:10" customHeight="0">
      <c r="A5027" s="0">
        <f>HYPERLINK("https://dl.dropboxusercontent.com/scl/fi/mhb7w2alyv3wgus591bnm/104340-af1.jpg?rlkey=mh8ftnyeeo4473wkm8m63tlqr&amp;dl=0","Click to download Image")</f>
      </c>
      <c r="C5027" s="0" t="inlineStr">
        <is>
          <t>Wade Swim Trunks</t>
        </is>
      </c>
      <c r="D5027" s="0" t="inlineStr">
        <is>
          <t>'104340</t>
        </is>
      </c>
      <c r="E5027" s="0" t="inlineStr">
        <is>
          <t>WADE:104340C-4T</t>
        </is>
      </c>
      <c r="F5027" s="0" t="inlineStr">
        <is>
          <t>'000000000000</t>
        </is>
      </c>
      <c r="G5027" s="0" t="inlineStr">
        <is>
          <t>TODDLER</t>
        </is>
      </c>
      <c r="H5027" s="0" t="inlineStr">
        <is>
          <t>4T</t>
        </is>
      </c>
      <c r="I5027" s="0">
        <v>24.99</v>
      </c>
      <c r="J5027" s="0">
        <v>14</v>
      </c>
    </row>
    <row r="5028" spans="1:10" customHeight="0">
      <c r="A5028" s="0">
        <f>HYPERLINK("https://dl.dropboxusercontent.com/scl/fi/mhb7w2alyv3wgus591bnm/104340-af1.jpg?rlkey=mh8ftnyeeo4473wkm8m63tlqr&amp;dl=0","Click to download Image")</f>
      </c>
      <c r="C5028" s="0" t="inlineStr">
        <is>
          <t>Wade Swim Trunks</t>
        </is>
      </c>
      <c r="D5028" s="0" t="inlineStr">
        <is>
          <t>'104340</t>
        </is>
      </c>
      <c r="E5028" s="0" t="inlineStr">
        <is>
          <t>WADE:104340D-5T</t>
        </is>
      </c>
      <c r="F5028" s="0" t="inlineStr">
        <is>
          <t>'000000000000</t>
        </is>
      </c>
      <c r="G5028" s="0" t="inlineStr">
        <is>
          <t>TODDLER</t>
        </is>
      </c>
      <c r="H5028" s="0" t="inlineStr">
        <is>
          <t>5T</t>
        </is>
      </c>
      <c r="I5028" s="0">
        <v>24.99</v>
      </c>
      <c r="J5028" s="0">
        <v>15</v>
      </c>
    </row>
    <row r="5029" spans="1:10" customHeight="0">
      <c r="A5029" s="0">
        <f>HYPERLINK("https://dl.dropboxusercontent.com/scl/fi/pdl5ku9b8z9ozzfg4u43h/113842af.jpg?rlkey=g155d7rwxw8b1o1qklzbw041g&amp;dl=0","Click to download Image")</f>
      </c>
      <c r="C5029" s="0" t="inlineStr">
        <is>
          <t>Heart Cotton Cap</t>
        </is>
      </c>
      <c r="D5029" s="0" t="inlineStr">
        <is>
          <t>'113842</t>
        </is>
      </c>
      <c r="E5029" s="0" t="inlineStr">
        <is>
          <t>UNI BLACK HEART:113842</t>
        </is>
      </c>
      <c r="F5029" s="0" t="inlineStr">
        <is>
          <t>'702113842019</t>
        </is>
      </c>
      <c r="G5029" s="0" t="inlineStr">
        <is>
          <t>WOMENS</t>
        </is>
      </c>
      <c r="H5029" s="0" t="inlineStr">
        <is>
          <t>WOMENS</t>
        </is>
      </c>
      <c r="I5029" s="0">
        <v>12.99</v>
      </c>
      <c r="J5029" s="0">
        <v>72</v>
      </c>
    </row>
    <row r="5030" spans="1:10" customHeight="0">
      <c r="A5030" s="0">
        <f>HYPERLINK("https://dl.dropboxusercontent.com/scl/fi/igyeefwmbblb1yohid3ya/113841af.jpg?rlkey=0msyt7nyosvnzfwxv2wnpuwak&amp;dl=0","Click to download Image")</f>
      </c>
      <c r="C5030" s="0" t="inlineStr">
        <is>
          <t>Heart Cotton Cap</t>
        </is>
      </c>
      <c r="D5030" s="0" t="inlineStr">
        <is>
          <t>'113841</t>
        </is>
      </c>
      <c r="E5030" s="0" t="inlineStr">
        <is>
          <t>ISU BLACK HEART:113841</t>
        </is>
      </c>
      <c r="F5030" s="0" t="inlineStr">
        <is>
          <t>'701113841015</t>
        </is>
      </c>
      <c r="G5030" s="0" t="inlineStr">
        <is>
          <t>WOMENS</t>
        </is>
      </c>
      <c r="H5030" s="0" t="inlineStr">
        <is>
          <t>WOMENS</t>
        </is>
      </c>
      <c r="I5030" s="0">
        <v>12.99</v>
      </c>
      <c r="J5030" s="0">
        <v>170</v>
      </c>
    </row>
    <row r="5031" spans="1:10" customHeight="0">
      <c r="A5031" s="0">
        <f>HYPERLINK("https://dl.dropboxusercontent.com/scl/fi/kk8tptb1uzdxspgiohrsl/113840af.jpg?rlkey=00pzrqkhvzoqjwazn8je42vp2&amp;dl=0","Click to download Image")</f>
      </c>
      <c r="C5031" s="0" t="inlineStr">
        <is>
          <t>Heart Cotton Cap</t>
        </is>
      </c>
      <c r="D5031" s="0" t="inlineStr">
        <is>
          <t>'113840</t>
        </is>
      </c>
      <c r="E5031" s="0" t="inlineStr">
        <is>
          <t>IOWA BLACK HEART:113840</t>
        </is>
      </c>
      <c r="F5031" s="0" t="inlineStr">
        <is>
          <t>'700113840011</t>
        </is>
      </c>
      <c r="G5031" s="0" t="inlineStr">
        <is>
          <t>WOMENS</t>
        </is>
      </c>
      <c r="H5031" s="0" t="inlineStr">
        <is>
          <t>WOMENS</t>
        </is>
      </c>
      <c r="I5031" s="0">
        <v>12.99</v>
      </c>
      <c r="J5031" s="0">
        <v>229</v>
      </c>
    </row>
    <row r="5032" spans="1:10" customHeight="0">
      <c r="A5032" s="0">
        <f>HYPERLINK("https://dl.dropboxusercontent.com/scl/fi/weur3749ertzu8juim5db/102305f33086.jpg?rlkey=6ugi52hbw8ebo6q6bxj3h1oh6&amp;dl=0","Click to download Image")</f>
      </c>
      <c r="C5032" s="0" t="inlineStr">
        <is>
          <t>Isaiah Realtree Camo Youth 1/2 Zip Hoodie</t>
        </is>
      </c>
      <c r="D5032" s="0" t="inlineStr">
        <is>
          <t>'102305</t>
        </is>
      </c>
      <c r="E5032" s="0" t="inlineStr">
        <is>
          <t>REALTREE:102305A-YS</t>
        </is>
      </c>
      <c r="F5032" s="0" t="inlineStr">
        <is>
          <t>'000000000000</t>
        </is>
      </c>
      <c r="G5032" s="0" t="inlineStr">
        <is>
          <t>YOUTH</t>
        </is>
      </c>
      <c r="H5032" s="0" t="inlineStr">
        <is>
          <t>YS</t>
        </is>
      </c>
      <c r="I5032" s="0">
        <v>49.99</v>
      </c>
      <c r="J5032" s="0">
        <v>67</v>
      </c>
    </row>
    <row r="5033" spans="1:10" customHeight="0">
      <c r="A5033" s="0">
        <f>HYPERLINK("https://dl.dropboxusercontent.com/scl/fi/weur3749ertzu8juim5db/102305f33086.jpg?rlkey=6ugi52hbw8ebo6q6bxj3h1oh6&amp;dl=0","Click to download Image")</f>
      </c>
      <c r="C5033" s="0" t="inlineStr">
        <is>
          <t>Isaiah Realtree Camo Youth 1/2 Zip Hoodie</t>
        </is>
      </c>
      <c r="D5033" s="0" t="inlineStr">
        <is>
          <t>'102305</t>
        </is>
      </c>
      <c r="E5033" s="0" t="inlineStr">
        <is>
          <t>REALTREE:102305B-YM</t>
        </is>
      </c>
      <c r="F5033" s="0" t="inlineStr">
        <is>
          <t>'000000000000</t>
        </is>
      </c>
      <c r="G5033" s="0" t="inlineStr">
        <is>
          <t>YOUTH</t>
        </is>
      </c>
      <c r="H5033" s="0" t="inlineStr">
        <is>
          <t>YM</t>
        </is>
      </c>
      <c r="I5033" s="0">
        <v>49.99</v>
      </c>
      <c r="J5033" s="0">
        <v>66</v>
      </c>
    </row>
    <row r="5034" spans="1:10" customHeight="0">
      <c r="A5034" s="0">
        <f>HYPERLINK("https://dl.dropboxusercontent.com/scl/fi/weur3749ertzu8juim5db/102305f33086.jpg?rlkey=6ugi52hbw8ebo6q6bxj3h1oh6&amp;dl=0","Click to download Image")</f>
      </c>
      <c r="C5034" s="0" t="inlineStr">
        <is>
          <t>Isaiah Realtree Camo Youth 1/2 Zip Hoodie</t>
        </is>
      </c>
      <c r="D5034" s="0" t="inlineStr">
        <is>
          <t>'102305</t>
        </is>
      </c>
      <c r="E5034" s="0" t="inlineStr">
        <is>
          <t>REALTREE:102305C-YL</t>
        </is>
      </c>
      <c r="F5034" s="0" t="inlineStr">
        <is>
          <t>'000000000000</t>
        </is>
      </c>
      <c r="G5034" s="0" t="inlineStr">
        <is>
          <t>YOUTH</t>
        </is>
      </c>
      <c r="H5034" s="0" t="inlineStr">
        <is>
          <t>YL</t>
        </is>
      </c>
      <c r="I5034" s="0">
        <v>49.99</v>
      </c>
      <c r="J5034" s="0">
        <v>68</v>
      </c>
    </row>
    <row r="5035" spans="1:10" customHeight="0">
      <c r="A5035" s="0">
        <f>HYPERLINK("https://dl.dropboxusercontent.com/scl/fi/weur3749ertzu8juim5db/102305f33086.jpg?rlkey=6ugi52hbw8ebo6q6bxj3h1oh6&amp;dl=0","Click to download Image")</f>
      </c>
      <c r="C5035" s="0" t="inlineStr">
        <is>
          <t>Isaiah Realtree Camo Youth 1/2 Zip Hoodie</t>
        </is>
      </c>
      <c r="D5035" s="0" t="inlineStr">
        <is>
          <t>'102305</t>
        </is>
      </c>
      <c r="E5035" s="0" t="inlineStr">
        <is>
          <t>REALTREE:102305D-YXL</t>
        </is>
      </c>
      <c r="F5035" s="0" t="inlineStr">
        <is>
          <t>'000000000000</t>
        </is>
      </c>
      <c r="G5035" s="0" t="inlineStr">
        <is>
          <t>YOUTH</t>
        </is>
      </c>
      <c r="H5035" s="0" t="inlineStr">
        <is>
          <t>YXL</t>
        </is>
      </c>
      <c r="I5035" s="0">
        <v>49.99</v>
      </c>
      <c r="J5035" s="0">
        <v>69</v>
      </c>
    </row>
    <row r="5036" spans="1:10" customHeight="0">
      <c r="A5036" s="0">
        <f>HYPERLINK("https://dl.dropboxusercontent.com/scl/fi/sb9l5lql5jdl16bwk2etw/103971-af.jpg?rlkey=x2ninn51iwhyzz8xg3f37q0ef&amp;dl=0","Click to download Image")</f>
      </c>
      <c r="B5036" s="0">
        <f>HYPERLINK("https://dl.dropboxusercontent.com/scl/fi/455fgysjwyfej8w4sfu2f/10-18-size-chartswomens.jpg?rlkey=0vom369x2z5x2bvc21rgmajtp&amp;dl=0","Click to download SizeChart")</f>
      </c>
      <c r="C5036" s="0" t="inlineStr">
        <is>
          <t>Silverman Women's Shorts</t>
        </is>
      </c>
      <c r="D5036" s="0" t="inlineStr">
        <is>
          <t>'103971</t>
        </is>
      </c>
      <c r="E5036" s="0" t="inlineStr">
        <is>
          <t>SILVERMAN:103971A-4</t>
        </is>
      </c>
      <c r="F5036" s="0" t="inlineStr">
        <is>
          <t>'000000000000</t>
        </is>
      </c>
      <c r="G5036" s="0" t="inlineStr">
        <is>
          <t>WOMENS</t>
        </is>
      </c>
      <c r="H5036" s="0" t="inlineStr">
        <is>
          <t>4</t>
        </is>
      </c>
      <c r="I5036" s="0">
        <v>42.99</v>
      </c>
      <c r="J5036" s="0">
        <v>60</v>
      </c>
    </row>
    <row r="5037" spans="1:10" customHeight="0">
      <c r="A5037" s="0">
        <f>HYPERLINK("https://dl.dropboxusercontent.com/scl/fi/sb9l5lql5jdl16bwk2etw/103971-af.jpg?rlkey=x2ninn51iwhyzz8xg3f37q0ef&amp;dl=0","Click to download Image")</f>
      </c>
      <c r="B5037" s="0">
        <f>HYPERLINK("https://dl.dropboxusercontent.com/scl/fi/455fgysjwyfej8w4sfu2f/10-18-size-chartswomens.jpg?rlkey=0vom369x2z5x2bvc21rgmajtp&amp;dl=0","Click to download SizeChart")</f>
      </c>
      <c r="C5037" s="0" t="inlineStr">
        <is>
          <t>Silverman Women's Shorts</t>
        </is>
      </c>
      <c r="D5037" s="0" t="inlineStr">
        <is>
          <t>'103971</t>
        </is>
      </c>
      <c r="E5037" s="0" t="inlineStr">
        <is>
          <t>SILVERMAN:103971B-6</t>
        </is>
      </c>
      <c r="F5037" s="0" t="inlineStr">
        <is>
          <t>'000000000000</t>
        </is>
      </c>
      <c r="G5037" s="0" t="inlineStr">
        <is>
          <t>WOMENS</t>
        </is>
      </c>
      <c r="H5037" s="0" t="inlineStr">
        <is>
          <t>6</t>
        </is>
      </c>
      <c r="I5037" s="0">
        <v>42.99</v>
      </c>
      <c r="J5037" s="0">
        <v>87</v>
      </c>
    </row>
    <row r="5038" spans="1:10" customHeight="0">
      <c r="A5038" s="0">
        <f>HYPERLINK("https://dl.dropboxusercontent.com/scl/fi/sb9l5lql5jdl16bwk2etw/103971-af.jpg?rlkey=x2ninn51iwhyzz8xg3f37q0ef&amp;dl=0","Click to download Image")</f>
      </c>
      <c r="B5038" s="0">
        <f>HYPERLINK("https://dl.dropboxusercontent.com/scl/fi/455fgysjwyfej8w4sfu2f/10-18-size-chartswomens.jpg?rlkey=0vom369x2z5x2bvc21rgmajtp&amp;dl=0","Click to download SizeChart")</f>
      </c>
      <c r="C5038" s="0" t="inlineStr">
        <is>
          <t>Silverman Women's Shorts</t>
        </is>
      </c>
      <c r="D5038" s="0" t="inlineStr">
        <is>
          <t>'103971</t>
        </is>
      </c>
      <c r="E5038" s="0" t="inlineStr">
        <is>
          <t>SILVERMAN:103971C-8</t>
        </is>
      </c>
      <c r="F5038" s="0" t="inlineStr">
        <is>
          <t>'000000000000</t>
        </is>
      </c>
      <c r="G5038" s="0" t="inlineStr">
        <is>
          <t>WOMENS</t>
        </is>
      </c>
      <c r="H5038" s="0" t="inlineStr">
        <is>
          <t>8</t>
        </is>
      </c>
      <c r="I5038" s="0">
        <v>42.99</v>
      </c>
      <c r="J5038" s="0">
        <v>118</v>
      </c>
    </row>
    <row r="5039" spans="1:10" customHeight="0">
      <c r="A5039" s="0">
        <f>HYPERLINK("https://dl.dropboxusercontent.com/scl/fi/sb9l5lql5jdl16bwk2etw/103971-af.jpg?rlkey=x2ninn51iwhyzz8xg3f37q0ef&amp;dl=0","Click to download Image")</f>
      </c>
      <c r="B5039" s="0">
        <f>HYPERLINK("https://dl.dropboxusercontent.com/scl/fi/455fgysjwyfej8w4sfu2f/10-18-size-chartswomens.jpg?rlkey=0vom369x2z5x2bvc21rgmajtp&amp;dl=0","Click to download SizeChart")</f>
      </c>
      <c r="C5039" s="0" t="inlineStr">
        <is>
          <t>Silverman Women's Shorts</t>
        </is>
      </c>
      <c r="D5039" s="0" t="inlineStr">
        <is>
          <t>'103971</t>
        </is>
      </c>
      <c r="E5039" s="0" t="inlineStr">
        <is>
          <t>SILVERMAN:103971D-10</t>
        </is>
      </c>
      <c r="F5039" s="0" t="inlineStr">
        <is>
          <t>'000000000000</t>
        </is>
      </c>
      <c r="G5039" s="0" t="inlineStr">
        <is>
          <t>WOMENS</t>
        </is>
      </c>
      <c r="H5039" s="0" t="inlineStr">
        <is>
          <t>10</t>
        </is>
      </c>
      <c r="I5039" s="0">
        <v>42.99</v>
      </c>
      <c r="J5039" s="0">
        <v>119</v>
      </c>
    </row>
    <row r="5040" spans="1:10" customHeight="0">
      <c r="A5040" s="0">
        <f>HYPERLINK("https://dl.dropboxusercontent.com/scl/fi/sb9l5lql5jdl16bwk2etw/103971-af.jpg?rlkey=x2ninn51iwhyzz8xg3f37q0ef&amp;dl=0","Click to download Image")</f>
      </c>
      <c r="B5040" s="0">
        <f>HYPERLINK("https://dl.dropboxusercontent.com/scl/fi/455fgysjwyfej8w4sfu2f/10-18-size-chartswomens.jpg?rlkey=0vom369x2z5x2bvc21rgmajtp&amp;dl=0","Click to download SizeChart")</f>
      </c>
      <c r="C5040" s="0" t="inlineStr">
        <is>
          <t>Silverman Women's Shorts</t>
        </is>
      </c>
      <c r="D5040" s="0" t="inlineStr">
        <is>
          <t>'103971</t>
        </is>
      </c>
      <c r="E5040" s="0" t="inlineStr">
        <is>
          <t>SILVERMAN:103971E-12</t>
        </is>
      </c>
      <c r="F5040" s="0" t="inlineStr">
        <is>
          <t>'000000000000</t>
        </is>
      </c>
      <c r="G5040" s="0" t="inlineStr">
        <is>
          <t>WOMENS</t>
        </is>
      </c>
      <c r="H5040" s="0" t="inlineStr">
        <is>
          <t>12</t>
        </is>
      </c>
      <c r="I5040" s="0">
        <v>42.99</v>
      </c>
      <c r="J5040" s="0">
        <v>79</v>
      </c>
    </row>
    <row r="5041" spans="1:10" customHeight="0">
      <c r="A5041" s="0">
        <f>HYPERLINK("https://dl.dropboxusercontent.com/scl/fi/sb9l5lql5jdl16bwk2etw/103971-af.jpg?rlkey=x2ninn51iwhyzz8xg3f37q0ef&amp;dl=0","Click to download Image")</f>
      </c>
      <c r="B5041" s="0">
        <f>HYPERLINK("https://dl.dropboxusercontent.com/scl/fi/455fgysjwyfej8w4sfu2f/10-18-size-chartswomens.jpg?rlkey=0vom369x2z5x2bvc21rgmajtp&amp;dl=0","Click to download SizeChart")</f>
      </c>
      <c r="C5041" s="0" t="inlineStr">
        <is>
          <t>Silverman Women's Shorts</t>
        </is>
      </c>
      <c r="D5041" s="0" t="inlineStr">
        <is>
          <t>'103971</t>
        </is>
      </c>
      <c r="E5041" s="0" t="inlineStr">
        <is>
          <t>SILVERMAN:103971F-14</t>
        </is>
      </c>
      <c r="F5041" s="0" t="inlineStr">
        <is>
          <t>'000000000000</t>
        </is>
      </c>
      <c r="G5041" s="0" t="inlineStr">
        <is>
          <t>WOMENS</t>
        </is>
      </c>
      <c r="H5041" s="0" t="inlineStr">
        <is>
          <t>14</t>
        </is>
      </c>
      <c r="I5041" s="0">
        <v>42.99</v>
      </c>
      <c r="J5041" s="0">
        <v>29</v>
      </c>
    </row>
    <row r="5042" spans="1:10" customHeight="0">
      <c r="A5042" s="0">
        <f>HYPERLINK("https://dl.dropboxusercontent.com/scl/fi/lplv0xhh6xwz8mxyrsqx2/104511-af.jpg?rlkey=sxb4w0mb2r04yjo6bc5k84n4x&amp;dl=0","Click to download Image")</f>
      </c>
      <c r="B5042" s="0">
        <f>HYPERLINK("https://dl.dropboxusercontent.com/scl/fi/455fgysjwyfej8w4sfu2f/10-18-size-chartswomens.jpg?rlkey=0vom369x2z5x2bvc21rgmajtp&amp;dl=0","Click to download SizeChart")</f>
      </c>
      <c r="C5042" s="0" t="inlineStr">
        <is>
          <t>Silverman Women's Shorts</t>
        </is>
      </c>
      <c r="D5042" s="0" t="inlineStr">
        <is>
          <t>'104511</t>
        </is>
      </c>
      <c r="E5042" s="0" t="inlineStr">
        <is>
          <t>SILVERMAN:104511A-4</t>
        </is>
      </c>
      <c r="F5042" s="0" t="inlineStr">
        <is>
          <t>'000000000000</t>
        </is>
      </c>
      <c r="G5042" s="0" t="inlineStr">
        <is>
          <t>WOMENS</t>
        </is>
      </c>
      <c r="H5042" s="0" t="inlineStr">
        <is>
          <t>4</t>
        </is>
      </c>
      <c r="I5042" s="0">
        <v>42.99</v>
      </c>
      <c r="J5042" s="0">
        <v>35</v>
      </c>
    </row>
    <row r="5043" spans="1:10" customHeight="0">
      <c r="A5043" s="0">
        <f>HYPERLINK("https://dl.dropboxusercontent.com/scl/fi/lplv0xhh6xwz8mxyrsqx2/104511-af.jpg?rlkey=sxb4w0mb2r04yjo6bc5k84n4x&amp;dl=0","Click to download Image")</f>
      </c>
      <c r="B5043" s="0">
        <f>HYPERLINK("https://dl.dropboxusercontent.com/scl/fi/455fgysjwyfej8w4sfu2f/10-18-size-chartswomens.jpg?rlkey=0vom369x2z5x2bvc21rgmajtp&amp;dl=0","Click to download SizeChart")</f>
      </c>
      <c r="C5043" s="0" t="inlineStr">
        <is>
          <t>Silverman Women's Shorts</t>
        </is>
      </c>
      <c r="D5043" s="0" t="inlineStr">
        <is>
          <t>'104511</t>
        </is>
      </c>
      <c r="E5043" s="0" t="inlineStr">
        <is>
          <t>SILVERMAN:104511B-6</t>
        </is>
      </c>
      <c r="F5043" s="0" t="inlineStr">
        <is>
          <t>'000000000000</t>
        </is>
      </c>
      <c r="G5043" s="0" t="inlineStr">
        <is>
          <t>WOMENS</t>
        </is>
      </c>
      <c r="H5043" s="0" t="inlineStr">
        <is>
          <t>6</t>
        </is>
      </c>
      <c r="I5043" s="0">
        <v>42.99</v>
      </c>
      <c r="J5043" s="0">
        <v>40</v>
      </c>
    </row>
    <row r="5044" spans="1:10" customHeight="0">
      <c r="A5044" s="0">
        <f>HYPERLINK("https://dl.dropboxusercontent.com/scl/fi/lplv0xhh6xwz8mxyrsqx2/104511-af.jpg?rlkey=sxb4w0mb2r04yjo6bc5k84n4x&amp;dl=0","Click to download Image")</f>
      </c>
      <c r="B5044" s="0">
        <f>HYPERLINK("https://dl.dropboxusercontent.com/scl/fi/455fgysjwyfej8w4sfu2f/10-18-size-chartswomens.jpg?rlkey=0vom369x2z5x2bvc21rgmajtp&amp;dl=0","Click to download SizeChart")</f>
      </c>
      <c r="C5044" s="0" t="inlineStr">
        <is>
          <t>Silverman Women's Shorts</t>
        </is>
      </c>
      <c r="D5044" s="0" t="inlineStr">
        <is>
          <t>'104511</t>
        </is>
      </c>
      <c r="E5044" s="0" t="inlineStr">
        <is>
          <t>SILVERMAN:104511C-8</t>
        </is>
      </c>
      <c r="F5044" s="0" t="inlineStr">
        <is>
          <t>'000000000000</t>
        </is>
      </c>
      <c r="G5044" s="0" t="inlineStr">
        <is>
          <t>WOMENS</t>
        </is>
      </c>
      <c r="H5044" s="0" t="inlineStr">
        <is>
          <t>8</t>
        </is>
      </c>
      <c r="I5044" s="0">
        <v>42.99</v>
      </c>
      <c r="J5044" s="0">
        <v>55</v>
      </c>
    </row>
    <row r="5045" spans="1:10" customHeight="0">
      <c r="A5045" s="0">
        <f>HYPERLINK("https://dl.dropboxusercontent.com/scl/fi/lplv0xhh6xwz8mxyrsqx2/104511-af.jpg?rlkey=sxb4w0mb2r04yjo6bc5k84n4x&amp;dl=0","Click to download Image")</f>
      </c>
      <c r="B5045" s="0">
        <f>HYPERLINK("https://dl.dropboxusercontent.com/scl/fi/455fgysjwyfej8w4sfu2f/10-18-size-chartswomens.jpg?rlkey=0vom369x2z5x2bvc21rgmajtp&amp;dl=0","Click to download SizeChart")</f>
      </c>
      <c r="C5045" s="0" t="inlineStr">
        <is>
          <t>Silverman Women's Shorts</t>
        </is>
      </c>
      <c r="D5045" s="0" t="inlineStr">
        <is>
          <t>'104511</t>
        </is>
      </c>
      <c r="E5045" s="0" t="inlineStr">
        <is>
          <t>SILVERMAN:104511D-10</t>
        </is>
      </c>
      <c r="F5045" s="0" t="inlineStr">
        <is>
          <t>'000000000000</t>
        </is>
      </c>
      <c r="G5045" s="0" t="inlineStr">
        <is>
          <t>WOMENS</t>
        </is>
      </c>
      <c r="H5045" s="0" t="inlineStr">
        <is>
          <t>12</t>
        </is>
      </c>
      <c r="I5045" s="0">
        <v>42.99</v>
      </c>
      <c r="J5045" s="0">
        <v>57</v>
      </c>
    </row>
    <row r="5046" spans="1:10" customHeight="0">
      <c r="A5046" s="0">
        <f>HYPERLINK("https://dl.dropboxusercontent.com/scl/fi/lplv0xhh6xwz8mxyrsqx2/104511-af.jpg?rlkey=sxb4w0mb2r04yjo6bc5k84n4x&amp;dl=0","Click to download Image")</f>
      </c>
      <c r="B5046" s="0">
        <f>HYPERLINK("https://dl.dropboxusercontent.com/scl/fi/455fgysjwyfej8w4sfu2f/10-18-size-chartswomens.jpg?rlkey=0vom369x2z5x2bvc21rgmajtp&amp;dl=0","Click to download SizeChart")</f>
      </c>
      <c r="C5046" s="0" t="inlineStr">
        <is>
          <t>Silverman Women's Shorts</t>
        </is>
      </c>
      <c r="D5046" s="0" t="inlineStr">
        <is>
          <t>'104511</t>
        </is>
      </c>
      <c r="E5046" s="0" t="inlineStr">
        <is>
          <t>SILVERMAN:104511E-12</t>
        </is>
      </c>
      <c r="F5046" s="0" t="inlineStr">
        <is>
          <t>'000000000000</t>
        </is>
      </c>
      <c r="G5046" s="0" t="inlineStr">
        <is>
          <t>WOMENS</t>
        </is>
      </c>
      <c r="H5046" s="0" t="inlineStr">
        <is>
          <t>12</t>
        </is>
      </c>
      <c r="I5046" s="0">
        <v>42.99</v>
      </c>
      <c r="J5046" s="0">
        <v>35</v>
      </c>
    </row>
    <row r="5047" spans="1:10" customHeight="0">
      <c r="A5047" s="0">
        <f>HYPERLINK("https://dl.dropboxusercontent.com/scl/fi/lplv0xhh6xwz8mxyrsqx2/104511-af.jpg?rlkey=sxb4w0mb2r04yjo6bc5k84n4x&amp;dl=0","Click to download Image")</f>
      </c>
      <c r="B5047" s="0">
        <f>HYPERLINK("https://dl.dropboxusercontent.com/scl/fi/455fgysjwyfej8w4sfu2f/10-18-size-chartswomens.jpg?rlkey=0vom369x2z5x2bvc21rgmajtp&amp;dl=0","Click to download SizeChart")</f>
      </c>
      <c r="C5047" s="0" t="inlineStr">
        <is>
          <t>Silverman Women's Shorts</t>
        </is>
      </c>
      <c r="D5047" s="0" t="inlineStr">
        <is>
          <t>'104511</t>
        </is>
      </c>
      <c r="E5047" s="0" t="inlineStr">
        <is>
          <t>SILVERMAN:104511F-14</t>
        </is>
      </c>
      <c r="F5047" s="0" t="inlineStr">
        <is>
          <t>'000000000000</t>
        </is>
      </c>
      <c r="G5047" s="0" t="inlineStr">
        <is>
          <t>WOMENS</t>
        </is>
      </c>
      <c r="H5047" s="0" t="inlineStr">
        <is>
          <t>14</t>
        </is>
      </c>
      <c r="I5047" s="0">
        <v>42.99</v>
      </c>
      <c r="J5047" s="0">
        <v>30</v>
      </c>
    </row>
    <row r="5048" spans="1:10" customHeight="0">
      <c r="A5048" s="0">
        <f>HYPERLINK("https://dl.dropboxusercontent.com/scl/fi/ncsqjb56lqyox7qoahki6/111826af89243.jpg?rlkey=2hb7wkj4kn03jqya9s4r6nlju&amp;dl=0","Click to download Image")</f>
      </c>
      <c r="B5048" s="0">
        <f>HYPERLINK("https://dl.dropboxusercontent.com/scl/fi/rpr4zfb2j3jgsrlhcioa3/womens-t-shirt-size-chartsgabby.jpg?rlkey=63s7efuzvkechpzqcb8mp1smj&amp;dl=0","Click to download SizeChart")</f>
      </c>
      <c r="C5048" s="0" t="inlineStr">
        <is>
          <t>Gabby Performance Long Sleeve</t>
        </is>
      </c>
      <c r="D5048" s="0" t="inlineStr">
        <is>
          <t>'111826</t>
        </is>
      </c>
      <c r="E5048" s="0" t="inlineStr">
        <is>
          <t>IOWA GABBY BLACK:111826AA-XS</t>
        </is>
      </c>
      <c r="F5048" s="0" t="inlineStr">
        <is>
          <t>'800111826038</t>
        </is>
      </c>
      <c r="G5048" s="0" t="inlineStr">
        <is>
          <t>WOMENS</t>
        </is>
      </c>
      <c r="H5048" s="0" t="inlineStr">
        <is>
          <t>XS</t>
        </is>
      </c>
      <c r="I5048" s="0">
        <v>29.99</v>
      </c>
      <c r="J5048" s="0">
        <v>7</v>
      </c>
    </row>
    <row r="5049" spans="1:10" customHeight="0">
      <c r="A5049" s="0">
        <f>HYPERLINK("https://dl.dropboxusercontent.com/scl/fi/srozp9w89ov0v66hns26u/ariana.jpg?rlkey=ekzsi0pjvtfw3tgcytokeouzc&amp;dl=0","Click to download Image")</f>
      </c>
      <c r="B5049" s="0">
        <f>HYPERLINK("https://dl.dropboxusercontent.com/scl/fi/5kx98lgdw8zhb8b0z868t/womens-size-chartsariana.jpg?rlkey=grlhrv7bdfqik07p2u69tuy00&amp;dl=0","Click to download SizeChart")</f>
      </c>
      <c r="C5049" s="0" t="inlineStr">
        <is>
          <t>Ariana Crop Jacket</t>
        </is>
      </c>
      <c r="D5049" s="0" t="inlineStr">
        <is>
          <t>'111792</t>
        </is>
      </c>
      <c r="E5049" s="0" t="inlineStr">
        <is>
          <t>IOWA ARIANA WHITE:111792AA-XS</t>
        </is>
      </c>
      <c r="F5049" s="0" t="inlineStr">
        <is>
          <t>'800111792036</t>
        </is>
      </c>
      <c r="G5049" s="0" t="inlineStr">
        <is>
          <t>WOMENS</t>
        </is>
      </c>
      <c r="H5049" s="0" t="inlineStr">
        <is>
          <t>XS</t>
        </is>
      </c>
      <c r="I5049" s="0">
        <v>149.99</v>
      </c>
      <c r="J5049" s="0">
        <v>23</v>
      </c>
    </row>
    <row r="5050" spans="1:10" customHeight="0">
      <c r="A5050" s="0">
        <f>HYPERLINK("https://dl.dropboxusercontent.com/scl/fi/srozp9w89ov0v66hns26u/ariana.jpg?rlkey=ekzsi0pjvtfw3tgcytokeouzc&amp;dl=0","Click to download Image")</f>
      </c>
      <c r="B5050" s="0">
        <f>HYPERLINK("https://dl.dropboxusercontent.com/scl/fi/5kx98lgdw8zhb8b0z868t/womens-size-chartsariana.jpg?rlkey=grlhrv7bdfqik07p2u69tuy00&amp;dl=0","Click to download SizeChart")</f>
      </c>
      <c r="C5050" s="0" t="inlineStr">
        <is>
          <t>Ariana Crop Jacket</t>
        </is>
      </c>
      <c r="D5050" s="0" t="inlineStr">
        <is>
          <t>'111792</t>
        </is>
      </c>
      <c r="E5050" s="0" t="inlineStr">
        <is>
          <t>IOWA ARIANA WHITE:111792A-S</t>
        </is>
      </c>
      <c r="F5050" s="0" t="inlineStr">
        <is>
          <t>'800111792043</t>
        </is>
      </c>
      <c r="G5050" s="0" t="inlineStr">
        <is>
          <t>WOMENS</t>
        </is>
      </c>
      <c r="H5050" s="0" t="inlineStr">
        <is>
          <t>S</t>
        </is>
      </c>
      <c r="I5050" s="0">
        <v>149.99</v>
      </c>
      <c r="J5050" s="0">
        <v>35</v>
      </c>
    </row>
    <row r="5051" spans="1:10" customHeight="0">
      <c r="A5051" s="0">
        <f>HYPERLINK("https://dl.dropboxusercontent.com/scl/fi/srozp9w89ov0v66hns26u/ariana.jpg?rlkey=ekzsi0pjvtfw3tgcytokeouzc&amp;dl=0","Click to download Image")</f>
      </c>
      <c r="B5051" s="0">
        <f>HYPERLINK("https://dl.dropboxusercontent.com/scl/fi/5kx98lgdw8zhb8b0z868t/womens-size-chartsariana.jpg?rlkey=grlhrv7bdfqik07p2u69tuy00&amp;dl=0","Click to download SizeChart")</f>
      </c>
      <c r="C5051" s="0" t="inlineStr">
        <is>
          <t>Ariana Crop Jacket</t>
        </is>
      </c>
      <c r="D5051" s="0" t="inlineStr">
        <is>
          <t>'111792</t>
        </is>
      </c>
      <c r="E5051" s="0" t="inlineStr">
        <is>
          <t>IOWA ARIANA WHITE:111792B-M</t>
        </is>
      </c>
      <c r="F5051" s="0" t="inlineStr">
        <is>
          <t>'800111792050</t>
        </is>
      </c>
      <c r="G5051" s="0" t="inlineStr">
        <is>
          <t>WOMENS</t>
        </is>
      </c>
      <c r="H5051" s="0" t="inlineStr">
        <is>
          <t>M</t>
        </is>
      </c>
      <c r="I5051" s="0">
        <v>149.99</v>
      </c>
      <c r="J5051" s="0">
        <v>35</v>
      </c>
    </row>
    <row r="5052" spans="1:10" customHeight="0">
      <c r="A5052" s="0">
        <f>HYPERLINK("https://dl.dropboxusercontent.com/scl/fi/srozp9w89ov0v66hns26u/ariana.jpg?rlkey=ekzsi0pjvtfw3tgcytokeouzc&amp;dl=0","Click to download Image")</f>
      </c>
      <c r="B5052" s="0">
        <f>HYPERLINK("https://dl.dropboxusercontent.com/scl/fi/5kx98lgdw8zhb8b0z868t/womens-size-chartsariana.jpg?rlkey=grlhrv7bdfqik07p2u69tuy00&amp;dl=0","Click to download SizeChart")</f>
      </c>
      <c r="C5052" s="0" t="inlineStr">
        <is>
          <t>Ariana Crop Jacket</t>
        </is>
      </c>
      <c r="D5052" s="0" t="inlineStr">
        <is>
          <t>'111792</t>
        </is>
      </c>
      <c r="E5052" s="0" t="inlineStr">
        <is>
          <t>IOWA ARIANA WHITE:111792C-L</t>
        </is>
      </c>
      <c r="F5052" s="0" t="inlineStr">
        <is>
          <t>'800111792067</t>
        </is>
      </c>
      <c r="G5052" s="0" t="inlineStr">
        <is>
          <t>WOMENS</t>
        </is>
      </c>
      <c r="H5052" s="0" t="inlineStr">
        <is>
          <t>L</t>
        </is>
      </c>
      <c r="I5052" s="0">
        <v>149.99</v>
      </c>
      <c r="J5052" s="0">
        <v>22</v>
      </c>
    </row>
    <row r="5053" spans="1:10" customHeight="0">
      <c r="A5053" s="0">
        <f>HYPERLINK("https://dl.dropboxusercontent.com/scl/fi/srozp9w89ov0v66hns26u/ariana.jpg?rlkey=ekzsi0pjvtfw3tgcytokeouzc&amp;dl=0","Click to download Image")</f>
      </c>
      <c r="B5053" s="0">
        <f>HYPERLINK("https://dl.dropboxusercontent.com/scl/fi/5kx98lgdw8zhb8b0z868t/womens-size-chartsariana.jpg?rlkey=grlhrv7bdfqik07p2u69tuy00&amp;dl=0","Click to download SizeChart")</f>
      </c>
      <c r="C5053" s="0" t="inlineStr">
        <is>
          <t>Ariana Crop Jacket</t>
        </is>
      </c>
      <c r="D5053" s="0" t="inlineStr">
        <is>
          <t>'111792</t>
        </is>
      </c>
      <c r="E5053" s="0" t="inlineStr">
        <is>
          <t>IOWA ARIANA WHITE:111792D-XL</t>
        </is>
      </c>
      <c r="F5053" s="0" t="inlineStr">
        <is>
          <t>'800111792074</t>
        </is>
      </c>
      <c r="G5053" s="0" t="inlineStr">
        <is>
          <t>WOMENS</t>
        </is>
      </c>
      <c r="H5053" s="0" t="inlineStr">
        <is>
          <t>XL</t>
        </is>
      </c>
      <c r="I5053" s="0">
        <v>149.99</v>
      </c>
      <c r="J5053" s="0">
        <v>23</v>
      </c>
    </row>
    <row r="5054" spans="1:10" customHeight="0">
      <c r="A5054" s="0">
        <f>HYPERLINK("https://dl.dropboxusercontent.com/scl/fi/srozp9w89ov0v66hns26u/ariana.jpg?rlkey=ekzsi0pjvtfw3tgcytokeouzc&amp;dl=0","Click to download Image")</f>
      </c>
      <c r="B5054" s="0">
        <f>HYPERLINK("https://dl.dropboxusercontent.com/scl/fi/5kx98lgdw8zhb8b0z868t/womens-size-chartsariana.jpg?rlkey=grlhrv7bdfqik07p2u69tuy00&amp;dl=0","Click to download SizeChart")</f>
      </c>
      <c r="C5054" s="0" t="inlineStr">
        <is>
          <t>Ariana Crop Jacket</t>
        </is>
      </c>
      <c r="D5054" s="0" t="inlineStr">
        <is>
          <t>'111792</t>
        </is>
      </c>
      <c r="E5054" s="0" t="inlineStr">
        <is>
          <t>IOWA ARIANA WHITE:111792E-2XL</t>
        </is>
      </c>
      <c r="F5054" s="0" t="inlineStr">
        <is>
          <t>'800111792081</t>
        </is>
      </c>
      <c r="G5054" s="0" t="inlineStr">
        <is>
          <t>WOMENS</t>
        </is>
      </c>
      <c r="H5054" s="0" t="inlineStr">
        <is>
          <t>2XL</t>
        </is>
      </c>
      <c r="I5054" s="0">
        <v>151.99</v>
      </c>
      <c r="J5054" s="0">
        <v>10</v>
      </c>
    </row>
    <row r="5055" spans="1:10" customHeight="0">
      <c r="A5055" s="0">
        <f>HYPERLINK("https://dl.dropboxusercontent.com/scl/fi/srozp9w89ov0v66hns26u/ariana.jpg?rlkey=ekzsi0pjvtfw3tgcytokeouzc&amp;dl=0","Click to download Image")</f>
      </c>
      <c r="B5055" s="0">
        <f>HYPERLINK("https://dl.dropboxusercontent.com/scl/fi/5kx98lgdw8zhb8b0z868t/womens-size-chartsariana.jpg?rlkey=grlhrv7bdfqik07p2u69tuy00&amp;dl=0","Click to download SizeChart")</f>
      </c>
      <c r="C5055" s="0" t="inlineStr">
        <is>
          <t>Ariana Crop Jacket</t>
        </is>
      </c>
      <c r="D5055" s="0" t="inlineStr">
        <is>
          <t>'111792</t>
        </is>
      </c>
      <c r="E5055" s="0" t="inlineStr">
        <is>
          <t>IOWA ARIANA WHITE:111792F-3XL</t>
        </is>
      </c>
      <c r="F5055" s="0" t="inlineStr">
        <is>
          <t>'800111792098</t>
        </is>
      </c>
      <c r="G5055" s="0" t="inlineStr">
        <is>
          <t>WOMENS</t>
        </is>
      </c>
      <c r="H5055" s="0" t="inlineStr">
        <is>
          <t>3XL</t>
        </is>
      </c>
      <c r="I5055" s="0">
        <v>151.99</v>
      </c>
      <c r="J5055" s="0">
        <v>12</v>
      </c>
    </row>
    <row r="5056" spans="1:10" customHeight="0">
      <c r="A5056" s="0">
        <f>HYPERLINK("https://dl.dropboxusercontent.com/scl/fi/bbncmuiwgsepx2h6xkqxq/110910-af.jpg?rlkey=tghbyrerznt8atm78tm75e0tn&amp;dl=0","Click to download Image")</f>
      </c>
      <c r="C5056" s="0" t="inlineStr">
        <is>
          <t>Erica Button Infinity Scarf</t>
        </is>
      </c>
      <c r="D5056" s="0" t="inlineStr">
        <is>
          <t>'110910</t>
        </is>
      </c>
      <c r="E5056" s="0" t="inlineStr">
        <is>
          <t>IOWA ERICA SCARF:110910</t>
        </is>
      </c>
      <c r="F5056" s="0" t="inlineStr">
        <is>
          <t>'700110910014</t>
        </is>
      </c>
      <c r="I5056" s="0">
        <v>29.99</v>
      </c>
      <c r="J5056" s="0">
        <v>227</v>
      </c>
    </row>
    <row r="5057" spans="1:10" customHeight="0">
      <c r="A5057" s="0">
        <f>HYPERLINK("https://dl.dropboxusercontent.com/scl/fi/ehgk79q6v7ga3laprpb0y/scarlettbk.jpg?rlkey=vbb10jmcw2dbdbhiqwzgh05ke&amp;dl=0","Click to download Image")</f>
      </c>
      <c r="B5057" s="0">
        <f>HYPERLINK("https://dl.dropboxusercontent.com/scl/fi/xqe2hch7rfqguleaojub9/womens-jackets-size-chartsscarlett.jpg?rlkey=cqiibhoj6e6mpmtia2pk5oqxz&amp;dl=0","Click to download SizeChart")</f>
      </c>
      <c r="C5057" s="0" t="inlineStr">
        <is>
          <t>Scarlett Women's Wool Jacket</t>
        </is>
      </c>
      <c r="D5057" s="0" t="inlineStr">
        <is>
          <t>'110925</t>
        </is>
      </c>
      <c r="E5057" s="0" t="inlineStr">
        <is>
          <t>IOWA SCARLETT BLACK:110925AA-XS</t>
        </is>
      </c>
      <c r="F5057" s="0" t="inlineStr">
        <is>
          <t>'800110925039</t>
        </is>
      </c>
      <c r="G5057" s="0" t="inlineStr">
        <is>
          <t>WOMENS</t>
        </is>
      </c>
      <c r="H5057" s="0" t="inlineStr">
        <is>
          <t>XS</t>
        </is>
      </c>
      <c r="I5057" s="0">
        <v>118.99</v>
      </c>
      <c r="J5057" s="0">
        <v>12</v>
      </c>
    </row>
    <row r="5058" spans="1:10" customHeight="0">
      <c r="A5058" s="0">
        <f>HYPERLINK("https://dl.dropboxusercontent.com/scl/fi/ehgk79q6v7ga3laprpb0y/scarlettbk.jpg?rlkey=vbb10jmcw2dbdbhiqwzgh05ke&amp;dl=0","Click to download Image")</f>
      </c>
      <c r="B5058" s="0">
        <f>HYPERLINK("https://dl.dropboxusercontent.com/scl/fi/xqe2hch7rfqguleaojub9/womens-jackets-size-chartsscarlett.jpg?rlkey=cqiibhoj6e6mpmtia2pk5oqxz&amp;dl=0","Click to download SizeChart")</f>
      </c>
      <c r="C5058" s="0" t="inlineStr">
        <is>
          <t>Scarlett Women's Wool Jacket</t>
        </is>
      </c>
      <c r="D5058" s="0" t="inlineStr">
        <is>
          <t>'110925</t>
        </is>
      </c>
      <c r="E5058" s="0" t="inlineStr">
        <is>
          <t>IOWA SCARLETT BLACK:110925A-S</t>
        </is>
      </c>
      <c r="F5058" s="0" t="inlineStr">
        <is>
          <t>'800110925046</t>
        </is>
      </c>
      <c r="G5058" s="0" t="inlineStr">
        <is>
          <t>WOMENS</t>
        </is>
      </c>
      <c r="H5058" s="0" t="inlineStr">
        <is>
          <t>S</t>
        </is>
      </c>
      <c r="I5058" s="0">
        <v>118.99</v>
      </c>
      <c r="J5058" s="0">
        <v>17</v>
      </c>
    </row>
    <row r="5059" spans="1:10" customHeight="0">
      <c r="A5059" s="0">
        <f>HYPERLINK("https://dl.dropboxusercontent.com/scl/fi/ehgk79q6v7ga3laprpb0y/scarlettbk.jpg?rlkey=vbb10jmcw2dbdbhiqwzgh05ke&amp;dl=0","Click to download Image")</f>
      </c>
      <c r="B5059" s="0">
        <f>HYPERLINK("https://dl.dropboxusercontent.com/scl/fi/xqe2hch7rfqguleaojub9/womens-jackets-size-chartsscarlett.jpg?rlkey=cqiibhoj6e6mpmtia2pk5oqxz&amp;dl=0","Click to download SizeChart")</f>
      </c>
      <c r="C5059" s="0" t="inlineStr">
        <is>
          <t>Scarlett Women's Wool Jacket</t>
        </is>
      </c>
      <c r="D5059" s="0" t="inlineStr">
        <is>
          <t>'110925</t>
        </is>
      </c>
      <c r="E5059" s="0" t="inlineStr">
        <is>
          <t>IOWA SCARLETT BLACK:110925B-M</t>
        </is>
      </c>
      <c r="F5059" s="0" t="inlineStr">
        <is>
          <t>'800110925053</t>
        </is>
      </c>
      <c r="G5059" s="0" t="inlineStr">
        <is>
          <t>WOMENS</t>
        </is>
      </c>
      <c r="H5059" s="0" t="inlineStr">
        <is>
          <t>M</t>
        </is>
      </c>
      <c r="I5059" s="0">
        <v>118.99</v>
      </c>
      <c r="J5059" s="0">
        <v>12</v>
      </c>
    </row>
    <row r="5060" spans="1:10" customHeight="0">
      <c r="A5060" s="0">
        <f>HYPERLINK("https://dl.dropboxusercontent.com/scl/fi/ehgk79q6v7ga3laprpb0y/scarlettbk.jpg?rlkey=vbb10jmcw2dbdbhiqwzgh05ke&amp;dl=0","Click to download Image")</f>
      </c>
      <c r="B5060" s="0">
        <f>HYPERLINK("https://dl.dropboxusercontent.com/scl/fi/xqe2hch7rfqguleaojub9/womens-jackets-size-chartsscarlett.jpg?rlkey=cqiibhoj6e6mpmtia2pk5oqxz&amp;dl=0","Click to download SizeChart")</f>
      </c>
      <c r="C5060" s="0" t="inlineStr">
        <is>
          <t>Scarlett Women's Wool Jacket</t>
        </is>
      </c>
      <c r="D5060" s="0" t="inlineStr">
        <is>
          <t>'110925</t>
        </is>
      </c>
      <c r="E5060" s="0" t="inlineStr">
        <is>
          <t>IOWA SCARLETT BLACK:110925C-L</t>
        </is>
      </c>
      <c r="F5060" s="0" t="inlineStr">
        <is>
          <t>'800110925060</t>
        </is>
      </c>
      <c r="G5060" s="0" t="inlineStr">
        <is>
          <t>WOMENS</t>
        </is>
      </c>
      <c r="H5060" s="0" t="inlineStr">
        <is>
          <t>L</t>
        </is>
      </c>
      <c r="I5060" s="0">
        <v>118.99</v>
      </c>
      <c r="J5060" s="0">
        <v>9</v>
      </c>
    </row>
    <row r="5061" spans="1:10" customHeight="0">
      <c r="A5061" s="0">
        <f>HYPERLINK("https://dl.dropboxusercontent.com/scl/fi/ehgk79q6v7ga3laprpb0y/scarlettbk.jpg?rlkey=vbb10jmcw2dbdbhiqwzgh05ke&amp;dl=0","Click to download Image")</f>
      </c>
      <c r="B5061" s="0">
        <f>HYPERLINK("https://dl.dropboxusercontent.com/scl/fi/xqe2hch7rfqguleaojub9/womens-jackets-size-chartsscarlett.jpg?rlkey=cqiibhoj6e6mpmtia2pk5oqxz&amp;dl=0","Click to download SizeChart")</f>
      </c>
      <c r="C5061" s="0" t="inlineStr">
        <is>
          <t>Scarlett Women's Wool Jacket</t>
        </is>
      </c>
      <c r="D5061" s="0" t="inlineStr">
        <is>
          <t>'110925</t>
        </is>
      </c>
      <c r="E5061" s="0" t="inlineStr">
        <is>
          <t>IOWA SCARLETT BLACK:110925D-XL</t>
        </is>
      </c>
      <c r="F5061" s="0" t="inlineStr">
        <is>
          <t>'800110925077</t>
        </is>
      </c>
      <c r="G5061" s="0" t="inlineStr">
        <is>
          <t>WOMENS</t>
        </is>
      </c>
      <c r="H5061" s="0" t="inlineStr">
        <is>
          <t>XL</t>
        </is>
      </c>
      <c r="I5061" s="0">
        <v>118.99</v>
      </c>
      <c r="J5061" s="0">
        <v>10</v>
      </c>
    </row>
    <row r="5062" spans="1:10" customHeight="0">
      <c r="A5062" s="0">
        <f>HYPERLINK("https://dl.dropboxusercontent.com/scl/fi/ehgk79q6v7ga3laprpb0y/scarlettbk.jpg?rlkey=vbb10jmcw2dbdbhiqwzgh05ke&amp;dl=0","Click to download Image")</f>
      </c>
      <c r="B5062" s="0">
        <f>HYPERLINK("https://dl.dropboxusercontent.com/scl/fi/xqe2hch7rfqguleaojub9/womens-jackets-size-chartsscarlett.jpg?rlkey=cqiibhoj6e6mpmtia2pk5oqxz&amp;dl=0","Click to download SizeChart")</f>
      </c>
      <c r="C5062" s="0" t="inlineStr">
        <is>
          <t>Scarlett Women's Wool Jacket</t>
        </is>
      </c>
      <c r="D5062" s="0" t="inlineStr">
        <is>
          <t>'110925</t>
        </is>
      </c>
      <c r="E5062" s="0" t="inlineStr">
        <is>
          <t>IOWA SCARLETT BLACK:110925E-2XL</t>
        </is>
      </c>
      <c r="F5062" s="0" t="inlineStr">
        <is>
          <t>'800110925084</t>
        </is>
      </c>
      <c r="G5062" s="0" t="inlineStr">
        <is>
          <t>WOMENS</t>
        </is>
      </c>
      <c r="H5062" s="0" t="inlineStr">
        <is>
          <t>2XL</t>
        </is>
      </c>
      <c r="I5062" s="0">
        <v>120.99</v>
      </c>
      <c r="J5062" s="0">
        <v>3</v>
      </c>
    </row>
    <row r="5063" spans="1:10" customHeight="0">
      <c r="A5063" s="0">
        <f>HYPERLINK("https://dl.dropboxusercontent.com/scl/fi/ehgk79q6v7ga3laprpb0y/scarlettbk.jpg?rlkey=vbb10jmcw2dbdbhiqwzgh05ke&amp;dl=0","Click to download Image")</f>
      </c>
      <c r="B5063" s="0">
        <f>HYPERLINK("https://dl.dropboxusercontent.com/scl/fi/xqe2hch7rfqguleaojub9/womens-jackets-size-chartsscarlett.jpg?rlkey=cqiibhoj6e6mpmtia2pk5oqxz&amp;dl=0","Click to download SizeChart")</f>
      </c>
      <c r="C5063" s="0" t="inlineStr">
        <is>
          <t>Scarlett Women's Wool Jacket</t>
        </is>
      </c>
      <c r="D5063" s="0" t="inlineStr">
        <is>
          <t>'110925</t>
        </is>
      </c>
      <c r="E5063" s="0" t="inlineStr">
        <is>
          <t>IOWA SCARLETT BLACK:110925F-3XL</t>
        </is>
      </c>
      <c r="F5063" s="0" t="inlineStr">
        <is>
          <t>'800110925091</t>
        </is>
      </c>
      <c r="G5063" s="0" t="inlineStr">
        <is>
          <t>WOMENS</t>
        </is>
      </c>
      <c r="H5063" s="0" t="inlineStr">
        <is>
          <t>3XL</t>
        </is>
      </c>
      <c r="I5063" s="0">
        <v>120.99</v>
      </c>
      <c r="J5063" s="0">
        <v>6</v>
      </c>
    </row>
    <row r="5064" spans="1:10" customHeight="0">
      <c r="A5064" s="0">
        <f>HYPERLINK("https://dl.dropboxusercontent.com/scl/fi/tegr9paht6svnni06sit0/scarlett.jpg?rlkey=s3q4p2dej1nyexvtlc0lqrssy&amp;dl=0","Click to download Image")</f>
      </c>
      <c r="B5064" s="0">
        <f>HYPERLINK("https://dl.dropboxusercontent.com/scl/fi/xqe2hch7rfqguleaojub9/womens-jackets-size-chartsscarlett.jpg?rlkey=cqiibhoj6e6mpmtia2pk5oqxz&amp;dl=0","Click to download SizeChart")</f>
      </c>
      <c r="C5064" s="0" t="inlineStr">
        <is>
          <t>Scarlett Women's Wool Jacket</t>
        </is>
      </c>
      <c r="D5064" s="0" t="inlineStr">
        <is>
          <t>'111666</t>
        </is>
      </c>
      <c r="E5064" s="0" t="inlineStr">
        <is>
          <t>IOWA SCARLETT WHITE:111666AA-XS</t>
        </is>
      </c>
      <c r="F5064" s="0" t="inlineStr">
        <is>
          <t>'800111666030</t>
        </is>
      </c>
      <c r="G5064" s="0" t="inlineStr">
        <is>
          <t>WOMENS</t>
        </is>
      </c>
      <c r="H5064" s="0" t="inlineStr">
        <is>
          <t>XS</t>
        </is>
      </c>
      <c r="I5064" s="0">
        <v>118.99</v>
      </c>
      <c r="J5064" s="0">
        <v>12</v>
      </c>
    </row>
    <row r="5065" spans="1:10" customHeight="0">
      <c r="A5065" s="0">
        <f>HYPERLINK("https://dl.dropboxusercontent.com/scl/fi/tegr9paht6svnni06sit0/scarlett.jpg?rlkey=s3q4p2dej1nyexvtlc0lqrssy&amp;dl=0","Click to download Image")</f>
      </c>
      <c r="B5065" s="0">
        <f>HYPERLINK("https://dl.dropboxusercontent.com/scl/fi/xqe2hch7rfqguleaojub9/womens-jackets-size-chartsscarlett.jpg?rlkey=cqiibhoj6e6mpmtia2pk5oqxz&amp;dl=0","Click to download SizeChart")</f>
      </c>
      <c r="C5065" s="0" t="inlineStr">
        <is>
          <t>Scarlett Women's Wool Jacket</t>
        </is>
      </c>
      <c r="D5065" s="0" t="inlineStr">
        <is>
          <t>'111666</t>
        </is>
      </c>
      <c r="E5065" s="0" t="inlineStr">
        <is>
          <t>IOWA SCARLETT WHITE:111666A-S</t>
        </is>
      </c>
      <c r="F5065" s="0" t="inlineStr">
        <is>
          <t>'800111666047</t>
        </is>
      </c>
      <c r="G5065" s="0" t="inlineStr">
        <is>
          <t>WOMENS</t>
        </is>
      </c>
      <c r="H5065" s="0" t="inlineStr">
        <is>
          <t>S</t>
        </is>
      </c>
      <c r="I5065" s="0">
        <v>118.99</v>
      </c>
      <c r="J5065" s="0">
        <v>18</v>
      </c>
    </row>
    <row r="5066" spans="1:10" customHeight="0">
      <c r="A5066" s="0">
        <f>HYPERLINK("https://dl.dropboxusercontent.com/scl/fi/tegr9paht6svnni06sit0/scarlett.jpg?rlkey=s3q4p2dej1nyexvtlc0lqrssy&amp;dl=0","Click to download Image")</f>
      </c>
      <c r="B5066" s="0">
        <f>HYPERLINK("https://dl.dropboxusercontent.com/scl/fi/xqe2hch7rfqguleaojub9/womens-jackets-size-chartsscarlett.jpg?rlkey=cqiibhoj6e6mpmtia2pk5oqxz&amp;dl=0","Click to download SizeChart")</f>
      </c>
      <c r="C5066" s="0" t="inlineStr">
        <is>
          <t>Scarlett Women's Wool Jacket</t>
        </is>
      </c>
      <c r="D5066" s="0" t="inlineStr">
        <is>
          <t>'111666</t>
        </is>
      </c>
      <c r="E5066" s="0" t="inlineStr">
        <is>
          <t>IOWA SCARLETT WHITE:111666B-M</t>
        </is>
      </c>
      <c r="F5066" s="0" t="inlineStr">
        <is>
          <t>'800111666054</t>
        </is>
      </c>
      <c r="G5066" s="0" t="inlineStr">
        <is>
          <t>WOMENS</t>
        </is>
      </c>
      <c r="H5066" s="0" t="inlineStr">
        <is>
          <t>M</t>
        </is>
      </c>
      <c r="I5066" s="0">
        <v>118.99</v>
      </c>
      <c r="J5066" s="0">
        <v>18</v>
      </c>
    </row>
    <row r="5067" spans="1:10" customHeight="0">
      <c r="A5067" s="0">
        <f>HYPERLINK("https://dl.dropboxusercontent.com/scl/fi/tegr9paht6svnni06sit0/scarlett.jpg?rlkey=s3q4p2dej1nyexvtlc0lqrssy&amp;dl=0","Click to download Image")</f>
      </c>
      <c r="B5067" s="0">
        <f>HYPERLINK("https://dl.dropboxusercontent.com/scl/fi/xqe2hch7rfqguleaojub9/womens-jackets-size-chartsscarlett.jpg?rlkey=cqiibhoj6e6mpmtia2pk5oqxz&amp;dl=0","Click to download SizeChart")</f>
      </c>
      <c r="C5067" s="0" t="inlineStr">
        <is>
          <t>Scarlett Women's Wool Jacket</t>
        </is>
      </c>
      <c r="D5067" s="0" t="inlineStr">
        <is>
          <t>'111666</t>
        </is>
      </c>
      <c r="E5067" s="0" t="inlineStr">
        <is>
          <t>IOWA SCARLETT WHITE:111666C-L</t>
        </is>
      </c>
      <c r="F5067" s="0" t="inlineStr">
        <is>
          <t>'800111666061</t>
        </is>
      </c>
      <c r="G5067" s="0" t="inlineStr">
        <is>
          <t>WOMENS</t>
        </is>
      </c>
      <c r="H5067" s="0" t="inlineStr">
        <is>
          <t>L</t>
        </is>
      </c>
      <c r="I5067" s="0">
        <v>118.99</v>
      </c>
      <c r="J5067" s="0">
        <v>12</v>
      </c>
    </row>
    <row r="5068" spans="1:10" customHeight="0">
      <c r="A5068" s="0">
        <f>HYPERLINK("https://dl.dropboxusercontent.com/scl/fi/tegr9paht6svnni06sit0/scarlett.jpg?rlkey=s3q4p2dej1nyexvtlc0lqrssy&amp;dl=0","Click to download Image")</f>
      </c>
      <c r="B5068" s="0">
        <f>HYPERLINK("https://dl.dropboxusercontent.com/scl/fi/xqe2hch7rfqguleaojub9/womens-jackets-size-chartsscarlett.jpg?rlkey=cqiibhoj6e6mpmtia2pk5oqxz&amp;dl=0","Click to download SizeChart")</f>
      </c>
      <c r="C5068" s="0" t="inlineStr">
        <is>
          <t>Scarlett Women's Wool Jacket</t>
        </is>
      </c>
      <c r="D5068" s="0" t="inlineStr">
        <is>
          <t>'111666</t>
        </is>
      </c>
      <c r="E5068" s="0" t="inlineStr">
        <is>
          <t>IOWA SCARLETT WHITE:111666D-XL</t>
        </is>
      </c>
      <c r="F5068" s="0" t="inlineStr">
        <is>
          <t>'800111666078</t>
        </is>
      </c>
      <c r="G5068" s="0" t="inlineStr">
        <is>
          <t>WOMENS</t>
        </is>
      </c>
      <c r="H5068" s="0" t="inlineStr">
        <is>
          <t>XL</t>
        </is>
      </c>
      <c r="I5068" s="0">
        <v>118.99</v>
      </c>
      <c r="J5068" s="0">
        <v>12</v>
      </c>
    </row>
    <row r="5069" spans="1:10" customHeight="0">
      <c r="A5069" s="0">
        <f>HYPERLINK("https://dl.dropboxusercontent.com/scl/fi/tegr9paht6svnni06sit0/scarlett.jpg?rlkey=s3q4p2dej1nyexvtlc0lqrssy&amp;dl=0","Click to download Image")</f>
      </c>
      <c r="B5069" s="0">
        <f>HYPERLINK("https://dl.dropboxusercontent.com/scl/fi/xqe2hch7rfqguleaojub9/womens-jackets-size-chartsscarlett.jpg?rlkey=cqiibhoj6e6mpmtia2pk5oqxz&amp;dl=0","Click to download SizeChart")</f>
      </c>
      <c r="C5069" s="0" t="inlineStr">
        <is>
          <t>Scarlett Women's Wool Jacket</t>
        </is>
      </c>
      <c r="D5069" s="0" t="inlineStr">
        <is>
          <t>'111666</t>
        </is>
      </c>
      <c r="E5069" s="0" t="inlineStr">
        <is>
          <t>IOWA SCARLETT WHITE:111666E-2XL</t>
        </is>
      </c>
      <c r="F5069" s="0" t="inlineStr">
        <is>
          <t>'800111666085</t>
        </is>
      </c>
      <c r="G5069" s="0" t="inlineStr">
        <is>
          <t>WOMENS</t>
        </is>
      </c>
      <c r="H5069" s="0" t="inlineStr">
        <is>
          <t>2XL</t>
        </is>
      </c>
      <c r="I5069" s="0">
        <v>120.99</v>
      </c>
      <c r="J5069" s="0">
        <v>6</v>
      </c>
    </row>
    <row r="5070" spans="1:10" customHeight="0">
      <c r="A5070" s="0">
        <f>HYPERLINK("https://dl.dropboxusercontent.com/scl/fi/tegr9paht6svnni06sit0/scarlett.jpg?rlkey=s3q4p2dej1nyexvtlc0lqrssy&amp;dl=0","Click to download Image")</f>
      </c>
      <c r="B5070" s="0">
        <f>HYPERLINK("https://dl.dropboxusercontent.com/scl/fi/xqe2hch7rfqguleaojub9/womens-jackets-size-chartsscarlett.jpg?rlkey=cqiibhoj6e6mpmtia2pk5oqxz&amp;dl=0","Click to download SizeChart")</f>
      </c>
      <c r="C5070" s="0" t="inlineStr">
        <is>
          <t>Scarlett Women's Wool Jacket</t>
        </is>
      </c>
      <c r="D5070" s="0" t="inlineStr">
        <is>
          <t>'111666</t>
        </is>
      </c>
      <c r="E5070" s="0" t="inlineStr">
        <is>
          <t>IOWA SCARLETT WHITE:111666F-3XL</t>
        </is>
      </c>
      <c r="F5070" s="0" t="inlineStr">
        <is>
          <t>'800111666092</t>
        </is>
      </c>
      <c r="G5070" s="0" t="inlineStr">
        <is>
          <t>WOMENS</t>
        </is>
      </c>
      <c r="H5070" s="0" t="inlineStr">
        <is>
          <t>3XL</t>
        </is>
      </c>
      <c r="I5070" s="0">
        <v>120.99</v>
      </c>
      <c r="J5070" s="0">
        <v>6</v>
      </c>
    </row>
    <row r="5071" spans="1:10" customHeight="0">
      <c r="A5071" s="0">
        <f>HYPERLINK("https://dl.dropboxusercontent.com/scl/fi/nf8istxkpfnt8dwme22aq/kathleen-01.jpg?rlkey=r56qyj3cj5gdc68w1hswfsr9a&amp;dl=0","Click to download Image")</f>
      </c>
      <c r="B5071" s="0">
        <f>HYPERLINK("https://dl.dropboxusercontent.com/scl/fi/h7dq7bbx8wux1zwt32ss8/womens-long-sleeve-size-chartskathleen.jpg?rlkey=cknr2u52cv2j5eg46x5slotp2&amp;dl=0","Click to download SizeChart")</f>
      </c>
      <c r="C5071" s="0" t="inlineStr">
        <is>
          <t>Kathleen Women's Cold Shoulder Long Sleeve Shirt</t>
        </is>
      </c>
      <c r="D5071" s="0" t="inlineStr">
        <is>
          <t>'104052</t>
        </is>
      </c>
      <c r="E5071" s="0" t="inlineStr">
        <is>
          <t>KATHLEEN:104052A-S</t>
        </is>
      </c>
      <c r="F5071" s="0" t="inlineStr">
        <is>
          <t>'000000000000</t>
        </is>
      </c>
      <c r="G5071" s="0" t="inlineStr">
        <is>
          <t>WOMENS</t>
        </is>
      </c>
      <c r="H5071" s="0" t="inlineStr">
        <is>
          <t>S</t>
        </is>
      </c>
      <c r="I5071" s="0">
        <v>39.99</v>
      </c>
      <c r="J5071" s="0">
        <v>59</v>
      </c>
    </row>
    <row r="5072" spans="1:10" customHeight="0">
      <c r="A5072" s="0">
        <f>HYPERLINK("https://dl.dropboxusercontent.com/scl/fi/nf8istxkpfnt8dwme22aq/kathleen-01.jpg?rlkey=r56qyj3cj5gdc68w1hswfsr9a&amp;dl=0","Click to download Image")</f>
      </c>
      <c r="B5072" s="0">
        <f>HYPERLINK("https://dl.dropboxusercontent.com/scl/fi/h7dq7bbx8wux1zwt32ss8/womens-long-sleeve-size-chartskathleen.jpg?rlkey=cknr2u52cv2j5eg46x5slotp2&amp;dl=0","Click to download SizeChart")</f>
      </c>
      <c r="C5072" s="0" t="inlineStr">
        <is>
          <t>Kathleen Women's Cold Shoulder Long Sleeve Shirt</t>
        </is>
      </c>
      <c r="D5072" s="0" t="inlineStr">
        <is>
          <t>'104052</t>
        </is>
      </c>
      <c r="E5072" s="0" t="inlineStr">
        <is>
          <t>KATHLEEN:104052B-M</t>
        </is>
      </c>
      <c r="F5072" s="0" t="inlineStr">
        <is>
          <t>'000000000000</t>
        </is>
      </c>
      <c r="G5072" s="0" t="inlineStr">
        <is>
          <t>WOMENS</t>
        </is>
      </c>
      <c r="H5072" s="0" t="inlineStr">
        <is>
          <t>M</t>
        </is>
      </c>
      <c r="I5072" s="0">
        <v>39.99</v>
      </c>
      <c r="J5072" s="0">
        <v>66</v>
      </c>
    </row>
    <row r="5073" spans="1:10" customHeight="0">
      <c r="A5073" s="0">
        <f>HYPERLINK("https://dl.dropboxusercontent.com/scl/fi/nf8istxkpfnt8dwme22aq/kathleen-01.jpg?rlkey=r56qyj3cj5gdc68w1hswfsr9a&amp;dl=0","Click to download Image")</f>
      </c>
      <c r="B5073" s="0">
        <f>HYPERLINK("https://dl.dropboxusercontent.com/scl/fi/h7dq7bbx8wux1zwt32ss8/womens-long-sleeve-size-chartskathleen.jpg?rlkey=cknr2u52cv2j5eg46x5slotp2&amp;dl=0","Click to download SizeChart")</f>
      </c>
      <c r="C5073" s="0" t="inlineStr">
        <is>
          <t>Kathleen Women's Cold Shoulder Long Sleeve Shirt</t>
        </is>
      </c>
      <c r="D5073" s="0" t="inlineStr">
        <is>
          <t>'104052</t>
        </is>
      </c>
      <c r="E5073" s="0" t="inlineStr">
        <is>
          <t>KATHLEEN:104052C-L</t>
        </is>
      </c>
      <c r="F5073" s="0" t="inlineStr">
        <is>
          <t>'000000000000</t>
        </is>
      </c>
      <c r="G5073" s="0" t="inlineStr">
        <is>
          <t>WOMENS</t>
        </is>
      </c>
      <c r="H5073" s="0" t="inlineStr">
        <is>
          <t>L</t>
        </is>
      </c>
      <c r="I5073" s="0">
        <v>39.99</v>
      </c>
      <c r="J5073" s="0">
        <v>71</v>
      </c>
    </row>
    <row r="5074" spans="1:10" customHeight="0">
      <c r="A5074" s="0">
        <f>HYPERLINK("https://dl.dropboxusercontent.com/scl/fi/nf8istxkpfnt8dwme22aq/kathleen-01.jpg?rlkey=r56qyj3cj5gdc68w1hswfsr9a&amp;dl=0","Click to download Image")</f>
      </c>
      <c r="B5074" s="0">
        <f>HYPERLINK("https://dl.dropboxusercontent.com/scl/fi/h7dq7bbx8wux1zwt32ss8/womens-long-sleeve-size-chartskathleen.jpg?rlkey=cknr2u52cv2j5eg46x5slotp2&amp;dl=0","Click to download SizeChart")</f>
      </c>
      <c r="C5074" s="0" t="inlineStr">
        <is>
          <t>Kathleen Women's Cold Shoulder Long Sleeve Shirt</t>
        </is>
      </c>
      <c r="D5074" s="0" t="inlineStr">
        <is>
          <t>'104052</t>
        </is>
      </c>
      <c r="E5074" s="0" t="inlineStr">
        <is>
          <t>KATHLEEN:104052D-XL</t>
        </is>
      </c>
      <c r="F5074" s="0" t="inlineStr">
        <is>
          <t>'000000000000</t>
        </is>
      </c>
      <c r="G5074" s="0" t="inlineStr">
        <is>
          <t>WOMENS</t>
        </is>
      </c>
      <c r="H5074" s="0" t="inlineStr">
        <is>
          <t>XL</t>
        </is>
      </c>
      <c r="I5074" s="0">
        <v>39.99</v>
      </c>
      <c r="J5074" s="0">
        <v>75</v>
      </c>
    </row>
    <row r="5075" spans="1:10" customHeight="0">
      <c r="A5075" s="0">
        <f>HYPERLINK("https://dl.dropboxusercontent.com/scl/fi/nf8istxkpfnt8dwme22aq/kathleen-01.jpg?rlkey=r56qyj3cj5gdc68w1hswfsr9a&amp;dl=0","Click to download Image")</f>
      </c>
      <c r="B5075" s="0">
        <f>HYPERLINK("https://dl.dropboxusercontent.com/scl/fi/h7dq7bbx8wux1zwt32ss8/womens-long-sleeve-size-chartskathleen.jpg?rlkey=cknr2u52cv2j5eg46x5slotp2&amp;dl=0","Click to download SizeChart")</f>
      </c>
      <c r="C5075" s="0" t="inlineStr">
        <is>
          <t>Kathleen Women's Cold Shoulder Long Sleeve Shirt</t>
        </is>
      </c>
      <c r="D5075" s="0" t="inlineStr">
        <is>
          <t>'104052</t>
        </is>
      </c>
      <c r="E5075" s="0" t="inlineStr">
        <is>
          <t>KATHLEEN:104052E-2XL</t>
        </is>
      </c>
      <c r="F5075" s="0" t="inlineStr">
        <is>
          <t>'000000000000</t>
        </is>
      </c>
      <c r="G5075" s="0" t="inlineStr">
        <is>
          <t>WOMENS</t>
        </is>
      </c>
      <c r="H5075" s="0" t="inlineStr">
        <is>
          <t>2XL</t>
        </is>
      </c>
      <c r="I5075" s="0">
        <v>41.99</v>
      </c>
      <c r="J5075" s="0">
        <v>60</v>
      </c>
    </row>
    <row r="5076" spans="1:10" customHeight="0">
      <c r="A5076" s="0">
        <f>HYPERLINK("https://dl.dropboxusercontent.com/scl/fi/nf8istxkpfnt8dwme22aq/kathleen-01.jpg?rlkey=r56qyj3cj5gdc68w1hswfsr9a&amp;dl=0","Click to download Image")</f>
      </c>
      <c r="B5076" s="0">
        <f>HYPERLINK("https://dl.dropboxusercontent.com/scl/fi/h7dq7bbx8wux1zwt32ss8/womens-long-sleeve-size-chartskathleen.jpg?rlkey=cknr2u52cv2j5eg46x5slotp2&amp;dl=0","Click to download SizeChart")</f>
      </c>
      <c r="C5076" s="0" t="inlineStr">
        <is>
          <t>Kathleen Women's Cold Shoulder Long Sleeve Shirt</t>
        </is>
      </c>
      <c r="D5076" s="0" t="inlineStr">
        <is>
          <t>'104052</t>
        </is>
      </c>
      <c r="E5076" s="0" t="inlineStr">
        <is>
          <t>KATHLEEN:104052F-3XL</t>
        </is>
      </c>
      <c r="F5076" s="0" t="inlineStr">
        <is>
          <t>'000000000000</t>
        </is>
      </c>
      <c r="G5076" s="0" t="inlineStr">
        <is>
          <t>WOMENS</t>
        </is>
      </c>
      <c r="H5076" s="0" t="inlineStr">
        <is>
          <t>3XL</t>
        </is>
      </c>
      <c r="I5076" s="0">
        <v>41.99</v>
      </c>
      <c r="J5076" s="0">
        <v>10</v>
      </c>
    </row>
    <row r="5077" spans="1:10" customHeight="0">
      <c r="A5077" s="0">
        <f>HYPERLINK("https://dl.dropboxusercontent.com/scl/fi/leeo0w4979md10fkpyztz/kathleen-03.jpg?rlkey=6icu2yf85g7tzwve6ufn413u4&amp;dl=0","Click to download Image")</f>
      </c>
      <c r="B5077" s="0">
        <f>HYPERLINK("https://dl.dropboxusercontent.com/scl/fi/h7dq7bbx8wux1zwt32ss8/womens-long-sleeve-size-chartskathleen.jpg?rlkey=cknr2u52cv2j5eg46x5slotp2&amp;dl=0","Click to download SizeChart")</f>
      </c>
      <c r="C5077" s="0" t="inlineStr">
        <is>
          <t>Kathleen Women's Cold Shoulder Long Sleeve Shirt</t>
        </is>
      </c>
      <c r="D5077" s="0" t="inlineStr">
        <is>
          <t>'104396</t>
        </is>
      </c>
      <c r="E5077" s="0" t="inlineStr">
        <is>
          <t>KATHLEEN:104396A-S</t>
        </is>
      </c>
      <c r="F5077" s="0" t="inlineStr">
        <is>
          <t>'000000000000</t>
        </is>
      </c>
      <c r="G5077" s="0" t="inlineStr">
        <is>
          <t>WOMENS</t>
        </is>
      </c>
      <c r="I5077" s="0">
        <v>39.99</v>
      </c>
      <c r="J5077" s="0">
        <v>22</v>
      </c>
    </row>
    <row r="5078" spans="1:10" customHeight="0">
      <c r="A5078" s="0">
        <f>HYPERLINK("https://dl.dropboxusercontent.com/scl/fi/leeo0w4979md10fkpyztz/kathleen-03.jpg?rlkey=6icu2yf85g7tzwve6ufn413u4&amp;dl=0","Click to download Image")</f>
      </c>
      <c r="B5078" s="0">
        <f>HYPERLINK("https://dl.dropboxusercontent.com/scl/fi/h7dq7bbx8wux1zwt32ss8/womens-long-sleeve-size-chartskathleen.jpg?rlkey=cknr2u52cv2j5eg46x5slotp2&amp;dl=0","Click to download SizeChart")</f>
      </c>
      <c r="C5078" s="0" t="inlineStr">
        <is>
          <t>Kathleen Women's Cold Shoulder Long Sleeve Shirt</t>
        </is>
      </c>
      <c r="D5078" s="0" t="inlineStr">
        <is>
          <t>'104396</t>
        </is>
      </c>
      <c r="E5078" s="0" t="inlineStr">
        <is>
          <t>KATHLEEN:104396B-M</t>
        </is>
      </c>
      <c r="F5078" s="0" t="inlineStr">
        <is>
          <t>'000000000000</t>
        </is>
      </c>
      <c r="G5078" s="0" t="inlineStr">
        <is>
          <t>WOMENS</t>
        </is>
      </c>
      <c r="I5078" s="0">
        <v>39.99</v>
      </c>
      <c r="J5078" s="0">
        <v>20</v>
      </c>
    </row>
    <row r="5079" spans="1:10" customHeight="0">
      <c r="A5079" s="0">
        <f>HYPERLINK("https://dl.dropboxusercontent.com/scl/fi/leeo0w4979md10fkpyztz/kathleen-03.jpg?rlkey=6icu2yf85g7tzwve6ufn413u4&amp;dl=0","Click to download Image")</f>
      </c>
      <c r="B5079" s="0">
        <f>HYPERLINK("https://dl.dropboxusercontent.com/scl/fi/h7dq7bbx8wux1zwt32ss8/womens-long-sleeve-size-chartskathleen.jpg?rlkey=cknr2u52cv2j5eg46x5slotp2&amp;dl=0","Click to download SizeChart")</f>
      </c>
      <c r="C5079" s="0" t="inlineStr">
        <is>
          <t>Kathleen Women's Cold Shoulder Long Sleeve Shirt</t>
        </is>
      </c>
      <c r="D5079" s="0" t="inlineStr">
        <is>
          <t>'104396</t>
        </is>
      </c>
      <c r="E5079" s="0" t="inlineStr">
        <is>
          <t>KATHLEEN:104396C-L</t>
        </is>
      </c>
      <c r="F5079" s="0" t="inlineStr">
        <is>
          <t>'000000000000</t>
        </is>
      </c>
      <c r="G5079" s="0" t="inlineStr">
        <is>
          <t>WOMENS</t>
        </is>
      </c>
      <c r="I5079" s="0">
        <v>39.99</v>
      </c>
      <c r="J5079" s="0">
        <v>34</v>
      </c>
    </row>
    <row r="5080" spans="1:10" customHeight="0">
      <c r="A5080" s="0">
        <f>HYPERLINK("https://dl.dropboxusercontent.com/scl/fi/leeo0w4979md10fkpyztz/kathleen-03.jpg?rlkey=6icu2yf85g7tzwve6ufn413u4&amp;dl=0","Click to download Image")</f>
      </c>
      <c r="B5080" s="0">
        <f>HYPERLINK("https://dl.dropboxusercontent.com/scl/fi/h7dq7bbx8wux1zwt32ss8/womens-long-sleeve-size-chartskathleen.jpg?rlkey=cknr2u52cv2j5eg46x5slotp2&amp;dl=0","Click to download SizeChart")</f>
      </c>
      <c r="C5080" s="0" t="inlineStr">
        <is>
          <t>Kathleen Women's Cold Shoulder Long Sleeve Shirt</t>
        </is>
      </c>
      <c r="D5080" s="0" t="inlineStr">
        <is>
          <t>'104396</t>
        </is>
      </c>
      <c r="E5080" s="0" t="inlineStr">
        <is>
          <t>KATHLEEN:104396D-XL</t>
        </is>
      </c>
      <c r="F5080" s="0" t="inlineStr">
        <is>
          <t>'000000000000</t>
        </is>
      </c>
      <c r="G5080" s="0" t="inlineStr">
        <is>
          <t>WOMENS</t>
        </is>
      </c>
      <c r="I5080" s="0">
        <v>39.99</v>
      </c>
      <c r="J5080" s="0">
        <v>36</v>
      </c>
    </row>
    <row r="5081" spans="1:10" customHeight="0">
      <c r="A5081" s="0">
        <f>HYPERLINK("https://dl.dropboxusercontent.com/scl/fi/leeo0w4979md10fkpyztz/kathleen-03.jpg?rlkey=6icu2yf85g7tzwve6ufn413u4&amp;dl=0","Click to download Image")</f>
      </c>
      <c r="B5081" s="0">
        <f>HYPERLINK("https://dl.dropboxusercontent.com/scl/fi/h7dq7bbx8wux1zwt32ss8/womens-long-sleeve-size-chartskathleen.jpg?rlkey=cknr2u52cv2j5eg46x5slotp2&amp;dl=0","Click to download SizeChart")</f>
      </c>
      <c r="C5081" s="0" t="inlineStr">
        <is>
          <t>Kathleen Women's Cold Shoulder Long Sleeve Shirt</t>
        </is>
      </c>
      <c r="D5081" s="0" t="inlineStr">
        <is>
          <t>'104396</t>
        </is>
      </c>
      <c r="E5081" s="0" t="inlineStr">
        <is>
          <t>KATHLEEN:104396E-2XL</t>
        </is>
      </c>
      <c r="F5081" s="0" t="inlineStr">
        <is>
          <t>'000000000000</t>
        </is>
      </c>
      <c r="G5081" s="0" t="inlineStr">
        <is>
          <t>WOMENS</t>
        </is>
      </c>
      <c r="I5081" s="0">
        <v>39.99</v>
      </c>
      <c r="J5081" s="0">
        <v>27</v>
      </c>
    </row>
    <row r="5082" spans="1:10" customHeight="0">
      <c r="A5082" s="0">
        <f>HYPERLINK("https://dl.dropboxusercontent.com/scl/fi/leeo0w4979md10fkpyztz/kathleen-03.jpg?rlkey=6icu2yf85g7tzwve6ufn413u4&amp;dl=0","Click to download Image")</f>
      </c>
      <c r="B5082" s="0">
        <f>HYPERLINK("https://dl.dropboxusercontent.com/scl/fi/h7dq7bbx8wux1zwt32ss8/womens-long-sleeve-size-chartskathleen.jpg?rlkey=cknr2u52cv2j5eg46x5slotp2&amp;dl=0","Click to download SizeChart")</f>
      </c>
      <c r="C5082" s="0" t="inlineStr">
        <is>
          <t>Kathleen Women's Cold Shoulder Long Sleeve Shirt</t>
        </is>
      </c>
      <c r="D5082" s="0" t="inlineStr">
        <is>
          <t>'104396</t>
        </is>
      </c>
      <c r="E5082" s="0" t="inlineStr">
        <is>
          <t>KATHLEEN:104396F-3XL</t>
        </is>
      </c>
      <c r="F5082" s="0" t="inlineStr">
        <is>
          <t>'000000000000</t>
        </is>
      </c>
      <c r="G5082" s="0" t="inlineStr">
        <is>
          <t>WOMENS</t>
        </is>
      </c>
      <c r="I5082" s="0">
        <v>39.99</v>
      </c>
      <c r="J5082" s="0">
        <v>24</v>
      </c>
    </row>
    <row r="5083" spans="1:10" customHeight="0">
      <c r="A5083" s="0">
        <f>HYPERLINK("https://dl.dropboxusercontent.com/scl/fi/2tble3knxvg7bc3hd1yy0/kathleen-02.jpg?rlkey=wttxlmhgj3cylbclx8k7pxoj0&amp;dl=0","Click to download Image")</f>
      </c>
      <c r="B5083" s="0">
        <f>HYPERLINK("https://dl.dropboxusercontent.com/scl/fi/h7dq7bbx8wux1zwt32ss8/womens-long-sleeve-size-chartskathleen.jpg?rlkey=cknr2u52cv2j5eg46x5slotp2&amp;dl=0","Click to download SizeChart")</f>
      </c>
      <c r="C5083" s="0" t="inlineStr">
        <is>
          <t>Kathleen Women's Cold Shoulder Long Sleeve Shirt</t>
        </is>
      </c>
      <c r="D5083" s="0" t="inlineStr">
        <is>
          <t>'104640</t>
        </is>
      </c>
      <c r="E5083" s="0" t="inlineStr">
        <is>
          <t>KATHLEEN:104640A-S</t>
        </is>
      </c>
      <c r="F5083" s="0" t="inlineStr">
        <is>
          <t>'000000000000</t>
        </is>
      </c>
      <c r="G5083" s="0" t="inlineStr">
        <is>
          <t>WOMENS</t>
        </is>
      </c>
      <c r="H5083" s="0" t="inlineStr">
        <is>
          <t>S</t>
        </is>
      </c>
      <c r="I5083" s="0">
        <v>39.99</v>
      </c>
      <c r="J5083" s="0">
        <v>15</v>
      </c>
    </row>
    <row r="5084" spans="1:10" customHeight="0">
      <c r="A5084" s="0">
        <f>HYPERLINK("https://dl.dropboxusercontent.com/scl/fi/2tble3knxvg7bc3hd1yy0/kathleen-02.jpg?rlkey=wttxlmhgj3cylbclx8k7pxoj0&amp;dl=0","Click to download Image")</f>
      </c>
      <c r="B5084" s="0">
        <f>HYPERLINK("https://dl.dropboxusercontent.com/scl/fi/h7dq7bbx8wux1zwt32ss8/womens-long-sleeve-size-chartskathleen.jpg?rlkey=cknr2u52cv2j5eg46x5slotp2&amp;dl=0","Click to download SizeChart")</f>
      </c>
      <c r="C5084" s="0" t="inlineStr">
        <is>
          <t>Kathleen Women's Cold Shoulder Long Sleeve Shirt</t>
        </is>
      </c>
      <c r="D5084" s="0" t="inlineStr">
        <is>
          <t>'104640</t>
        </is>
      </c>
      <c r="E5084" s="0" t="inlineStr">
        <is>
          <t>KATHLEEN:104640B-M</t>
        </is>
      </c>
      <c r="F5084" s="0" t="inlineStr">
        <is>
          <t>'000000000000</t>
        </is>
      </c>
      <c r="G5084" s="0" t="inlineStr">
        <is>
          <t>WOMENS</t>
        </is>
      </c>
      <c r="H5084" s="0" t="inlineStr">
        <is>
          <t>M</t>
        </is>
      </c>
      <c r="I5084" s="0">
        <v>39.99</v>
      </c>
      <c r="J5084" s="0">
        <v>19</v>
      </c>
    </row>
    <row r="5085" spans="1:10" customHeight="0">
      <c r="A5085" s="0">
        <f>HYPERLINK("https://dl.dropboxusercontent.com/scl/fi/2tble3knxvg7bc3hd1yy0/kathleen-02.jpg?rlkey=wttxlmhgj3cylbclx8k7pxoj0&amp;dl=0","Click to download Image")</f>
      </c>
      <c r="B5085" s="0">
        <f>HYPERLINK("https://dl.dropboxusercontent.com/scl/fi/h7dq7bbx8wux1zwt32ss8/womens-long-sleeve-size-chartskathleen.jpg?rlkey=cknr2u52cv2j5eg46x5slotp2&amp;dl=0","Click to download SizeChart")</f>
      </c>
      <c r="C5085" s="0" t="inlineStr">
        <is>
          <t>Kathleen Women's Cold Shoulder Long Sleeve Shirt</t>
        </is>
      </c>
      <c r="D5085" s="0" t="inlineStr">
        <is>
          <t>'104640</t>
        </is>
      </c>
      <c r="E5085" s="0" t="inlineStr">
        <is>
          <t>KATHLEEN:104640C-L</t>
        </is>
      </c>
      <c r="F5085" s="0" t="inlineStr">
        <is>
          <t>'000000000000</t>
        </is>
      </c>
      <c r="G5085" s="0" t="inlineStr">
        <is>
          <t>WOMENS</t>
        </is>
      </c>
      <c r="H5085" s="0" t="inlineStr">
        <is>
          <t>L</t>
        </is>
      </c>
      <c r="I5085" s="0">
        <v>39.99</v>
      </c>
      <c r="J5085" s="0">
        <v>39</v>
      </c>
    </row>
    <row r="5086" spans="1:10" customHeight="0">
      <c r="A5086" s="0">
        <f>HYPERLINK("https://dl.dropboxusercontent.com/scl/fi/2tble3knxvg7bc3hd1yy0/kathleen-02.jpg?rlkey=wttxlmhgj3cylbclx8k7pxoj0&amp;dl=0","Click to download Image")</f>
      </c>
      <c r="B5086" s="0">
        <f>HYPERLINK("https://dl.dropboxusercontent.com/scl/fi/h7dq7bbx8wux1zwt32ss8/womens-long-sleeve-size-chartskathleen.jpg?rlkey=cknr2u52cv2j5eg46x5slotp2&amp;dl=0","Click to download SizeChart")</f>
      </c>
      <c r="C5086" s="0" t="inlineStr">
        <is>
          <t>Kathleen Women's Cold Shoulder Long Sleeve Shirt</t>
        </is>
      </c>
      <c r="D5086" s="0" t="inlineStr">
        <is>
          <t>'104640</t>
        </is>
      </c>
      <c r="E5086" s="0" t="inlineStr">
        <is>
          <t>KATHLEEN:104640D-XL</t>
        </is>
      </c>
      <c r="F5086" s="0" t="inlineStr">
        <is>
          <t>'000000000000</t>
        </is>
      </c>
      <c r="G5086" s="0" t="inlineStr">
        <is>
          <t>WOMENS</t>
        </is>
      </c>
      <c r="H5086" s="0" t="inlineStr">
        <is>
          <t>XL</t>
        </is>
      </c>
      <c r="I5086" s="0">
        <v>39.99</v>
      </c>
      <c r="J5086" s="0">
        <v>40</v>
      </c>
    </row>
    <row r="5087" spans="1:10" customHeight="0">
      <c r="A5087" s="0">
        <f>HYPERLINK("https://dl.dropboxusercontent.com/scl/fi/2tble3knxvg7bc3hd1yy0/kathleen-02.jpg?rlkey=wttxlmhgj3cylbclx8k7pxoj0&amp;dl=0","Click to download Image")</f>
      </c>
      <c r="B5087" s="0">
        <f>HYPERLINK("https://dl.dropboxusercontent.com/scl/fi/h7dq7bbx8wux1zwt32ss8/womens-long-sleeve-size-chartskathleen.jpg?rlkey=cknr2u52cv2j5eg46x5slotp2&amp;dl=0","Click to download SizeChart")</f>
      </c>
      <c r="C5087" s="0" t="inlineStr">
        <is>
          <t>Kathleen Women's Cold Shoulder Long Sleeve Shirt</t>
        </is>
      </c>
      <c r="D5087" s="0" t="inlineStr">
        <is>
          <t>'104640</t>
        </is>
      </c>
      <c r="E5087" s="0" t="inlineStr">
        <is>
          <t>KATHLEEN:104640E-2XL</t>
        </is>
      </c>
      <c r="F5087" s="0" t="inlineStr">
        <is>
          <t>'000000000000</t>
        </is>
      </c>
      <c r="G5087" s="0" t="inlineStr">
        <is>
          <t>WOMENS</t>
        </is>
      </c>
      <c r="H5087" s="0" t="inlineStr">
        <is>
          <t>2XL</t>
        </is>
      </c>
      <c r="I5087" s="0">
        <v>41.99</v>
      </c>
      <c r="J5087" s="0">
        <v>18</v>
      </c>
    </row>
    <row r="5088" spans="1:10" customHeight="0">
      <c r="A5088" s="0">
        <f>HYPERLINK("https://dl.dropboxusercontent.com/scl/fi/2tble3knxvg7bc3hd1yy0/kathleen-02.jpg?rlkey=wttxlmhgj3cylbclx8k7pxoj0&amp;dl=0","Click to download Image")</f>
      </c>
      <c r="B5088" s="0">
        <f>HYPERLINK("https://dl.dropboxusercontent.com/scl/fi/h7dq7bbx8wux1zwt32ss8/womens-long-sleeve-size-chartskathleen.jpg?rlkey=cknr2u52cv2j5eg46x5slotp2&amp;dl=0","Click to download SizeChart")</f>
      </c>
      <c r="C5088" s="0" t="inlineStr">
        <is>
          <t>Kathleen Women's Cold Shoulder Long Sleeve Shirt</t>
        </is>
      </c>
      <c r="D5088" s="0" t="inlineStr">
        <is>
          <t>'104640</t>
        </is>
      </c>
      <c r="E5088" s="0" t="inlineStr">
        <is>
          <t>KATHLEEN:104640F-3XL</t>
        </is>
      </c>
      <c r="F5088" s="0" t="inlineStr">
        <is>
          <t>'000000000000</t>
        </is>
      </c>
      <c r="G5088" s="0" t="inlineStr">
        <is>
          <t>WOMENS</t>
        </is>
      </c>
      <c r="H5088" s="0" t="inlineStr">
        <is>
          <t>3XL</t>
        </is>
      </c>
      <c r="I5088" s="0">
        <v>41.99</v>
      </c>
      <c r="J5088" s="0">
        <v>13</v>
      </c>
    </row>
    <row r="5089" spans="1:10" customHeight="0">
      <c r="A5089" s="0">
        <f>HYPERLINK("https://dl.dropboxusercontent.com/scl/fi/yzjab9n17t8rj5p4xfnwm/104411-af.jpg?rlkey=wyp4ncji9wrq1imf1ay7k71we&amp;dl=0","Click to download Image")</f>
      </c>
      <c r="C5089" s="0" t="inlineStr">
        <is>
          <t>Vicki Cooler Tote</t>
        </is>
      </c>
      <c r="D5089" s="0" t="inlineStr">
        <is>
          <t>'104411</t>
        </is>
      </c>
      <c r="E5089" s="0" t="inlineStr">
        <is>
          <t>VICKI:104411</t>
        </is>
      </c>
      <c r="F5089" s="0" t="inlineStr">
        <is>
          <t>'000000000000</t>
        </is>
      </c>
      <c r="H5089" s="0" t="inlineStr">
        <is>
          <t>16.5”W X13”H X 7”D</t>
        </is>
      </c>
      <c r="I5089" s="0">
        <v>39.99</v>
      </c>
      <c r="J5089" s="0">
        <v>30</v>
      </c>
    </row>
    <row r="5090" spans="1:10" customHeight="0">
      <c r="A5090" s="0">
        <f>HYPERLINK("https://dl.dropboxusercontent.com/scl/fi/2gga93iog4j0f4ey5406w/kathleen2-02.jpg?rlkey=zkxvz2cwh9xx5s4p6khn653yf&amp;dl=0","Click to download Image")</f>
      </c>
      <c r="B5090" s="0">
        <f>HYPERLINK("https://dl.dropboxusercontent.com/scl/fi/mpwx4fji0hl8nt9vqc9c7/womens-long-sleeve-size-chartskathleen.jpg?rlkey=l8ro2nm7hpuejt04b3fba5r0o&amp;dl=0","Click to download SizeChart")</f>
      </c>
      <c r="C5090" s="0" t="inlineStr">
        <is>
          <t>Kathleen Women's Cold Shoulder Long Sleeve Shirt</t>
        </is>
      </c>
      <c r="E5090" s="0" t="inlineStr">
        <is>
          <t>KATHLEEN HOME CLGD:A - S</t>
        </is>
      </c>
      <c r="F5090" s="0" t="inlineStr">
        <is>
          <t>'000000000000</t>
        </is>
      </c>
      <c r="G5090" s="0" t="inlineStr">
        <is>
          <t>WOMENS</t>
        </is>
      </c>
      <c r="H5090" s="0" t="inlineStr">
        <is>
          <t>S</t>
        </is>
      </c>
      <c r="I5090" s="0">
        <v>21.99</v>
      </c>
      <c r="J5090" s="0">
        <v>2</v>
      </c>
    </row>
    <row r="5091" spans="1:10" customHeight="0">
      <c r="A5091" s="0">
        <f>HYPERLINK("https://dl.dropboxusercontent.com/scl/fi/2gga93iog4j0f4ey5406w/kathleen2-02.jpg?rlkey=zkxvz2cwh9xx5s4p6khn653yf&amp;dl=0","Click to download Image")</f>
      </c>
      <c r="B5091" s="0">
        <f>HYPERLINK("https://dl.dropboxusercontent.com/scl/fi/mpwx4fji0hl8nt9vqc9c7/womens-long-sleeve-size-chartskathleen.jpg?rlkey=l8ro2nm7hpuejt04b3fba5r0o&amp;dl=0","Click to download SizeChart")</f>
      </c>
      <c r="C5091" s="0" t="inlineStr">
        <is>
          <t>Kathleen Women's Cold Shoulder Long Sleeve Shirt</t>
        </is>
      </c>
      <c r="E5091" s="0" t="inlineStr">
        <is>
          <t>KATHLEEN HOME CLGD:B - M</t>
        </is>
      </c>
      <c r="F5091" s="0" t="inlineStr">
        <is>
          <t>'000000000000</t>
        </is>
      </c>
      <c r="G5091" s="0" t="inlineStr">
        <is>
          <t>WOMENS</t>
        </is>
      </c>
      <c r="H5091" s="0" t="inlineStr">
        <is>
          <t>M</t>
        </is>
      </c>
      <c r="I5091" s="0">
        <v>21.99</v>
      </c>
      <c r="J5091" s="0">
        <v>5</v>
      </c>
    </row>
    <row r="5092" spans="1:10" customHeight="0">
      <c r="A5092" s="0">
        <f>HYPERLINK("https://dl.dropboxusercontent.com/scl/fi/2gga93iog4j0f4ey5406w/kathleen2-02.jpg?rlkey=zkxvz2cwh9xx5s4p6khn653yf&amp;dl=0","Click to download Image")</f>
      </c>
      <c r="B5092" s="0">
        <f>HYPERLINK("https://dl.dropboxusercontent.com/scl/fi/mpwx4fji0hl8nt9vqc9c7/womens-long-sleeve-size-chartskathleen.jpg?rlkey=l8ro2nm7hpuejt04b3fba5r0o&amp;dl=0","Click to download SizeChart")</f>
      </c>
      <c r="C5092" s="0" t="inlineStr">
        <is>
          <t>Kathleen Women's Cold Shoulder Long Sleeve Shirt</t>
        </is>
      </c>
      <c r="E5092" s="0" t="inlineStr">
        <is>
          <t>KATHLEEN HOME CLGD:C - L</t>
        </is>
      </c>
      <c r="F5092" s="0" t="inlineStr">
        <is>
          <t>'000000000000</t>
        </is>
      </c>
      <c r="G5092" s="0" t="inlineStr">
        <is>
          <t>WOMENS</t>
        </is>
      </c>
      <c r="H5092" s="0" t="inlineStr">
        <is>
          <t>L</t>
        </is>
      </c>
      <c r="I5092" s="0">
        <v>21.99</v>
      </c>
      <c r="J5092" s="0">
        <v>6</v>
      </c>
    </row>
    <row r="5093" spans="1:10" customHeight="0">
      <c r="A5093" s="0">
        <f>HYPERLINK("https://dl.dropboxusercontent.com/scl/fi/qk52ohkkh9aumnwbq381q/kathleen2-03.jpg?rlkey=4a1gdvhqgemfugpqgsb0dxf0c&amp;dl=0","Click to download Image")</f>
      </c>
      <c r="B5093" s="0">
        <f>HYPERLINK("https://dl.dropboxusercontent.com/scl/fi/mpwx4fji0hl8nt9vqc9c7/womens-long-sleeve-size-chartskathleen.jpg?rlkey=l8ro2nm7hpuejt04b3fba5r0o&amp;dl=0","Click to download SizeChart")</f>
      </c>
      <c r="C5093" s="0" t="inlineStr">
        <is>
          <t>Kathleen Women's Cold Shoulder Long Sleeve Shirt</t>
        </is>
      </c>
      <c r="E5093" s="0" t="inlineStr">
        <is>
          <t>KATHLEEN HOME GYBK:A - S</t>
        </is>
      </c>
      <c r="F5093" s="0" t="inlineStr">
        <is>
          <t>'000000000000</t>
        </is>
      </c>
      <c r="G5093" s="0" t="inlineStr">
        <is>
          <t>WOMENS</t>
        </is>
      </c>
      <c r="H5093" s="0" t="inlineStr">
        <is>
          <t>S</t>
        </is>
      </c>
      <c r="I5093" s="0">
        <v>21.99</v>
      </c>
      <c r="J5093" s="0">
        <v>2</v>
      </c>
    </row>
    <row r="5094" spans="1:10" customHeight="0">
      <c r="A5094" s="0">
        <f>HYPERLINK("https://dl.dropboxusercontent.com/scl/fi/qk52ohkkh9aumnwbq381q/kathleen2-03.jpg?rlkey=4a1gdvhqgemfugpqgsb0dxf0c&amp;dl=0","Click to download Image")</f>
      </c>
      <c r="B5094" s="0">
        <f>HYPERLINK("https://dl.dropboxusercontent.com/scl/fi/mpwx4fji0hl8nt9vqc9c7/womens-long-sleeve-size-chartskathleen.jpg?rlkey=l8ro2nm7hpuejt04b3fba5r0o&amp;dl=0","Click to download SizeChart")</f>
      </c>
      <c r="C5094" s="0" t="inlineStr">
        <is>
          <t>Kathleen Women's Cold Shoulder Long Sleeve Shirt</t>
        </is>
      </c>
      <c r="E5094" s="0" t="inlineStr">
        <is>
          <t>KATHLEEN HOME GYBK:B - M</t>
        </is>
      </c>
      <c r="F5094" s="0" t="inlineStr">
        <is>
          <t>'000000000000</t>
        </is>
      </c>
      <c r="G5094" s="0" t="inlineStr">
        <is>
          <t>WOMENS</t>
        </is>
      </c>
      <c r="H5094" s="0" t="inlineStr">
        <is>
          <t>M</t>
        </is>
      </c>
      <c r="I5094" s="0">
        <v>21.99</v>
      </c>
      <c r="J5094" s="0">
        <v>4</v>
      </c>
    </row>
    <row r="5095" spans="1:10" customHeight="0">
      <c r="A5095" s="0">
        <f>HYPERLINK("https://dl.dropboxusercontent.com/scl/fi/qk52ohkkh9aumnwbq381q/kathleen2-03.jpg?rlkey=4a1gdvhqgemfugpqgsb0dxf0c&amp;dl=0","Click to download Image")</f>
      </c>
      <c r="B5095" s="0">
        <f>HYPERLINK("https://dl.dropboxusercontent.com/scl/fi/mpwx4fji0hl8nt9vqc9c7/womens-long-sleeve-size-chartskathleen.jpg?rlkey=l8ro2nm7hpuejt04b3fba5r0o&amp;dl=0","Click to download SizeChart")</f>
      </c>
      <c r="C5095" s="0" t="inlineStr">
        <is>
          <t>Kathleen Women's Cold Shoulder Long Sleeve Shirt</t>
        </is>
      </c>
      <c r="E5095" s="0" t="inlineStr">
        <is>
          <t>KATHLEEN HOME GYBK:C - L</t>
        </is>
      </c>
      <c r="F5095" s="0" t="inlineStr">
        <is>
          <t>'000000000000</t>
        </is>
      </c>
      <c r="G5095" s="0" t="inlineStr">
        <is>
          <t>WOMENS</t>
        </is>
      </c>
      <c r="H5095" s="0" t="inlineStr">
        <is>
          <t>L</t>
        </is>
      </c>
      <c r="I5095" s="0">
        <v>21.99</v>
      </c>
      <c r="J5095" s="0">
        <v>4</v>
      </c>
    </row>
    <row r="5096" spans="1:10" customHeight="0">
      <c r="A5096" s="0">
        <f>HYPERLINK("https://dl.dropboxusercontent.com/scl/fi/qk52ohkkh9aumnwbq381q/kathleen2-03.jpg?rlkey=4a1gdvhqgemfugpqgsb0dxf0c&amp;dl=0","Click to download Image")</f>
      </c>
      <c r="B5096" s="0">
        <f>HYPERLINK("https://dl.dropboxusercontent.com/scl/fi/mpwx4fji0hl8nt9vqc9c7/womens-long-sleeve-size-chartskathleen.jpg?rlkey=l8ro2nm7hpuejt04b3fba5r0o&amp;dl=0","Click to download SizeChart")</f>
      </c>
      <c r="C5096" s="0" t="inlineStr">
        <is>
          <t>Kathleen Women's Cold Shoulder Long Sleeve Shirt</t>
        </is>
      </c>
      <c r="E5096" s="0" t="inlineStr">
        <is>
          <t>KATHLEEN HOME GYBK:D - XL</t>
        </is>
      </c>
      <c r="F5096" s="0" t="inlineStr">
        <is>
          <t>'000000000000</t>
        </is>
      </c>
      <c r="G5096" s="0" t="inlineStr">
        <is>
          <t>WOMENS</t>
        </is>
      </c>
      <c r="H5096" s="0" t="inlineStr">
        <is>
          <t>XL</t>
        </is>
      </c>
      <c r="I5096" s="0">
        <v>21.99</v>
      </c>
      <c r="J5096" s="0">
        <v>2</v>
      </c>
    </row>
    <row r="5097" spans="1:10" customHeight="0">
      <c r="A5097" s="0">
        <f>HYPERLINK("https://dl.dropboxusercontent.com/scl/fi/43vdd8bepj9lou4umjjja/kathleen2-04.jpg?rlkey=8qkwr29np3sipeog3q4m1rtzw&amp;dl=0","Click to download Image")</f>
      </c>
      <c r="B5097" s="0">
        <f>HYPERLINK("https://dl.dropboxusercontent.com/scl/fi/mpwx4fji0hl8nt9vqc9c7/womens-long-sleeve-size-chartskathleen.jpg?rlkey=l8ro2nm7hpuejt04b3fba5r0o&amp;dl=0","Click to download SizeChart")</f>
      </c>
      <c r="C5097" s="0" t="inlineStr">
        <is>
          <t>Kathleen Women's Cold Shoulder Long Sleeve Shirt</t>
        </is>
      </c>
      <c r="E5097" s="0" t="inlineStr">
        <is>
          <t>KATHLEEN HOME BKGD:A - S</t>
        </is>
      </c>
      <c r="F5097" s="0" t="inlineStr">
        <is>
          <t>'000000000000</t>
        </is>
      </c>
      <c r="G5097" s="0" t="inlineStr">
        <is>
          <t>WOMENS</t>
        </is>
      </c>
      <c r="H5097" s="0" t="inlineStr">
        <is>
          <t>S</t>
        </is>
      </c>
      <c r="I5097" s="0">
        <v>21.99</v>
      </c>
      <c r="J5097" s="0">
        <v>3</v>
      </c>
    </row>
    <row r="5098" spans="1:10" customHeight="0">
      <c r="A5098" s="0">
        <f>HYPERLINK("https://dl.dropboxusercontent.com/scl/fi/43vdd8bepj9lou4umjjja/kathleen2-04.jpg?rlkey=8qkwr29np3sipeog3q4m1rtzw&amp;dl=0","Click to download Image")</f>
      </c>
      <c r="B5098" s="0">
        <f>HYPERLINK("https://dl.dropboxusercontent.com/scl/fi/mpwx4fji0hl8nt9vqc9c7/womens-long-sleeve-size-chartskathleen.jpg?rlkey=l8ro2nm7hpuejt04b3fba5r0o&amp;dl=0","Click to download SizeChart")</f>
      </c>
      <c r="C5098" s="0" t="inlineStr">
        <is>
          <t>Kathleen Women's Cold Shoulder Long Sleeve Shirt</t>
        </is>
      </c>
      <c r="E5098" s="0" t="inlineStr">
        <is>
          <t>KATHLEEN HOME BKGD:B - M</t>
        </is>
      </c>
      <c r="F5098" s="0" t="inlineStr">
        <is>
          <t>'000000000000</t>
        </is>
      </c>
      <c r="G5098" s="0" t="inlineStr">
        <is>
          <t>WOMENS</t>
        </is>
      </c>
      <c r="H5098" s="0" t="inlineStr">
        <is>
          <t>M</t>
        </is>
      </c>
      <c r="I5098" s="0">
        <v>21.99</v>
      </c>
      <c r="J5098" s="0">
        <v>6</v>
      </c>
    </row>
    <row r="5099" spans="1:10" customHeight="0">
      <c r="A5099" s="0">
        <f>HYPERLINK("https://dl.dropboxusercontent.com/scl/fi/43vdd8bepj9lou4umjjja/kathleen2-04.jpg?rlkey=8qkwr29np3sipeog3q4m1rtzw&amp;dl=0","Click to download Image")</f>
      </c>
      <c r="B5099" s="0">
        <f>HYPERLINK("https://dl.dropboxusercontent.com/scl/fi/mpwx4fji0hl8nt9vqc9c7/womens-long-sleeve-size-chartskathleen.jpg?rlkey=l8ro2nm7hpuejt04b3fba5r0o&amp;dl=0","Click to download SizeChart")</f>
      </c>
      <c r="C5099" s="0" t="inlineStr">
        <is>
          <t>Kathleen Women's Cold Shoulder Long Sleeve Shirt</t>
        </is>
      </c>
      <c r="E5099" s="0" t="inlineStr">
        <is>
          <t>KATHLEEN HOME BKGD:C - L</t>
        </is>
      </c>
      <c r="F5099" s="0" t="inlineStr">
        <is>
          <t>'000000000000</t>
        </is>
      </c>
      <c r="G5099" s="0" t="inlineStr">
        <is>
          <t>WOMENS</t>
        </is>
      </c>
      <c r="H5099" s="0" t="inlineStr">
        <is>
          <t>L</t>
        </is>
      </c>
      <c r="I5099" s="0">
        <v>21.99</v>
      </c>
      <c r="J5099" s="0">
        <v>3</v>
      </c>
    </row>
    <row r="5100" spans="1:10" customHeight="0">
      <c r="A5100" s="0">
        <f>HYPERLINK("https://dl.dropboxusercontent.com/scl/fi/mj0xie812fgx6ai9e8qgw/kathleen2-05.jpg?rlkey=zdc4kmd3mqwvdpmc694l0s3es&amp;dl=0","Click to download Image")</f>
      </c>
      <c r="B5100" s="0">
        <f>HYPERLINK("https://dl.dropboxusercontent.com/scl/fi/mpwx4fji0hl8nt9vqc9c7/womens-long-sleeve-size-chartskathleen.jpg?rlkey=l8ro2nm7hpuejt04b3fba5r0o&amp;dl=0","Click to download SizeChart")</f>
      </c>
      <c r="C5100" s="0" t="inlineStr">
        <is>
          <t>Kathleen Women's Cold Shoulder Long Sleeve Shirt</t>
        </is>
      </c>
      <c r="E5100" s="0" t="inlineStr">
        <is>
          <t>KATHLEEN AMERICAN WE:A - S</t>
        </is>
      </c>
      <c r="F5100" s="0" t="inlineStr">
        <is>
          <t>'000000000000</t>
        </is>
      </c>
      <c r="G5100" s="0" t="inlineStr">
        <is>
          <t>WOMENS</t>
        </is>
      </c>
      <c r="H5100" s="0" t="inlineStr">
        <is>
          <t>S</t>
        </is>
      </c>
      <c r="I5100" s="0">
        <v>21.99</v>
      </c>
      <c r="J5100" s="0">
        <v>4</v>
      </c>
    </row>
    <row r="5101" spans="1:10" customHeight="0">
      <c r="A5101" s="0">
        <f>HYPERLINK("https://dl.dropboxusercontent.com/scl/fi/mj0xie812fgx6ai9e8qgw/kathleen2-05.jpg?rlkey=zdc4kmd3mqwvdpmc694l0s3es&amp;dl=0","Click to download Image")</f>
      </c>
      <c r="B5101" s="0">
        <f>HYPERLINK("https://dl.dropboxusercontent.com/scl/fi/mpwx4fji0hl8nt9vqc9c7/womens-long-sleeve-size-chartskathleen.jpg?rlkey=l8ro2nm7hpuejt04b3fba5r0o&amp;dl=0","Click to download SizeChart")</f>
      </c>
      <c r="C5101" s="0" t="inlineStr">
        <is>
          <t>Kathleen Women's Cold Shoulder Long Sleeve Shirt</t>
        </is>
      </c>
      <c r="E5101" s="0" t="inlineStr">
        <is>
          <t>KATHLEEN AMERICAN WE:B - M</t>
        </is>
      </c>
      <c r="F5101" s="0" t="inlineStr">
        <is>
          <t>'000000000000</t>
        </is>
      </c>
      <c r="G5101" s="0" t="inlineStr">
        <is>
          <t>WOMENS</t>
        </is>
      </c>
      <c r="H5101" s="0" t="inlineStr">
        <is>
          <t>M</t>
        </is>
      </c>
      <c r="I5101" s="0">
        <v>21.99</v>
      </c>
      <c r="J5101" s="0">
        <v>8</v>
      </c>
    </row>
    <row r="5102" spans="1:10" customHeight="0">
      <c r="A5102" s="0">
        <f>HYPERLINK("https://dl.dropboxusercontent.com/scl/fi/mj0xie812fgx6ai9e8qgw/kathleen2-05.jpg?rlkey=zdc4kmd3mqwvdpmc694l0s3es&amp;dl=0","Click to download Image")</f>
      </c>
      <c r="B5102" s="0">
        <f>HYPERLINK("https://dl.dropboxusercontent.com/scl/fi/mpwx4fji0hl8nt9vqc9c7/womens-long-sleeve-size-chartskathleen.jpg?rlkey=l8ro2nm7hpuejt04b3fba5r0o&amp;dl=0","Click to download SizeChart")</f>
      </c>
      <c r="C5102" s="0" t="inlineStr">
        <is>
          <t>Kathleen Women's Cold Shoulder Long Sleeve Shirt</t>
        </is>
      </c>
      <c r="E5102" s="0" t="inlineStr">
        <is>
          <t>KATHLEEN AMERICAN WE:C - L</t>
        </is>
      </c>
      <c r="F5102" s="0" t="inlineStr">
        <is>
          <t>'000000000000</t>
        </is>
      </c>
      <c r="G5102" s="0" t="inlineStr">
        <is>
          <t>WOMENS</t>
        </is>
      </c>
      <c r="H5102" s="0" t="inlineStr">
        <is>
          <t>L</t>
        </is>
      </c>
      <c r="I5102" s="0">
        <v>21.99</v>
      </c>
      <c r="J5102" s="0">
        <v>8</v>
      </c>
    </row>
    <row r="5103" spans="1:10" customHeight="0">
      <c r="A5103" s="0">
        <f>HYPERLINK("https://dl.dropboxusercontent.com/scl/fi/278hktafe4wvem0syekik/kathleen2-06.jpg?rlkey=oq6wj8mposkfvavwsxx6pnt3s&amp;dl=0","Click to download Image")</f>
      </c>
      <c r="B5103" s="0">
        <f>HYPERLINK("https://dl.dropboxusercontent.com/scl/fi/mpwx4fji0hl8nt9vqc9c7/womens-long-sleeve-size-chartskathleen.jpg?rlkey=l8ro2nm7hpuejt04b3fba5r0o&amp;dl=0","Click to download SizeChart")</f>
      </c>
      <c r="C5103" s="0" t="inlineStr">
        <is>
          <t>Kathleen Women's Cold Shoulder Long Sleeve Shirt</t>
        </is>
      </c>
      <c r="E5103" s="0" t="inlineStr">
        <is>
          <t>KATHLEEN TAILGATE BKWE:A - S</t>
        </is>
      </c>
      <c r="F5103" s="0" t="inlineStr">
        <is>
          <t>'000000000000</t>
        </is>
      </c>
      <c r="G5103" s="0" t="inlineStr">
        <is>
          <t>WOMENS</t>
        </is>
      </c>
      <c r="H5103" s="0" t="inlineStr">
        <is>
          <t>S</t>
        </is>
      </c>
      <c r="I5103" s="0">
        <v>21.99</v>
      </c>
      <c r="J5103" s="0">
        <v>2</v>
      </c>
    </row>
    <row r="5104" spans="1:10" customHeight="0">
      <c r="A5104" s="0">
        <f>HYPERLINK("https://dl.dropboxusercontent.com/scl/fi/278hktafe4wvem0syekik/kathleen2-06.jpg?rlkey=oq6wj8mposkfvavwsxx6pnt3s&amp;dl=0","Click to download Image")</f>
      </c>
      <c r="B5104" s="0">
        <f>HYPERLINK("https://dl.dropboxusercontent.com/scl/fi/mpwx4fji0hl8nt9vqc9c7/womens-long-sleeve-size-chartskathleen.jpg?rlkey=l8ro2nm7hpuejt04b3fba5r0o&amp;dl=0","Click to download SizeChart")</f>
      </c>
      <c r="C5104" s="0" t="inlineStr">
        <is>
          <t>Kathleen Women's Cold Shoulder Long Sleeve Shirt</t>
        </is>
      </c>
      <c r="E5104" s="0" t="inlineStr">
        <is>
          <t>KATHLEEN TAILGATE BKWE:B - M</t>
        </is>
      </c>
      <c r="F5104" s="0" t="inlineStr">
        <is>
          <t>'000000000000</t>
        </is>
      </c>
      <c r="G5104" s="0" t="inlineStr">
        <is>
          <t>WOMENS</t>
        </is>
      </c>
      <c r="H5104" s="0" t="inlineStr">
        <is>
          <t>M</t>
        </is>
      </c>
      <c r="I5104" s="0">
        <v>21.99</v>
      </c>
      <c r="J5104" s="0">
        <v>3</v>
      </c>
    </row>
    <row r="5105" spans="1:10" customHeight="0">
      <c r="A5105" s="0">
        <f>HYPERLINK("https://dl.dropboxusercontent.com/scl/fi/278hktafe4wvem0syekik/kathleen2-06.jpg?rlkey=oq6wj8mposkfvavwsxx6pnt3s&amp;dl=0","Click to download Image")</f>
      </c>
      <c r="B5105" s="0">
        <f>HYPERLINK("https://dl.dropboxusercontent.com/scl/fi/mpwx4fji0hl8nt9vqc9c7/womens-long-sleeve-size-chartskathleen.jpg?rlkey=l8ro2nm7hpuejt04b3fba5r0o&amp;dl=0","Click to download SizeChart")</f>
      </c>
      <c r="C5105" s="0" t="inlineStr">
        <is>
          <t>Kathleen Women's Cold Shoulder Long Sleeve Shirt</t>
        </is>
      </c>
      <c r="E5105" s="0" t="inlineStr">
        <is>
          <t>KATHLEEN TAILGATE BKWE:C - L</t>
        </is>
      </c>
      <c r="F5105" s="0" t="inlineStr">
        <is>
          <t>'000000000000</t>
        </is>
      </c>
      <c r="G5105" s="0" t="inlineStr">
        <is>
          <t>WOMENS</t>
        </is>
      </c>
      <c r="H5105" s="0" t="inlineStr">
        <is>
          <t>L</t>
        </is>
      </c>
      <c r="I5105" s="0">
        <v>21.99</v>
      </c>
      <c r="J5105" s="0">
        <v>3</v>
      </c>
    </row>
    <row r="5106" spans="1:10" customHeight="0">
      <c r="A5106" s="0">
        <f>HYPERLINK("https://dl.dropboxusercontent.com/scl/fi/278hktafe4wvem0syekik/kathleen2-06.jpg?rlkey=oq6wj8mposkfvavwsxx6pnt3s&amp;dl=0","Click to download Image")</f>
      </c>
      <c r="B5106" s="0">
        <f>HYPERLINK("https://dl.dropboxusercontent.com/scl/fi/mpwx4fji0hl8nt9vqc9c7/womens-long-sleeve-size-chartskathleen.jpg?rlkey=l8ro2nm7hpuejt04b3fba5r0o&amp;dl=0","Click to download SizeChart")</f>
      </c>
      <c r="C5106" s="0" t="inlineStr">
        <is>
          <t>Kathleen Women's Cold Shoulder Long Sleeve Shirt</t>
        </is>
      </c>
      <c r="E5106" s="0" t="inlineStr">
        <is>
          <t>KATHLEEN TAILGATE BKWE:D - XL</t>
        </is>
      </c>
      <c r="F5106" s="0" t="inlineStr">
        <is>
          <t>'000000000000</t>
        </is>
      </c>
      <c r="G5106" s="0" t="inlineStr">
        <is>
          <t>WOMENS</t>
        </is>
      </c>
      <c r="H5106" s="0" t="inlineStr">
        <is>
          <t>XL</t>
        </is>
      </c>
      <c r="I5106" s="0">
        <v>21.99</v>
      </c>
      <c r="J5106" s="0">
        <v>1</v>
      </c>
    </row>
    <row r="5107" spans="1:10" customHeight="0">
      <c r="A5107" s="0">
        <f>HYPERLINK("https://dl.dropboxusercontent.com/scl/fi/2v57ctp61larcuv6t89sr/107673-af.jpg?rlkey=pl94530a1hqupnmqceqokpoqo&amp;dl=0","Click to download Image")</f>
      </c>
      <c r="B5107" s="0">
        <f>HYPERLINK("https://dl.dropboxusercontent.com/scl/fi/mpwx4fji0hl8nt9vqc9c7/womens-long-sleeve-size-chartskathleen.jpg?rlkey=l8ro2nm7hpuejt04b3fba5r0o&amp;dl=0","Click to download SizeChart")</f>
      </c>
      <c r="C5107" s="0" t="inlineStr">
        <is>
          <t>Kathleen Women's Cold Shoulder Long Sleeve Shirt</t>
        </is>
      </c>
      <c r="D5107" s="0" t="inlineStr">
        <is>
          <t>'107673</t>
        </is>
      </c>
      <c r="E5107" s="0" t="inlineStr">
        <is>
          <t>KATHLEEN TAILAGTE CLGD:B - M</t>
        </is>
      </c>
      <c r="F5107" s="0" t="inlineStr">
        <is>
          <t>'000000000000</t>
        </is>
      </c>
      <c r="G5107" s="0" t="inlineStr">
        <is>
          <t>WOMENS</t>
        </is>
      </c>
      <c r="H5107" s="0" t="inlineStr">
        <is>
          <t>M</t>
        </is>
      </c>
      <c r="I5107" s="0">
        <v>21.99</v>
      </c>
      <c r="J5107" s="0">
        <v>2</v>
      </c>
    </row>
    <row r="5108" spans="1:10" customHeight="0">
      <c r="A5108" s="0">
        <f>HYPERLINK("https://dl.dropboxusercontent.com/scl/fi/77wtk7k2s0sppmk2eobof/111948-af.jpg?rlkey=qiwn36f1pbhnowqetkhln0l2d&amp;dl=0","Click to download Image")</f>
      </c>
      <c r="B5108" s="0">
        <f>HYPERLINK("https://dl.dropboxusercontent.com/scl/fi/0d8ajdrebfss5ut74n42n/womens-long-sleeve-size-chartssienna.jpg?rlkey=33wr3r0n1bfue4mzc01zbtda1&amp;dl=0","Click to download SizeChart")</f>
      </c>
      <c r="C5108" s="0" t="inlineStr">
        <is>
          <t>Sienna Women's Blouse</t>
        </is>
      </c>
      <c r="D5108" s="0" t="inlineStr">
        <is>
          <t>'111948</t>
        </is>
      </c>
      <c r="E5108" s="0" t="inlineStr">
        <is>
          <t>IOWA SIENNA WHITE:111948AA-XS</t>
        </is>
      </c>
      <c r="F5108" s="0" t="inlineStr">
        <is>
          <t>'800111948037</t>
        </is>
      </c>
      <c r="G5108" s="0" t="inlineStr">
        <is>
          <t>WOMENS</t>
        </is>
      </c>
      <c r="H5108" s="0" t="inlineStr">
        <is>
          <t>XS</t>
        </is>
      </c>
      <c r="I5108" s="0">
        <v>49.99</v>
      </c>
      <c r="J5108" s="0">
        <v>8</v>
      </c>
    </row>
    <row r="5109" spans="1:10" customHeight="0">
      <c r="A5109" s="0">
        <f>HYPERLINK("https://dl.dropboxusercontent.com/scl/fi/77wtk7k2s0sppmk2eobof/111948-af.jpg?rlkey=qiwn36f1pbhnowqetkhln0l2d&amp;dl=0","Click to download Image")</f>
      </c>
      <c r="B5109" s="0">
        <f>HYPERLINK("https://dl.dropboxusercontent.com/scl/fi/0d8ajdrebfss5ut74n42n/womens-long-sleeve-size-chartssienna.jpg?rlkey=33wr3r0n1bfue4mzc01zbtda1&amp;dl=0","Click to download SizeChart")</f>
      </c>
      <c r="C5109" s="0" t="inlineStr">
        <is>
          <t>Sienna Women's Blouse</t>
        </is>
      </c>
      <c r="D5109" s="0" t="inlineStr">
        <is>
          <t>'111948</t>
        </is>
      </c>
      <c r="E5109" s="0" t="inlineStr">
        <is>
          <t>IOWA SIENNA WHITE:111948A-S</t>
        </is>
      </c>
      <c r="F5109" s="0" t="inlineStr">
        <is>
          <t>'800111948044</t>
        </is>
      </c>
      <c r="G5109" s="0" t="inlineStr">
        <is>
          <t>WOMENS</t>
        </is>
      </c>
      <c r="H5109" s="0" t="inlineStr">
        <is>
          <t>S</t>
        </is>
      </c>
      <c r="I5109" s="0">
        <v>49.99</v>
      </c>
      <c r="J5109" s="0">
        <v>12</v>
      </c>
    </row>
    <row r="5110" spans="1:10" customHeight="0">
      <c r="A5110" s="0">
        <f>HYPERLINK("https://dl.dropboxusercontent.com/scl/fi/77wtk7k2s0sppmk2eobof/111948-af.jpg?rlkey=qiwn36f1pbhnowqetkhln0l2d&amp;dl=0","Click to download Image")</f>
      </c>
      <c r="B5110" s="0">
        <f>HYPERLINK("https://dl.dropboxusercontent.com/scl/fi/0d8ajdrebfss5ut74n42n/womens-long-sleeve-size-chartssienna.jpg?rlkey=33wr3r0n1bfue4mzc01zbtda1&amp;dl=0","Click to download SizeChart")</f>
      </c>
      <c r="C5110" s="0" t="inlineStr">
        <is>
          <t>Sienna Women's Blouse</t>
        </is>
      </c>
      <c r="D5110" s="0" t="inlineStr">
        <is>
          <t>'111948</t>
        </is>
      </c>
      <c r="E5110" s="0" t="inlineStr">
        <is>
          <t>IOWA SIENNA WHITE:111948B-M</t>
        </is>
      </c>
      <c r="F5110" s="0" t="inlineStr">
        <is>
          <t>'800111948051</t>
        </is>
      </c>
      <c r="G5110" s="0" t="inlineStr">
        <is>
          <t>WOMENS</t>
        </is>
      </c>
      <c r="H5110" s="0" t="inlineStr">
        <is>
          <t>M</t>
        </is>
      </c>
      <c r="I5110" s="0">
        <v>49.99</v>
      </c>
      <c r="J5110" s="0">
        <v>12</v>
      </c>
    </row>
    <row r="5111" spans="1:10" customHeight="0">
      <c r="A5111" s="0">
        <f>HYPERLINK("https://dl.dropboxusercontent.com/scl/fi/77wtk7k2s0sppmk2eobof/111948-af.jpg?rlkey=qiwn36f1pbhnowqetkhln0l2d&amp;dl=0","Click to download Image")</f>
      </c>
      <c r="B5111" s="0">
        <f>HYPERLINK("https://dl.dropboxusercontent.com/scl/fi/0d8ajdrebfss5ut74n42n/womens-long-sleeve-size-chartssienna.jpg?rlkey=33wr3r0n1bfue4mzc01zbtda1&amp;dl=0","Click to download SizeChart")</f>
      </c>
      <c r="C5111" s="0" t="inlineStr">
        <is>
          <t>Sienna Women's Blouse</t>
        </is>
      </c>
      <c r="D5111" s="0" t="inlineStr">
        <is>
          <t>'111948</t>
        </is>
      </c>
      <c r="E5111" s="0" t="inlineStr">
        <is>
          <t>IOWA SIENNA WHITE:111948C-L</t>
        </is>
      </c>
      <c r="F5111" s="0" t="inlineStr">
        <is>
          <t>'800111948068</t>
        </is>
      </c>
      <c r="G5111" s="0" t="inlineStr">
        <is>
          <t>WOMENS</t>
        </is>
      </c>
      <c r="H5111" s="0" t="inlineStr">
        <is>
          <t>L</t>
        </is>
      </c>
      <c r="I5111" s="0">
        <v>49.99</v>
      </c>
      <c r="J5111" s="0">
        <v>8</v>
      </c>
    </row>
    <row r="5112" spans="1:10" customHeight="0">
      <c r="A5112" s="0">
        <f>HYPERLINK("https://dl.dropboxusercontent.com/scl/fi/77wtk7k2s0sppmk2eobof/111948-af.jpg?rlkey=qiwn36f1pbhnowqetkhln0l2d&amp;dl=0","Click to download Image")</f>
      </c>
      <c r="B5112" s="0">
        <f>HYPERLINK("https://dl.dropboxusercontent.com/scl/fi/0d8ajdrebfss5ut74n42n/womens-long-sleeve-size-chartssienna.jpg?rlkey=33wr3r0n1bfue4mzc01zbtda1&amp;dl=0","Click to download SizeChart")</f>
      </c>
      <c r="C5112" s="0" t="inlineStr">
        <is>
          <t>Sienna Women's Blouse</t>
        </is>
      </c>
      <c r="D5112" s="0" t="inlineStr">
        <is>
          <t>'111948</t>
        </is>
      </c>
      <c r="E5112" s="0" t="inlineStr">
        <is>
          <t>IOWA SIENNA WHITE:111948D-XL</t>
        </is>
      </c>
      <c r="F5112" s="0" t="inlineStr">
        <is>
          <t>'800111948075</t>
        </is>
      </c>
      <c r="G5112" s="0" t="inlineStr">
        <is>
          <t>WOMENS</t>
        </is>
      </c>
      <c r="H5112" s="0" t="inlineStr">
        <is>
          <t>XL</t>
        </is>
      </c>
      <c r="I5112" s="0">
        <v>49.99</v>
      </c>
      <c r="J5112" s="0">
        <v>8</v>
      </c>
    </row>
    <row r="5113" spans="1:10" customHeight="0">
      <c r="A5113" s="0">
        <f>HYPERLINK("https://dl.dropboxusercontent.com/scl/fi/77wtk7k2s0sppmk2eobof/111948-af.jpg?rlkey=qiwn36f1pbhnowqetkhln0l2d&amp;dl=0","Click to download Image")</f>
      </c>
      <c r="B5113" s="0">
        <f>HYPERLINK("https://dl.dropboxusercontent.com/scl/fi/0d8ajdrebfss5ut74n42n/womens-long-sleeve-size-chartssienna.jpg?rlkey=33wr3r0n1bfue4mzc01zbtda1&amp;dl=0","Click to download SizeChart")</f>
      </c>
      <c r="C5113" s="0" t="inlineStr">
        <is>
          <t>Sienna Women's Blouse</t>
        </is>
      </c>
      <c r="D5113" s="0" t="inlineStr">
        <is>
          <t>'111948</t>
        </is>
      </c>
      <c r="E5113" s="0" t="inlineStr">
        <is>
          <t>IOWA SIENNA WHITE:111948E-2XL</t>
        </is>
      </c>
      <c r="F5113" s="0" t="inlineStr">
        <is>
          <t>'800111948082</t>
        </is>
      </c>
      <c r="G5113" s="0" t="inlineStr">
        <is>
          <t>WOMENS</t>
        </is>
      </c>
      <c r="H5113" s="0" t="inlineStr">
        <is>
          <t>2XL</t>
        </is>
      </c>
      <c r="I5113" s="0">
        <v>51.99</v>
      </c>
      <c r="J5113" s="0">
        <v>4</v>
      </c>
    </row>
    <row r="5114" spans="1:10" customHeight="0">
      <c r="A5114" s="0">
        <f>HYPERLINK("https://dl.dropboxusercontent.com/scl/fi/77wtk7k2s0sppmk2eobof/111948-af.jpg?rlkey=qiwn36f1pbhnowqetkhln0l2d&amp;dl=0","Click to download Image")</f>
      </c>
      <c r="B5114" s="0">
        <f>HYPERLINK("https://dl.dropboxusercontent.com/scl/fi/0d8ajdrebfss5ut74n42n/womens-long-sleeve-size-chartssienna.jpg?rlkey=33wr3r0n1bfue4mzc01zbtda1&amp;dl=0","Click to download SizeChart")</f>
      </c>
      <c r="C5114" s="0" t="inlineStr">
        <is>
          <t>Sienna Women's Blouse</t>
        </is>
      </c>
      <c r="D5114" s="0" t="inlineStr">
        <is>
          <t>'111948</t>
        </is>
      </c>
      <c r="E5114" s="0" t="inlineStr">
        <is>
          <t>IOWA SIENNA WHITE:111948F-3XL</t>
        </is>
      </c>
      <c r="F5114" s="0" t="inlineStr">
        <is>
          <t>'800111948099</t>
        </is>
      </c>
      <c r="G5114" s="0" t="inlineStr">
        <is>
          <t>WOMENS</t>
        </is>
      </c>
      <c r="H5114" s="0" t="inlineStr">
        <is>
          <t>3XL</t>
        </is>
      </c>
      <c r="I5114" s="0">
        <v>51.99</v>
      </c>
      <c r="J5114" s="0">
        <v>4</v>
      </c>
    </row>
    <row r="5115" spans="1:10" customHeight="0">
      <c r="A5115" s="0">
        <f>HYPERLINK("https://dl.dropboxusercontent.com/scl/fi/cbrllxu7smp68dlq5n3h0/100034af.jpg?rlkey=o6nl1gq6k2xu50ieqn7fryg5y&amp;dl=0","Click to download Image")</f>
      </c>
      <c r="C5115" s="0" t="inlineStr">
        <is>
          <t>Tessa Women's Cap</t>
        </is>
      </c>
      <c r="D5115" s="0" t="inlineStr">
        <is>
          <t>'100034</t>
        </is>
      </c>
      <c r="E5115" s="0" t="inlineStr">
        <is>
          <t>TESSA:100034</t>
        </is>
      </c>
      <c r="F5115" s="0" t="inlineStr">
        <is>
          <t>'000000000000</t>
        </is>
      </c>
      <c r="G5115" s="0" t="inlineStr">
        <is>
          <t>WOMENS</t>
        </is>
      </c>
      <c r="H5115" s="0" t="inlineStr">
        <is>
          <t>WOMENS</t>
        </is>
      </c>
      <c r="I5115" s="0">
        <v>18.99</v>
      </c>
      <c r="J5115" s="0">
        <v>230</v>
      </c>
    </row>
    <row r="5116" spans="1:10" customHeight="0">
      <c r="A5116" s="0">
        <f>HYPERLINK("https://dl.dropboxusercontent.com/scl/fi/fg77gf3gnkkonj9atsxb3/100035af.jpg?rlkey=1lvfguylr86ugon756aqborbo&amp;dl=0","Click to download Image")</f>
      </c>
      <c r="C5116" s="0" t="inlineStr">
        <is>
          <t>Tessa Women's Cap</t>
        </is>
      </c>
      <c r="D5116" s="0" t="inlineStr">
        <is>
          <t>'100035</t>
        </is>
      </c>
      <c r="E5116" s="0" t="inlineStr">
        <is>
          <t>TESSA:100035</t>
        </is>
      </c>
      <c r="F5116" s="0" t="inlineStr">
        <is>
          <t>'000000000000</t>
        </is>
      </c>
      <c r="G5116" s="0" t="inlineStr">
        <is>
          <t>WOMENS</t>
        </is>
      </c>
      <c r="H5116" s="0" t="inlineStr">
        <is>
          <t>WOMENS</t>
        </is>
      </c>
      <c r="I5116" s="0">
        <v>18.99</v>
      </c>
      <c r="J5116" s="0">
        <v>94</v>
      </c>
    </row>
    <row r="5117" spans="1:10" customHeight="0">
      <c r="A5117" s="0">
        <f>HYPERLINK("https://dl.dropboxusercontent.com/scl/fi/j4nvy1aan4y635reqw3mk/111888t.jpg?rlkey=jxaju9v1riwl0lk4hdrwh90a5&amp;dl=0","Click to download Image")</f>
      </c>
      <c r="B5117" s="0">
        <f>HYPERLINK("https://dl.dropboxusercontent.com/scl/fi/szlvllgtz9c63jvu8lxob/womens-bodysuit-size-chartslyra.jpg?rlkey=jnx85m5ku0iaymw5aksj873l7&amp;dl=0","Click to download SizeChart")</f>
      </c>
      <c r="C5117" s="0" t="inlineStr">
        <is>
          <t>Eloise Deep V Bodysuit</t>
        </is>
      </c>
      <c r="D5117" s="0" t="inlineStr">
        <is>
          <t>'111888</t>
        </is>
      </c>
      <c r="E5117" s="0" t="inlineStr">
        <is>
          <t>IOWA ELOISE BLACK:111888AA-XS</t>
        </is>
      </c>
      <c r="F5117" s="0" t="inlineStr">
        <is>
          <t>'800111888036</t>
        </is>
      </c>
      <c r="G5117" s="0" t="inlineStr">
        <is>
          <t>WOMENS</t>
        </is>
      </c>
      <c r="H5117" s="0" t="inlineStr">
        <is>
          <t>XS</t>
        </is>
      </c>
      <c r="I5117" s="0">
        <v>49.99</v>
      </c>
      <c r="J5117" s="0">
        <v>12</v>
      </c>
    </row>
    <row r="5118" spans="1:10" customHeight="0">
      <c r="A5118" s="0">
        <f>HYPERLINK("https://dl.dropboxusercontent.com/scl/fi/j4nvy1aan4y635reqw3mk/111888t.jpg?rlkey=jxaju9v1riwl0lk4hdrwh90a5&amp;dl=0","Click to download Image")</f>
      </c>
      <c r="B5118" s="0">
        <f>HYPERLINK("https://dl.dropboxusercontent.com/scl/fi/szlvllgtz9c63jvu8lxob/womens-bodysuit-size-chartslyra.jpg?rlkey=jnx85m5ku0iaymw5aksj873l7&amp;dl=0","Click to download SizeChart")</f>
      </c>
      <c r="C5118" s="0" t="inlineStr">
        <is>
          <t>Eloise Deep V Bodysuit</t>
        </is>
      </c>
      <c r="D5118" s="0" t="inlineStr">
        <is>
          <t>'111888</t>
        </is>
      </c>
      <c r="E5118" s="0" t="inlineStr">
        <is>
          <t>IOWA ELOISE BLACK:111888A-S</t>
        </is>
      </c>
      <c r="F5118" s="0" t="inlineStr">
        <is>
          <t>'800111888043</t>
        </is>
      </c>
      <c r="G5118" s="0" t="inlineStr">
        <is>
          <t>WOMENS</t>
        </is>
      </c>
      <c r="H5118" s="0" t="inlineStr">
        <is>
          <t>S</t>
        </is>
      </c>
      <c r="I5118" s="0">
        <v>49.99</v>
      </c>
      <c r="J5118" s="0">
        <v>16</v>
      </c>
    </row>
    <row r="5119" spans="1:10" customHeight="0">
      <c r="A5119" s="0">
        <f>HYPERLINK("https://dl.dropboxusercontent.com/scl/fi/j4nvy1aan4y635reqw3mk/111888t.jpg?rlkey=jxaju9v1riwl0lk4hdrwh90a5&amp;dl=0","Click to download Image")</f>
      </c>
      <c r="B5119" s="0">
        <f>HYPERLINK("https://dl.dropboxusercontent.com/scl/fi/szlvllgtz9c63jvu8lxob/womens-bodysuit-size-chartslyra.jpg?rlkey=jnx85m5ku0iaymw5aksj873l7&amp;dl=0","Click to download SizeChart")</f>
      </c>
      <c r="C5119" s="0" t="inlineStr">
        <is>
          <t>Eloise Deep V Bodysuit</t>
        </is>
      </c>
      <c r="D5119" s="0" t="inlineStr">
        <is>
          <t>'111888</t>
        </is>
      </c>
      <c r="E5119" s="0" t="inlineStr">
        <is>
          <t>IOWA ELOISE BLACK:111888B-M</t>
        </is>
      </c>
      <c r="F5119" s="0" t="inlineStr">
        <is>
          <t>'800111888050</t>
        </is>
      </c>
      <c r="G5119" s="0" t="inlineStr">
        <is>
          <t>WOMENS</t>
        </is>
      </c>
      <c r="H5119" s="0" t="inlineStr">
        <is>
          <t>M</t>
        </is>
      </c>
      <c r="I5119" s="0">
        <v>49.99</v>
      </c>
      <c r="J5119" s="0">
        <v>18</v>
      </c>
    </row>
    <row r="5120" spans="1:10" customHeight="0">
      <c r="A5120" s="0">
        <f>HYPERLINK("https://dl.dropboxusercontent.com/scl/fi/j4nvy1aan4y635reqw3mk/111888t.jpg?rlkey=jxaju9v1riwl0lk4hdrwh90a5&amp;dl=0","Click to download Image")</f>
      </c>
      <c r="B5120" s="0">
        <f>HYPERLINK("https://dl.dropboxusercontent.com/scl/fi/szlvllgtz9c63jvu8lxob/womens-bodysuit-size-chartslyra.jpg?rlkey=jnx85m5ku0iaymw5aksj873l7&amp;dl=0","Click to download SizeChart")</f>
      </c>
      <c r="C5120" s="0" t="inlineStr">
        <is>
          <t>Eloise Deep V Bodysuit</t>
        </is>
      </c>
      <c r="D5120" s="0" t="inlineStr">
        <is>
          <t>'111888</t>
        </is>
      </c>
      <c r="E5120" s="0" t="inlineStr">
        <is>
          <t>IOWA ELOISE BLACK:111888C-L</t>
        </is>
      </c>
      <c r="F5120" s="0" t="inlineStr">
        <is>
          <t>'800111888067</t>
        </is>
      </c>
      <c r="G5120" s="0" t="inlineStr">
        <is>
          <t>WOMENS</t>
        </is>
      </c>
      <c r="H5120" s="0" t="inlineStr">
        <is>
          <t>L</t>
        </is>
      </c>
      <c r="I5120" s="0">
        <v>49.99</v>
      </c>
      <c r="J5120" s="0">
        <v>12</v>
      </c>
    </row>
    <row r="5121" spans="1:10" customHeight="0">
      <c r="A5121" s="0">
        <f>HYPERLINK("https://dl.dropboxusercontent.com/scl/fi/j4nvy1aan4y635reqw3mk/111888t.jpg?rlkey=jxaju9v1riwl0lk4hdrwh90a5&amp;dl=0","Click to download Image")</f>
      </c>
      <c r="B5121" s="0">
        <f>HYPERLINK("https://dl.dropboxusercontent.com/scl/fi/szlvllgtz9c63jvu8lxob/womens-bodysuit-size-chartslyra.jpg?rlkey=jnx85m5ku0iaymw5aksj873l7&amp;dl=0","Click to download SizeChart")</f>
      </c>
      <c r="C5121" s="0" t="inlineStr">
        <is>
          <t>Eloise Deep V Bodysuit</t>
        </is>
      </c>
      <c r="D5121" s="0" t="inlineStr">
        <is>
          <t>'111888</t>
        </is>
      </c>
      <c r="E5121" s="0" t="inlineStr">
        <is>
          <t>IOWA ELOISE BLACK:111888D-XL</t>
        </is>
      </c>
      <c r="F5121" s="0" t="inlineStr">
        <is>
          <t>'800111888074</t>
        </is>
      </c>
      <c r="G5121" s="0" t="inlineStr">
        <is>
          <t>WOMENS</t>
        </is>
      </c>
      <c r="H5121" s="0" t="inlineStr">
        <is>
          <t>XL</t>
        </is>
      </c>
      <c r="I5121" s="0">
        <v>49.99</v>
      </c>
      <c r="J5121" s="0">
        <v>11</v>
      </c>
    </row>
    <row r="5122" spans="1:10" customHeight="0">
      <c r="A5122" s="0">
        <f>HYPERLINK("https://dl.dropboxusercontent.com/scl/fi/j4nvy1aan4y635reqw3mk/111888t.jpg?rlkey=jxaju9v1riwl0lk4hdrwh90a5&amp;dl=0","Click to download Image")</f>
      </c>
      <c r="B5122" s="0">
        <f>HYPERLINK("https://dl.dropboxusercontent.com/scl/fi/szlvllgtz9c63jvu8lxob/womens-bodysuit-size-chartslyra.jpg?rlkey=jnx85m5ku0iaymw5aksj873l7&amp;dl=0","Click to download SizeChart")</f>
      </c>
      <c r="C5122" s="0" t="inlineStr">
        <is>
          <t>Eloise Deep V Bodysuit</t>
        </is>
      </c>
      <c r="D5122" s="0" t="inlineStr">
        <is>
          <t>'111888</t>
        </is>
      </c>
      <c r="E5122" s="0" t="inlineStr">
        <is>
          <t>IOWA ELOISE BLACK:111888E-2XL</t>
        </is>
      </c>
      <c r="F5122" s="0" t="inlineStr">
        <is>
          <t>'800111888081</t>
        </is>
      </c>
      <c r="G5122" s="0" t="inlineStr">
        <is>
          <t>WOMENS</t>
        </is>
      </c>
      <c r="H5122" s="0" t="inlineStr">
        <is>
          <t>2XL</t>
        </is>
      </c>
      <c r="I5122" s="0">
        <v>51.99</v>
      </c>
      <c r="J5122" s="0">
        <v>6</v>
      </c>
    </row>
    <row r="5123" spans="1:10" customHeight="0">
      <c r="A5123" s="0">
        <f>HYPERLINK("https://dl.dropboxusercontent.com/scl/fi/j4nvy1aan4y635reqw3mk/111888t.jpg?rlkey=jxaju9v1riwl0lk4hdrwh90a5&amp;dl=0","Click to download Image")</f>
      </c>
      <c r="B5123" s="0">
        <f>HYPERLINK("https://dl.dropboxusercontent.com/scl/fi/szlvllgtz9c63jvu8lxob/womens-bodysuit-size-chartslyra.jpg?rlkey=jnx85m5ku0iaymw5aksj873l7&amp;dl=0","Click to download SizeChart")</f>
      </c>
      <c r="C5123" s="0" t="inlineStr">
        <is>
          <t>Eloise Deep V Bodysuit</t>
        </is>
      </c>
      <c r="D5123" s="0" t="inlineStr">
        <is>
          <t>'111888</t>
        </is>
      </c>
      <c r="E5123" s="0" t="inlineStr">
        <is>
          <t>IOWA ELOISE BLACK:111888F-3XL</t>
        </is>
      </c>
      <c r="F5123" s="0" t="inlineStr">
        <is>
          <t>'800111888098</t>
        </is>
      </c>
      <c r="G5123" s="0" t="inlineStr">
        <is>
          <t>WOMENS</t>
        </is>
      </c>
      <c r="H5123" s="0" t="inlineStr">
        <is>
          <t>3XL</t>
        </is>
      </c>
      <c r="I5123" s="0">
        <v>51.99</v>
      </c>
      <c r="J5123" s="0">
        <v>6</v>
      </c>
    </row>
    <row r="5124" spans="1:10" customHeight="0">
      <c r="A5124" s="0">
        <f>HYPERLINK("https://dl.dropboxusercontent.com/scl/fi/lsjz7fq7i2rzh23c239do/099622af35844.jpg?rlkey=wpwevprseny4vqckwyfya0t1i&amp;dl=0","Click to download Image")</f>
      </c>
      <c r="C5124" s="0" t="inlineStr">
        <is>
          <t>Loxley Breast Cancer Earband</t>
        </is>
      </c>
      <c r="D5124" s="0" t="inlineStr">
        <is>
          <t>'99622</t>
        </is>
      </c>
      <c r="E5124" s="0" t="inlineStr">
        <is>
          <t>THINK PINK:99622</t>
        </is>
      </c>
      <c r="F5124" s="0" t="inlineStr">
        <is>
          <t>'700099622014</t>
        </is>
      </c>
      <c r="G5124" s="0" t="inlineStr">
        <is>
          <t>WOMENS</t>
        </is>
      </c>
      <c r="I5124" s="0">
        <v>15.99</v>
      </c>
      <c r="J5124" s="0">
        <v>103</v>
      </c>
    </row>
    <row r="5125" spans="1:10" customHeight="0">
      <c r="A5125" s="0">
        <f>HYPERLINK("https://dl.dropboxusercontent.com/scl/fi/lusmwc7zw1knfw8mbavz5/editdsc3386.jpg?rlkey=s9vwmbvzjqe1ram3383ffwd25&amp;dl=0","Click to download Image")</f>
      </c>
      <c r="B5125" s="0">
        <f>HYPERLINK("https://dl.dropboxusercontent.com/scl/fi/qf06nwt7ini1zjx25738w/womens-size-chartsmeredith.jpg?rlkey=kghetms7bjxmzlz01528s6utt&amp;dl=0","Click to download SizeChart")</f>
      </c>
      <c r="C5125" s="0" t="inlineStr">
        <is>
          <t>Meredith Women's Puffer Hooded Jacket</t>
        </is>
      </c>
      <c r="D5125" s="0" t="inlineStr">
        <is>
          <t>'111787</t>
        </is>
      </c>
      <c r="E5125" s="0" t="inlineStr">
        <is>
          <t>IOWA MEREDITH GREY:111787AA-XS</t>
        </is>
      </c>
      <c r="F5125" s="0" t="inlineStr">
        <is>
          <t>'800111787032</t>
        </is>
      </c>
      <c r="G5125" s="0" t="inlineStr">
        <is>
          <t>WOMENS</t>
        </is>
      </c>
      <c r="H5125" s="0" t="inlineStr">
        <is>
          <t>XS</t>
        </is>
      </c>
      <c r="I5125" s="0">
        <v>139.99</v>
      </c>
      <c r="J5125" s="0">
        <v>6</v>
      </c>
    </row>
    <row r="5126" spans="1:10" customHeight="0">
      <c r="A5126" s="0">
        <f>HYPERLINK("https://dl.dropboxusercontent.com/scl/fi/lusmwc7zw1knfw8mbavz5/editdsc3386.jpg?rlkey=s9vwmbvzjqe1ram3383ffwd25&amp;dl=0","Click to download Image")</f>
      </c>
      <c r="B5126" s="0">
        <f>HYPERLINK("https://dl.dropboxusercontent.com/scl/fi/qf06nwt7ini1zjx25738w/womens-size-chartsmeredith.jpg?rlkey=kghetms7bjxmzlz01528s6utt&amp;dl=0","Click to download SizeChart")</f>
      </c>
      <c r="C5126" s="0" t="inlineStr">
        <is>
          <t>Meredith Women's Puffer Hooded Jacket</t>
        </is>
      </c>
      <c r="D5126" s="0" t="inlineStr">
        <is>
          <t>'111787</t>
        </is>
      </c>
      <c r="E5126" s="0" t="inlineStr">
        <is>
          <t>IOWA MEREDITH GREY:111787A-S</t>
        </is>
      </c>
      <c r="F5126" s="0" t="inlineStr">
        <is>
          <t>'800111787049</t>
        </is>
      </c>
      <c r="G5126" s="0" t="inlineStr">
        <is>
          <t>WOMENS</t>
        </is>
      </c>
      <c r="H5126" s="0" t="inlineStr">
        <is>
          <t>S</t>
        </is>
      </c>
      <c r="I5126" s="0">
        <v>139.99</v>
      </c>
      <c r="J5126" s="0">
        <v>6</v>
      </c>
    </row>
    <row r="5127" spans="1:10" customHeight="0">
      <c r="A5127" s="0">
        <f>HYPERLINK("https://dl.dropboxusercontent.com/scl/fi/lusmwc7zw1knfw8mbavz5/editdsc3386.jpg?rlkey=s9vwmbvzjqe1ram3383ffwd25&amp;dl=0","Click to download Image")</f>
      </c>
      <c r="B5127" s="0">
        <f>HYPERLINK("https://dl.dropboxusercontent.com/scl/fi/qf06nwt7ini1zjx25738w/womens-size-chartsmeredith.jpg?rlkey=kghetms7bjxmzlz01528s6utt&amp;dl=0","Click to download SizeChart")</f>
      </c>
      <c r="C5127" s="0" t="inlineStr">
        <is>
          <t>Meredith Women's Puffer Hooded Jacket</t>
        </is>
      </c>
      <c r="D5127" s="0" t="inlineStr">
        <is>
          <t>'111787</t>
        </is>
      </c>
      <c r="E5127" s="0" t="inlineStr">
        <is>
          <t>IOWA MEREDITH GREY:111787B-M</t>
        </is>
      </c>
      <c r="F5127" s="0" t="inlineStr">
        <is>
          <t>'800111787056</t>
        </is>
      </c>
      <c r="G5127" s="0" t="inlineStr">
        <is>
          <t>WOMENS</t>
        </is>
      </c>
      <c r="H5127" s="0" t="inlineStr">
        <is>
          <t>M</t>
        </is>
      </c>
      <c r="I5127" s="0">
        <v>139.99</v>
      </c>
      <c r="J5127" s="0">
        <v>2</v>
      </c>
    </row>
    <row r="5128" spans="1:10" customHeight="0">
      <c r="A5128" s="0">
        <f>HYPERLINK("https://dl.dropboxusercontent.com/scl/fi/lusmwc7zw1knfw8mbavz5/editdsc3386.jpg?rlkey=s9vwmbvzjqe1ram3383ffwd25&amp;dl=0","Click to download Image")</f>
      </c>
      <c r="B5128" s="0">
        <f>HYPERLINK("https://dl.dropboxusercontent.com/scl/fi/qf06nwt7ini1zjx25738w/womens-size-chartsmeredith.jpg?rlkey=kghetms7bjxmzlz01528s6utt&amp;dl=0","Click to download SizeChart")</f>
      </c>
      <c r="C5128" s="0" t="inlineStr">
        <is>
          <t>Meredith Women's Puffer Hooded Jacket</t>
        </is>
      </c>
      <c r="D5128" s="0" t="inlineStr">
        <is>
          <t>'111787</t>
        </is>
      </c>
      <c r="E5128" s="0" t="inlineStr">
        <is>
          <t>IOWA MEREDITH GREY:111787C-L</t>
        </is>
      </c>
      <c r="F5128" s="0" t="inlineStr">
        <is>
          <t>'800111787063</t>
        </is>
      </c>
      <c r="G5128" s="0" t="inlineStr">
        <is>
          <t>WOMENS</t>
        </is>
      </c>
      <c r="H5128" s="0" t="inlineStr">
        <is>
          <t>L</t>
        </is>
      </c>
      <c r="I5128" s="0">
        <v>139.99</v>
      </c>
      <c r="J5128" s="0">
        <v>0</v>
      </c>
    </row>
    <row r="5129" spans="1:10" customHeight="0">
      <c r="A5129" s="0">
        <f>HYPERLINK("https://dl.dropboxusercontent.com/scl/fi/lusmwc7zw1knfw8mbavz5/editdsc3386.jpg?rlkey=s9vwmbvzjqe1ram3383ffwd25&amp;dl=0","Click to download Image")</f>
      </c>
      <c r="B5129" s="0">
        <f>HYPERLINK("https://dl.dropboxusercontent.com/scl/fi/qf06nwt7ini1zjx25738w/womens-size-chartsmeredith.jpg?rlkey=kghetms7bjxmzlz01528s6utt&amp;dl=0","Click to download SizeChart")</f>
      </c>
      <c r="C5129" s="0" t="inlineStr">
        <is>
          <t>Meredith Women's Puffer Hooded Jacket</t>
        </is>
      </c>
      <c r="D5129" s="0" t="inlineStr">
        <is>
          <t>'111787</t>
        </is>
      </c>
      <c r="E5129" s="0" t="inlineStr">
        <is>
          <t>IOWA MEREDITH GREY:111787D-XL</t>
        </is>
      </c>
      <c r="F5129" s="0" t="inlineStr">
        <is>
          <t>'800111787070</t>
        </is>
      </c>
      <c r="G5129" s="0" t="inlineStr">
        <is>
          <t>WOMENS</t>
        </is>
      </c>
      <c r="H5129" s="0" t="inlineStr">
        <is>
          <t>XL</t>
        </is>
      </c>
      <c r="I5129" s="0">
        <v>139.99</v>
      </c>
      <c r="J5129" s="0">
        <v>0</v>
      </c>
    </row>
    <row r="5130" spans="1:10" customHeight="0">
      <c r="A5130" s="0">
        <f>HYPERLINK("https://dl.dropboxusercontent.com/scl/fi/lusmwc7zw1knfw8mbavz5/editdsc3386.jpg?rlkey=s9vwmbvzjqe1ram3383ffwd25&amp;dl=0","Click to download Image")</f>
      </c>
      <c r="B5130" s="0">
        <f>HYPERLINK("https://dl.dropboxusercontent.com/scl/fi/qf06nwt7ini1zjx25738w/womens-size-chartsmeredith.jpg?rlkey=kghetms7bjxmzlz01528s6utt&amp;dl=0","Click to download SizeChart")</f>
      </c>
      <c r="C5130" s="0" t="inlineStr">
        <is>
          <t>Meredith Women's Puffer Hooded Jacket</t>
        </is>
      </c>
      <c r="D5130" s="0" t="inlineStr">
        <is>
          <t>'111787</t>
        </is>
      </c>
      <c r="E5130" s="0" t="inlineStr">
        <is>
          <t>IOWA MEREDITH GREY:111787E-2XL</t>
        </is>
      </c>
      <c r="F5130" s="0" t="inlineStr">
        <is>
          <t>'800111787087</t>
        </is>
      </c>
      <c r="G5130" s="0" t="inlineStr">
        <is>
          <t>WOMENS</t>
        </is>
      </c>
      <c r="H5130" s="0" t="inlineStr">
        <is>
          <t>2XL</t>
        </is>
      </c>
      <c r="I5130" s="0">
        <v>141.99</v>
      </c>
      <c r="J5130" s="0">
        <v>0</v>
      </c>
    </row>
    <row r="5131" spans="1:10" customHeight="0">
      <c r="A5131" s="0">
        <f>HYPERLINK("https://dl.dropboxusercontent.com/scl/fi/lusmwc7zw1knfw8mbavz5/editdsc3386.jpg?rlkey=s9vwmbvzjqe1ram3383ffwd25&amp;dl=0","Click to download Image")</f>
      </c>
      <c r="B5131" s="0">
        <f>HYPERLINK("https://dl.dropboxusercontent.com/scl/fi/qf06nwt7ini1zjx25738w/womens-size-chartsmeredith.jpg?rlkey=kghetms7bjxmzlz01528s6utt&amp;dl=0","Click to download SizeChart")</f>
      </c>
      <c r="C5131" s="0" t="inlineStr">
        <is>
          <t>Meredith Women's Puffer Hooded Jacket</t>
        </is>
      </c>
      <c r="D5131" s="0" t="inlineStr">
        <is>
          <t>'111787</t>
        </is>
      </c>
      <c r="E5131" s="0" t="inlineStr">
        <is>
          <t>IOWA MEREDITH GREY:111787F-3XL</t>
        </is>
      </c>
      <c r="F5131" s="0" t="inlineStr">
        <is>
          <t>'800111787094</t>
        </is>
      </c>
      <c r="G5131" s="0" t="inlineStr">
        <is>
          <t>WOMENS</t>
        </is>
      </c>
      <c r="H5131" s="0" t="inlineStr">
        <is>
          <t>3XL</t>
        </is>
      </c>
      <c r="I5131" s="0">
        <v>141.99</v>
      </c>
      <c r="J5131" s="0">
        <v>0</v>
      </c>
    </row>
    <row r="5132" spans="1:10" customHeight="0">
      <c r="A5132" s="0">
        <f>HYPERLINK("https://dl.dropboxusercontent.com/scl/fi/bb5l9diildgwz588cjzag/667a5098-bc.jpg?rlkey=neyctbdbhbvod0ly8a15ya6xo&amp;dl=0","Click to download Image")</f>
      </c>
      <c r="C5132" s="0" t="inlineStr">
        <is>
          <t>Taylor Foam Infant Cap</t>
        </is>
      </c>
      <c r="D5132" s="0" t="inlineStr">
        <is>
          <t>'103965</t>
        </is>
      </c>
      <c r="E5132" s="0" t="inlineStr">
        <is>
          <t>TAYLOR:103965</t>
        </is>
      </c>
      <c r="F5132" s="0" t="inlineStr">
        <is>
          <t>'000000000000</t>
        </is>
      </c>
      <c r="G5132" s="0" t="inlineStr">
        <is>
          <t>INFANT</t>
        </is>
      </c>
      <c r="H5132" s="0" t="inlineStr">
        <is>
          <t>INFANT</t>
        </is>
      </c>
      <c r="I5132" s="0">
        <v>15.99</v>
      </c>
      <c r="J5132" s="0">
        <v>54</v>
      </c>
    </row>
    <row r="5133" spans="1:10" customHeight="0">
      <c r="A5133" s="0">
        <f>HYPERLINK("https://dl.dropboxusercontent.com/scl/fi/ypyt7is88xcd9te2i81dk/104422-af.jpg?rlkey=yjqexj5r7ch2rny0ro0wecz4x&amp;dl=0","Click to download Image")</f>
      </c>
      <c r="C5133" s="0" t="inlineStr">
        <is>
          <t>Taylor Foam Infant Cap</t>
        </is>
      </c>
      <c r="D5133" s="0" t="inlineStr">
        <is>
          <t>'104422</t>
        </is>
      </c>
      <c r="E5133" s="0" t="inlineStr">
        <is>
          <t>TAYLOR:104422</t>
        </is>
      </c>
      <c r="F5133" s="0" t="inlineStr">
        <is>
          <t>'000000000000</t>
        </is>
      </c>
      <c r="G5133" s="0" t="inlineStr">
        <is>
          <t>INFANT</t>
        </is>
      </c>
      <c r="H5133" s="0" t="inlineStr">
        <is>
          <t>INFANT</t>
        </is>
      </c>
      <c r="I5133" s="0">
        <v>15.99</v>
      </c>
      <c r="J5133" s="0">
        <v>114</v>
      </c>
    </row>
    <row r="5134" spans="1:10" customHeight="0">
      <c r="A5134" s="0">
        <f>HYPERLINK("https://dl.dropboxusercontent.com/scl/fi/e8qqtt0gdkeermdh8r0ns/105587f08207.jpg?rlkey=9u3fsard5uqf813q51xd4pyi4&amp;dl=0","Click to download Image")</f>
      </c>
      <c r="B5134" s="0">
        <f>HYPERLINK("https://dl.dropboxusercontent.com/scl/fi/gdicwy7awm0br835o15p8/size-charts-toddler-shirt-a.jpg?rlkey=mwav557dukvav74o4nfp7ozdj&amp;dl=0","Click to download SizeChart")</f>
      </c>
      <c r="C5134" s="0" t="inlineStr">
        <is>
          <t>Ralston Toddler Polo</t>
        </is>
      </c>
      <c r="D5134" s="0" t="inlineStr">
        <is>
          <t>'105587</t>
        </is>
      </c>
      <c r="E5134" s="0" t="inlineStr">
        <is>
          <t>RALSTON:105587A-2T</t>
        </is>
      </c>
      <c r="F5134" s="0" t="inlineStr">
        <is>
          <t>'080010558701</t>
        </is>
      </c>
      <c r="G5134" s="0" t="inlineStr">
        <is>
          <t>TODDLER</t>
        </is>
      </c>
      <c r="H5134" s="0" t="inlineStr">
        <is>
          <t>2T</t>
        </is>
      </c>
      <c r="I5134" s="0">
        <v>19.99</v>
      </c>
      <c r="J5134" s="0">
        <v>13</v>
      </c>
    </row>
    <row r="5135" spans="1:10" customHeight="0">
      <c r="A5135" s="0">
        <f>HYPERLINK("https://dl.dropboxusercontent.com/scl/fi/e8qqtt0gdkeermdh8r0ns/105587f08207.jpg?rlkey=9u3fsard5uqf813q51xd4pyi4&amp;dl=0","Click to download Image")</f>
      </c>
      <c r="B5135" s="0">
        <f>HYPERLINK("https://dl.dropboxusercontent.com/scl/fi/gdicwy7awm0br835o15p8/size-charts-toddler-shirt-a.jpg?rlkey=mwav557dukvav74o4nfp7ozdj&amp;dl=0","Click to download SizeChart")</f>
      </c>
      <c r="C5135" s="0" t="inlineStr">
        <is>
          <t>Ralston Toddler Polo</t>
        </is>
      </c>
      <c r="D5135" s="0" t="inlineStr">
        <is>
          <t>'105587</t>
        </is>
      </c>
      <c r="E5135" s="0" t="inlineStr">
        <is>
          <t>RALSTON:105587B-3T</t>
        </is>
      </c>
      <c r="F5135" s="0" t="inlineStr">
        <is>
          <t>'080010558702</t>
        </is>
      </c>
      <c r="G5135" s="0" t="inlineStr">
        <is>
          <t>TODDLER</t>
        </is>
      </c>
      <c r="H5135" s="0" t="inlineStr">
        <is>
          <t>3T</t>
        </is>
      </c>
      <c r="I5135" s="0">
        <v>19.99</v>
      </c>
      <c r="J5135" s="0">
        <v>19</v>
      </c>
    </row>
    <row r="5136" spans="1:10" customHeight="0">
      <c r="A5136" s="0">
        <f>HYPERLINK("https://dl.dropboxusercontent.com/scl/fi/e8qqtt0gdkeermdh8r0ns/105587f08207.jpg?rlkey=9u3fsard5uqf813q51xd4pyi4&amp;dl=0","Click to download Image")</f>
      </c>
      <c r="B5136" s="0">
        <f>HYPERLINK("https://dl.dropboxusercontent.com/scl/fi/gdicwy7awm0br835o15p8/size-charts-toddler-shirt-a.jpg?rlkey=mwav557dukvav74o4nfp7ozdj&amp;dl=0","Click to download SizeChart")</f>
      </c>
      <c r="C5136" s="0" t="inlineStr">
        <is>
          <t>Ralston Toddler Polo</t>
        </is>
      </c>
      <c r="D5136" s="0" t="inlineStr">
        <is>
          <t>'105587</t>
        </is>
      </c>
      <c r="E5136" s="0" t="inlineStr">
        <is>
          <t>RALSTON:105587C-4T</t>
        </is>
      </c>
      <c r="F5136" s="0" t="inlineStr">
        <is>
          <t>'080010558703</t>
        </is>
      </c>
      <c r="G5136" s="0" t="inlineStr">
        <is>
          <t>TODDLER</t>
        </is>
      </c>
      <c r="H5136" s="0" t="inlineStr">
        <is>
          <t>4T</t>
        </is>
      </c>
      <c r="I5136" s="0">
        <v>19.99</v>
      </c>
      <c r="J5136" s="0">
        <v>21</v>
      </c>
    </row>
    <row r="5137" spans="1:10" customHeight="0">
      <c r="A5137" s="0">
        <f>HYPERLINK("https://dl.dropboxusercontent.com/scl/fi/e8qqtt0gdkeermdh8r0ns/105587f08207.jpg?rlkey=9u3fsard5uqf813q51xd4pyi4&amp;dl=0","Click to download Image")</f>
      </c>
      <c r="B5137" s="0">
        <f>HYPERLINK("https://dl.dropboxusercontent.com/scl/fi/gdicwy7awm0br835o15p8/size-charts-toddler-shirt-a.jpg?rlkey=mwav557dukvav74o4nfp7ozdj&amp;dl=0","Click to download SizeChart")</f>
      </c>
      <c r="C5137" s="0" t="inlineStr">
        <is>
          <t>Ralston Toddler Polo</t>
        </is>
      </c>
      <c r="D5137" s="0" t="inlineStr">
        <is>
          <t>'105587</t>
        </is>
      </c>
      <c r="E5137" s="0" t="inlineStr">
        <is>
          <t>RALSTON:105587D-5T</t>
        </is>
      </c>
      <c r="F5137" s="0" t="inlineStr">
        <is>
          <t>'080010558704</t>
        </is>
      </c>
      <c r="G5137" s="0" t="inlineStr">
        <is>
          <t>TODDLER</t>
        </is>
      </c>
      <c r="H5137" s="0" t="inlineStr">
        <is>
          <t>5T</t>
        </is>
      </c>
      <c r="I5137" s="0">
        <v>19.99</v>
      </c>
      <c r="J5137" s="0">
        <v>35</v>
      </c>
    </row>
    <row r="5138" spans="1:10" customHeight="0">
      <c r="A5138" s="0">
        <f>HYPERLINK("https://dl.dropboxusercontent.com/scl/fi/7y3ggoqupaw8rwy6daqg3/105588f30647.jpg?rlkey=jg1us5qscbcol1y2mykmanj7d&amp;dl=0","Click to download Image")</f>
      </c>
      <c r="B5138" s="0">
        <f>HYPERLINK("https://dl.dropboxusercontent.com/scl/fi/gdicwy7awm0br835o15p8/size-charts-toddler-shirt-a.jpg?rlkey=mwav557dukvav74o4nfp7ozdj&amp;dl=0","Click to download SizeChart")</f>
      </c>
      <c r="C5138" s="0" t="inlineStr">
        <is>
          <t>Ralston Toddler Polo</t>
        </is>
      </c>
      <c r="D5138" s="0" t="inlineStr">
        <is>
          <t>'105588</t>
        </is>
      </c>
      <c r="E5138" s="0" t="inlineStr">
        <is>
          <t>RALSTON:105588A-2T</t>
        </is>
      </c>
      <c r="F5138" s="0" t="inlineStr">
        <is>
          <t>'080010558801</t>
        </is>
      </c>
      <c r="G5138" s="0" t="inlineStr">
        <is>
          <t>TODDLER</t>
        </is>
      </c>
      <c r="H5138" s="0" t="inlineStr">
        <is>
          <t>2T</t>
        </is>
      </c>
      <c r="I5138" s="0">
        <v>19.99</v>
      </c>
      <c r="J5138" s="0">
        <v>31</v>
      </c>
    </row>
    <row r="5139" spans="1:10" customHeight="0">
      <c r="A5139" s="0">
        <f>HYPERLINK("https://dl.dropboxusercontent.com/scl/fi/7y3ggoqupaw8rwy6daqg3/105588f30647.jpg?rlkey=jg1us5qscbcol1y2mykmanj7d&amp;dl=0","Click to download Image")</f>
      </c>
      <c r="B5139" s="0">
        <f>HYPERLINK("https://dl.dropboxusercontent.com/scl/fi/gdicwy7awm0br835o15p8/size-charts-toddler-shirt-a.jpg?rlkey=mwav557dukvav74o4nfp7ozdj&amp;dl=0","Click to download SizeChart")</f>
      </c>
      <c r="C5139" s="0" t="inlineStr">
        <is>
          <t>Ralston Toddler Polo</t>
        </is>
      </c>
      <c r="D5139" s="0" t="inlineStr">
        <is>
          <t>'105588</t>
        </is>
      </c>
      <c r="E5139" s="0" t="inlineStr">
        <is>
          <t>RALSTON:105588B-3T</t>
        </is>
      </c>
      <c r="F5139" s="0" t="inlineStr">
        <is>
          <t>'080010558802</t>
        </is>
      </c>
      <c r="G5139" s="0" t="inlineStr">
        <is>
          <t>TODDLER</t>
        </is>
      </c>
      <c r="H5139" s="0" t="inlineStr">
        <is>
          <t>3T</t>
        </is>
      </c>
      <c r="I5139" s="0">
        <v>19.99</v>
      </c>
      <c r="J5139" s="0">
        <v>45</v>
      </c>
    </row>
    <row r="5140" spans="1:10" customHeight="0">
      <c r="A5140" s="0">
        <f>HYPERLINK("https://dl.dropboxusercontent.com/scl/fi/7y3ggoqupaw8rwy6daqg3/105588f30647.jpg?rlkey=jg1us5qscbcol1y2mykmanj7d&amp;dl=0","Click to download Image")</f>
      </c>
      <c r="B5140" s="0">
        <f>HYPERLINK("https://dl.dropboxusercontent.com/scl/fi/gdicwy7awm0br835o15p8/size-charts-toddler-shirt-a.jpg?rlkey=mwav557dukvav74o4nfp7ozdj&amp;dl=0","Click to download SizeChart")</f>
      </c>
      <c r="C5140" s="0" t="inlineStr">
        <is>
          <t>Ralston Toddler Polo</t>
        </is>
      </c>
      <c r="D5140" s="0" t="inlineStr">
        <is>
          <t>'105588</t>
        </is>
      </c>
      <c r="E5140" s="0" t="inlineStr">
        <is>
          <t>RALSTON:105588C-4T</t>
        </is>
      </c>
      <c r="F5140" s="0" t="inlineStr">
        <is>
          <t>'080010558803</t>
        </is>
      </c>
      <c r="G5140" s="0" t="inlineStr">
        <is>
          <t>TODDLER</t>
        </is>
      </c>
      <c r="H5140" s="0" t="inlineStr">
        <is>
          <t>4T</t>
        </is>
      </c>
      <c r="I5140" s="0">
        <v>19.99</v>
      </c>
      <c r="J5140" s="0">
        <v>33</v>
      </c>
    </row>
    <row r="5141" spans="1:10" customHeight="0">
      <c r="A5141" s="0">
        <f>HYPERLINK("https://dl.dropboxusercontent.com/scl/fi/7y3ggoqupaw8rwy6daqg3/105588f30647.jpg?rlkey=jg1us5qscbcol1y2mykmanj7d&amp;dl=0","Click to download Image")</f>
      </c>
      <c r="B5141" s="0">
        <f>HYPERLINK("https://dl.dropboxusercontent.com/scl/fi/gdicwy7awm0br835o15p8/size-charts-toddler-shirt-a.jpg?rlkey=mwav557dukvav74o4nfp7ozdj&amp;dl=0","Click to download SizeChart")</f>
      </c>
      <c r="C5141" s="0" t="inlineStr">
        <is>
          <t>Ralston Toddler Polo</t>
        </is>
      </c>
      <c r="D5141" s="0" t="inlineStr">
        <is>
          <t>'105588</t>
        </is>
      </c>
      <c r="E5141" s="0" t="inlineStr">
        <is>
          <t>RALSTON:105588D-5T</t>
        </is>
      </c>
      <c r="F5141" s="0" t="inlineStr">
        <is>
          <t>'080010558804</t>
        </is>
      </c>
      <c r="G5141" s="0" t="inlineStr">
        <is>
          <t>TODDLER</t>
        </is>
      </c>
      <c r="H5141" s="0" t="inlineStr">
        <is>
          <t>5T</t>
        </is>
      </c>
      <c r="I5141" s="0">
        <v>19.99</v>
      </c>
      <c r="J5141" s="0">
        <v>36</v>
      </c>
    </row>
    <row r="5142" spans="1:10" customHeight="0">
      <c r="A5142" s="0">
        <f>HYPERLINK("https://dl.dropboxusercontent.com/scl/fi/c6hcw35d92n8i5p531b7g/103965-af.jpg?rlkey=k1vbhjnpjxkcsomtop0efo5ru&amp;dl=0","Click to download Image")</f>
      </c>
      <c r="C5142" s="0" t="inlineStr">
        <is>
          <t>Taylor Foam Toddler Cap</t>
        </is>
      </c>
      <c r="D5142" s="0" t="inlineStr">
        <is>
          <t>'104635</t>
        </is>
      </c>
      <c r="E5142" s="0" t="inlineStr">
        <is>
          <t>TAYLOR:104635</t>
        </is>
      </c>
      <c r="F5142" s="0" t="inlineStr">
        <is>
          <t>'000000000000</t>
        </is>
      </c>
      <c r="G5142" s="0" t="inlineStr">
        <is>
          <t>TODDLER</t>
        </is>
      </c>
      <c r="H5142" s="0" t="inlineStr">
        <is>
          <t>TODDLER</t>
        </is>
      </c>
      <c r="I5142" s="0">
        <v>15.99</v>
      </c>
      <c r="J5142" s="0">
        <v>97</v>
      </c>
    </row>
    <row r="5143" spans="1:10" customHeight="0">
      <c r="A5143" s="0">
        <f>HYPERLINK("https://dl.dropboxusercontent.com/scl/fi/x41bsccqpqodn2xw52oyy/104422-af.jpg?rlkey=6tx30iscdwvsewxsff5dduilc&amp;dl=0","Click to download Image")</f>
      </c>
      <c r="C5143" s="0" t="inlineStr">
        <is>
          <t>Taylor Foam Toddler Cap</t>
        </is>
      </c>
      <c r="D5143" s="0" t="inlineStr">
        <is>
          <t>'105622</t>
        </is>
      </c>
      <c r="E5143" s="0" t="inlineStr">
        <is>
          <t>TAYLOR:105622</t>
        </is>
      </c>
      <c r="F5143" s="0" t="inlineStr">
        <is>
          <t>'000000000000</t>
        </is>
      </c>
      <c r="G5143" s="0" t="inlineStr">
        <is>
          <t>TODDLER</t>
        </is>
      </c>
      <c r="H5143" s="0" t="inlineStr">
        <is>
          <t>TODDLER</t>
        </is>
      </c>
      <c r="I5143" s="0">
        <v>15.99</v>
      </c>
      <c r="J5143" s="0">
        <v>137</v>
      </c>
    </row>
    <row r="5144" spans="1:10" customHeight="0">
      <c r="A5144" s="0">
        <f>HYPERLINK("https://dl.dropboxusercontent.com/scl/fi/eobmw8z9n7i7r7sji42bi/af.png?rlkey=lc19pwdclp32nfb6m6jg72633&amp;dl=0","Click to download Image")</f>
      </c>
      <c r="C5144" s="0" t="inlineStr">
        <is>
          <t>Emerson Breast Cancer Beanie</t>
        </is>
      </c>
      <c r="D5144" s="0" t="inlineStr">
        <is>
          <t>'99623</t>
        </is>
      </c>
      <c r="E5144" s="0" t="inlineStr">
        <is>
          <t>THINK PINK:99623-BEANIE</t>
        </is>
      </c>
      <c r="F5144" s="0" t="inlineStr">
        <is>
          <t>'700099623011</t>
        </is>
      </c>
      <c r="G5144" s="0" t="inlineStr">
        <is>
          <t>WOMENS</t>
        </is>
      </c>
      <c r="I5144" s="0">
        <v>15.99</v>
      </c>
      <c r="J5144" s="0">
        <v>98</v>
      </c>
    </row>
    <row r="5145" spans="1:10" customHeight="0">
      <c r="A5145" s="0">
        <f>HYPERLINK("https://dl.dropboxusercontent.com/scl/fi/s6i6y3g8oxhqwt74yr1nq/tc.jpg?rlkey=ksnvn6nvb4rw3hswnm91ufbi9&amp;dl=0","Click to download Image")</f>
      </c>
      <c r="C5145" s="0" t="inlineStr">
        <is>
          <t>TC Is My Valentine Socks</t>
        </is>
      </c>
      <c r="D5145" s="0" t="inlineStr">
        <is>
          <t>'106280</t>
        </is>
      </c>
      <c r="E5145" s="0" t="inlineStr">
        <is>
          <t>CHRIS:106280</t>
        </is>
      </c>
      <c r="F5145" s="0" t="inlineStr">
        <is>
          <t>'800106280012</t>
        </is>
      </c>
      <c r="I5145" s="0">
        <v>19.99</v>
      </c>
      <c r="J5145" s="0">
        <v>216</v>
      </c>
    </row>
    <row r="5146" spans="1:10" customHeight="0">
      <c r="A5146" s="0">
        <f>HYPERLINK("https://dl.dropboxusercontent.com/scl/fi/qf2yz55yy5viunpd5yjm6/105264-af.jpg?rlkey=p377cfu5ta2sar96agds9qku9&amp;dl=0","Click to download Image")</f>
      </c>
      <c r="C5146" s="0" t="inlineStr">
        <is>
          <t>Taylor Foam Men's Cap</t>
        </is>
      </c>
      <c r="D5146" s="0" t="inlineStr">
        <is>
          <t>'105264</t>
        </is>
      </c>
      <c r="E5146" s="0" t="inlineStr">
        <is>
          <t>TAYLOR:105264</t>
        </is>
      </c>
      <c r="F5146" s="0" t="inlineStr">
        <is>
          <t>'000000000000</t>
        </is>
      </c>
      <c r="G5146" s="0" t="inlineStr">
        <is>
          <t>MENS</t>
        </is>
      </c>
      <c r="H5146" s="0" t="inlineStr">
        <is>
          <t>STANDARD MENS</t>
        </is>
      </c>
      <c r="I5146" s="0">
        <v>15.99</v>
      </c>
      <c r="J5146" s="0">
        <v>63</v>
      </c>
    </row>
    <row r="5147" spans="1:10" customHeight="0">
      <c r="A5147" s="0">
        <f>HYPERLINK("https://dl.dropboxusercontent.com/scl/fi/pg3kqrcpqe4tn8n865w4l/100161t.jpg?rlkey=t45d2z4vcelemx1nqzbjkg9q5&amp;dl=0","Click to download Image")</f>
      </c>
      <c r="C5147" s="0" t="inlineStr">
        <is>
          <t>Anderson Dad Cap</t>
        </is>
      </c>
      <c r="D5147" s="0" t="inlineStr">
        <is>
          <t>'100161</t>
        </is>
      </c>
      <c r="E5147" s="0" t="inlineStr">
        <is>
          <t>ANDERSON:100161</t>
        </is>
      </c>
      <c r="F5147" s="0" t="inlineStr">
        <is>
          <t>'070010016101</t>
        </is>
      </c>
      <c r="G5147" s="0" t="inlineStr">
        <is>
          <t>MENS</t>
        </is>
      </c>
      <c r="H5147" s="0" t="inlineStr">
        <is>
          <t>STANDARD MENS</t>
        </is>
      </c>
      <c r="I5147" s="0">
        <v>18.99</v>
      </c>
      <c r="J5147" s="0">
        <v>9</v>
      </c>
    </row>
    <row r="5148" spans="1:10" customHeight="0">
      <c r="A5148" s="0">
        <f>HYPERLINK("https://dl.dropboxusercontent.com/scl/fi/8pmyyvtlwrrd2g2ejkgd1/105698af90530.jpg?rlkey=xle1bjbvog4jh6k7ngqwaebeb&amp;dl=0","Click to download Image")</f>
      </c>
      <c r="C5148" s="0" t="inlineStr">
        <is>
          <t>Jane Women's Fleece Headband</t>
        </is>
      </c>
      <c r="D5148" s="0" t="inlineStr">
        <is>
          <t>'106787</t>
        </is>
      </c>
      <c r="E5148" s="0" t="inlineStr">
        <is>
          <t>IOWA JANE HEADBAND:106787</t>
        </is>
      </c>
      <c r="F5148" s="0" t="inlineStr">
        <is>
          <t>'700106787019</t>
        </is>
      </c>
      <c r="G5148" s="0" t="inlineStr">
        <is>
          <t>WOMENS</t>
        </is>
      </c>
      <c r="H5148" s="0" t="inlineStr">
        <is>
          <t>OSFM</t>
        </is>
      </c>
      <c r="I5148" s="0">
        <v>18.99</v>
      </c>
      <c r="J5148" s="0">
        <v>88</v>
      </c>
    </row>
    <row r="5149" spans="1:10" customHeight="0">
      <c r="A5149" s="0">
        <f>HYPERLINK("https://dl.dropboxusercontent.com/scl/fi/70sx5eyibdes8yu3xp9rk/jodyt.jpg?rlkey=88uv0d1udxxdunixvhaane57r&amp;dl=0","Click to download Image")</f>
      </c>
      <c r="C5149" s="0" t="inlineStr">
        <is>
          <t>Jody Youth Glow In The Dark Visor </t>
        </is>
      </c>
      <c r="D5149" s="0" t="inlineStr">
        <is>
          <t>'97846</t>
        </is>
      </c>
      <c r="E5149" s="0" t="inlineStr">
        <is>
          <t>JODY:97846</t>
        </is>
      </c>
      <c r="F5149" s="0" t="inlineStr">
        <is>
          <t>'070009784601</t>
        </is>
      </c>
      <c r="G5149" s="0" t="inlineStr">
        <is>
          <t>YOUTH</t>
        </is>
      </c>
      <c r="H5149" s="0" t="inlineStr">
        <is>
          <t>YOUTH</t>
        </is>
      </c>
      <c r="I5149" s="0">
        <v>22.99</v>
      </c>
      <c r="J5149" s="0">
        <v>121</v>
      </c>
    </row>
    <row r="5150" spans="1:10" customHeight="0">
      <c r="A5150" s="0">
        <f>HYPERLINK("https://dl.dropboxusercontent.com/scl/fi/zynhc3h5hccwpzhyld7r5/98539f.jpg?rlkey=4mk2udtbjgz8w3hmb0hpwouoy&amp;dl=0","Click to download Image")</f>
      </c>
      <c r="B5150" s="0">
        <f>HYPERLINK("https://dl.dropboxusercontent.com/scl/fi/oteshraljccni4fanrefj/graphic-update22022-infant.jpg?rlkey=vqyqczxksen3wkabxczspzj6l&amp;dl=0","Click to download SizeChart")</f>
      </c>
      <c r="C5150" s="0" t="inlineStr">
        <is>
          <t>Wyatt Camo Infant Romper</t>
        </is>
      </c>
      <c r="D5150" s="0" t="inlineStr">
        <is>
          <t>'98539</t>
        </is>
      </c>
      <c r="E5150" s="0" t="inlineStr">
        <is>
          <t>WYATT:98539A-0-3M</t>
        </is>
      </c>
      <c r="F5150" s="0" t="inlineStr">
        <is>
          <t>'000000000000</t>
        </is>
      </c>
      <c r="G5150" s="0" t="inlineStr">
        <is>
          <t>INFANT</t>
        </is>
      </c>
      <c r="H5150" s="0" t="inlineStr">
        <is>
          <t>0-3M</t>
        </is>
      </c>
      <c r="I5150" s="0">
        <v>34.99</v>
      </c>
      <c r="J5150" s="0">
        <v>32</v>
      </c>
    </row>
    <row r="5151" spans="1:10" customHeight="0">
      <c r="A5151" s="0">
        <f>HYPERLINK("https://dl.dropboxusercontent.com/scl/fi/zynhc3h5hccwpzhyld7r5/98539f.jpg?rlkey=4mk2udtbjgz8w3hmb0hpwouoy&amp;dl=0","Click to download Image")</f>
      </c>
      <c r="B5151" s="0">
        <f>HYPERLINK("https://dl.dropboxusercontent.com/scl/fi/oteshraljccni4fanrefj/graphic-update22022-infant.jpg?rlkey=vqyqczxksen3wkabxczspzj6l&amp;dl=0","Click to download SizeChart")</f>
      </c>
      <c r="C5151" s="0" t="inlineStr">
        <is>
          <t>Wyatt Camo Infant Romper</t>
        </is>
      </c>
      <c r="D5151" s="0" t="inlineStr">
        <is>
          <t>'98539</t>
        </is>
      </c>
      <c r="E5151" s="0" t="inlineStr">
        <is>
          <t>WYATT:98539B-3-6M</t>
        </is>
      </c>
      <c r="F5151" s="0" t="inlineStr">
        <is>
          <t>'000000000000</t>
        </is>
      </c>
      <c r="G5151" s="0" t="inlineStr">
        <is>
          <t>INFANT</t>
        </is>
      </c>
      <c r="H5151" s="0" t="inlineStr">
        <is>
          <t>3-6M</t>
        </is>
      </c>
      <c r="I5151" s="0">
        <v>34.99</v>
      </c>
      <c r="J5151" s="0">
        <v>30</v>
      </c>
    </row>
    <row r="5152" spans="1:10" customHeight="0">
      <c r="A5152" s="0">
        <f>HYPERLINK("https://dl.dropboxusercontent.com/scl/fi/zynhc3h5hccwpzhyld7r5/98539f.jpg?rlkey=4mk2udtbjgz8w3hmb0hpwouoy&amp;dl=0","Click to download Image")</f>
      </c>
      <c r="B5152" s="0">
        <f>HYPERLINK("https://dl.dropboxusercontent.com/scl/fi/oteshraljccni4fanrefj/graphic-update22022-infant.jpg?rlkey=vqyqczxksen3wkabxczspzj6l&amp;dl=0","Click to download SizeChart")</f>
      </c>
      <c r="C5152" s="0" t="inlineStr">
        <is>
          <t>Wyatt Camo Infant Romper</t>
        </is>
      </c>
      <c r="D5152" s="0" t="inlineStr">
        <is>
          <t>'98539</t>
        </is>
      </c>
      <c r="E5152" s="0" t="inlineStr">
        <is>
          <t>WYATT:98539C-6-9M</t>
        </is>
      </c>
      <c r="F5152" s="0" t="inlineStr">
        <is>
          <t>'000000000000</t>
        </is>
      </c>
      <c r="G5152" s="0" t="inlineStr">
        <is>
          <t>INFANT</t>
        </is>
      </c>
      <c r="H5152" s="0" t="inlineStr">
        <is>
          <t>6-9M</t>
        </is>
      </c>
      <c r="I5152" s="0">
        <v>34.99</v>
      </c>
      <c r="J5152" s="0">
        <v>26</v>
      </c>
    </row>
    <row r="5153" spans="1:10" customHeight="0">
      <c r="A5153" s="0">
        <f>HYPERLINK("https://dl.dropboxusercontent.com/scl/fi/zynhc3h5hccwpzhyld7r5/98539f.jpg?rlkey=4mk2udtbjgz8w3hmb0hpwouoy&amp;dl=0","Click to download Image")</f>
      </c>
      <c r="B5153" s="0">
        <f>HYPERLINK("https://dl.dropboxusercontent.com/scl/fi/oteshraljccni4fanrefj/graphic-update22022-infant.jpg?rlkey=vqyqczxksen3wkabxczspzj6l&amp;dl=0","Click to download SizeChart")</f>
      </c>
      <c r="C5153" s="0" t="inlineStr">
        <is>
          <t>Wyatt Camo Infant Romper</t>
        </is>
      </c>
      <c r="D5153" s="0" t="inlineStr">
        <is>
          <t>'98539</t>
        </is>
      </c>
      <c r="E5153" s="0" t="inlineStr">
        <is>
          <t>WYATT:98539D-12M</t>
        </is>
      </c>
      <c r="F5153" s="0" t="inlineStr">
        <is>
          <t>'000000000000</t>
        </is>
      </c>
      <c r="G5153" s="0" t="inlineStr">
        <is>
          <t>INFANT</t>
        </is>
      </c>
      <c r="H5153" s="0" t="inlineStr">
        <is>
          <t>12M</t>
        </is>
      </c>
      <c r="I5153" s="0">
        <v>34.99</v>
      </c>
      <c r="J5153" s="0">
        <v>25</v>
      </c>
    </row>
    <row r="5154" spans="1:10" customHeight="0">
      <c r="A5154" s="0">
        <f>HYPERLINK("https://dl.dropboxusercontent.com/scl/fi/asvoa4qoaj0896zlplfm1/chain-yarn-model-t.jpg?rlkey=9id0lo22b1fz2gzjwhw0mw82b&amp;dl=0","Click to download Image")</f>
      </c>
      <c r="C5154" s="0" t="inlineStr">
        <is>
          <t>Chain Yarn Men's Hoodie</t>
        </is>
      </c>
      <c r="D5154" s="0" t="inlineStr">
        <is>
          <t>'104221</t>
        </is>
      </c>
      <c r="E5154" s="0" t="inlineStr">
        <is>
          <t>CHAIN YARN:104221A-S</t>
        </is>
      </c>
      <c r="F5154" s="0" t="inlineStr">
        <is>
          <t>'080010422101</t>
        </is>
      </c>
      <c r="G5154" s="0" t="inlineStr">
        <is>
          <t>MENS</t>
        </is>
      </c>
      <c r="H5154" s="0" t="inlineStr">
        <is>
          <t>S</t>
        </is>
      </c>
      <c r="I5154" s="0">
        <v>39.99</v>
      </c>
      <c r="J5154" s="0">
        <v>3</v>
      </c>
    </row>
    <row r="5155" spans="1:10" customHeight="0">
      <c r="A5155" s="0">
        <f>HYPERLINK("https://dl.dropboxusercontent.com/scl/fi/asvoa4qoaj0896zlplfm1/chain-yarn-model-t.jpg?rlkey=9id0lo22b1fz2gzjwhw0mw82b&amp;dl=0","Click to download Image")</f>
      </c>
      <c r="C5155" s="0" t="inlineStr">
        <is>
          <t>Chain Yarn Men's Hoodie</t>
        </is>
      </c>
      <c r="D5155" s="0" t="inlineStr">
        <is>
          <t>'104221</t>
        </is>
      </c>
      <c r="E5155" s="0" t="inlineStr">
        <is>
          <t>CHAIN YARN:104221B-M</t>
        </is>
      </c>
      <c r="F5155" s="0" t="inlineStr">
        <is>
          <t>'080010422102</t>
        </is>
      </c>
      <c r="G5155" s="0" t="inlineStr">
        <is>
          <t>MENS</t>
        </is>
      </c>
      <c r="H5155" s="0" t="inlineStr">
        <is>
          <t>M</t>
        </is>
      </c>
      <c r="I5155" s="0">
        <v>39.99</v>
      </c>
      <c r="J5155" s="0">
        <v>8</v>
      </c>
    </row>
    <row r="5156" spans="1:10" customHeight="0">
      <c r="A5156" s="0">
        <f>HYPERLINK("https://dl.dropboxusercontent.com/scl/fi/asvoa4qoaj0896zlplfm1/chain-yarn-model-t.jpg?rlkey=9id0lo22b1fz2gzjwhw0mw82b&amp;dl=0","Click to download Image")</f>
      </c>
      <c r="C5156" s="0" t="inlineStr">
        <is>
          <t>Chain Yarn Men's Hoodie</t>
        </is>
      </c>
      <c r="D5156" s="0" t="inlineStr">
        <is>
          <t>'104221</t>
        </is>
      </c>
      <c r="E5156" s="0" t="inlineStr">
        <is>
          <t>CHAIN YARN:104221C-L</t>
        </is>
      </c>
      <c r="F5156" s="0" t="inlineStr">
        <is>
          <t>'080010422103</t>
        </is>
      </c>
      <c r="G5156" s="0" t="inlineStr">
        <is>
          <t>MENS</t>
        </is>
      </c>
      <c r="H5156" s="0" t="inlineStr">
        <is>
          <t>L</t>
        </is>
      </c>
      <c r="I5156" s="0">
        <v>39.99</v>
      </c>
      <c r="J5156" s="0">
        <v>13</v>
      </c>
    </row>
    <row r="5157" spans="1:10" customHeight="0">
      <c r="A5157" s="0">
        <f>HYPERLINK("https://dl.dropboxusercontent.com/scl/fi/asvoa4qoaj0896zlplfm1/chain-yarn-model-t.jpg?rlkey=9id0lo22b1fz2gzjwhw0mw82b&amp;dl=0","Click to download Image")</f>
      </c>
      <c r="C5157" s="0" t="inlineStr">
        <is>
          <t>Chain Yarn Men's Hoodie</t>
        </is>
      </c>
      <c r="D5157" s="0" t="inlineStr">
        <is>
          <t>'104221</t>
        </is>
      </c>
      <c r="E5157" s="0" t="inlineStr">
        <is>
          <t>CHAIN YARN:104221D-XL</t>
        </is>
      </c>
      <c r="F5157" s="0" t="inlineStr">
        <is>
          <t>'080010422104</t>
        </is>
      </c>
      <c r="G5157" s="0" t="inlineStr">
        <is>
          <t>MENS</t>
        </is>
      </c>
      <c r="H5157" s="0" t="inlineStr">
        <is>
          <t>XL</t>
        </is>
      </c>
      <c r="I5157" s="0">
        <v>39.99</v>
      </c>
      <c r="J5157" s="0">
        <v>12</v>
      </c>
    </row>
    <row r="5158" spans="1:10" customHeight="0">
      <c r="A5158" s="0">
        <f>HYPERLINK("https://dl.dropboxusercontent.com/scl/fi/asvoa4qoaj0896zlplfm1/chain-yarn-model-t.jpg?rlkey=9id0lo22b1fz2gzjwhw0mw82b&amp;dl=0","Click to download Image")</f>
      </c>
      <c r="C5158" s="0" t="inlineStr">
        <is>
          <t>Chain Yarn Men's Hoodie</t>
        </is>
      </c>
      <c r="D5158" s="0" t="inlineStr">
        <is>
          <t>'104221</t>
        </is>
      </c>
      <c r="E5158" s="0" t="inlineStr">
        <is>
          <t>CHAIN YARN:104221E-2XL</t>
        </is>
      </c>
      <c r="F5158" s="0" t="inlineStr">
        <is>
          <t>'080010422104</t>
        </is>
      </c>
      <c r="G5158" s="0" t="inlineStr">
        <is>
          <t>MENS</t>
        </is>
      </c>
      <c r="H5158" s="0" t="inlineStr">
        <is>
          <t>2XL</t>
        </is>
      </c>
      <c r="I5158" s="0">
        <v>41.99</v>
      </c>
      <c r="J5158" s="0">
        <v>10</v>
      </c>
    </row>
    <row r="5159" spans="1:10" customHeight="0">
      <c r="A5159" s="0">
        <f>HYPERLINK("https://dl.dropboxusercontent.com/scl/fi/asvoa4qoaj0896zlplfm1/chain-yarn-model-t.jpg?rlkey=9id0lo22b1fz2gzjwhw0mw82b&amp;dl=0","Click to download Image")</f>
      </c>
      <c r="C5159" s="0" t="inlineStr">
        <is>
          <t>Chain Yarn Men's Hoodie</t>
        </is>
      </c>
      <c r="D5159" s="0" t="inlineStr">
        <is>
          <t>'104221</t>
        </is>
      </c>
      <c r="E5159" s="0" t="inlineStr">
        <is>
          <t>CHAIN YARN:104221F-3XL</t>
        </is>
      </c>
      <c r="F5159" s="0" t="inlineStr">
        <is>
          <t>'080010422104</t>
        </is>
      </c>
      <c r="G5159" s="0" t="inlineStr">
        <is>
          <t>MENS</t>
        </is>
      </c>
      <c r="H5159" s="0" t="inlineStr">
        <is>
          <t>3XL</t>
        </is>
      </c>
      <c r="I5159" s="0">
        <v>41.99</v>
      </c>
      <c r="J5159" s="0">
        <v>6</v>
      </c>
    </row>
    <row r="5160" spans="1:10" customHeight="0">
      <c r="A5160" s="0">
        <f>HYPERLINK("https://dl.dropboxusercontent.com/scl/fi/32sjrxwenb3gtagjbmbmq/104234-af.jpg?rlkey=eayh4z8zm5j9725382kn3xrtj&amp;dl=0","Click to download Image")</f>
      </c>
      <c r="C5160" s="0" t="inlineStr">
        <is>
          <t>Chain Yarn Men's Hoodie</t>
        </is>
      </c>
      <c r="D5160" s="0" t="inlineStr">
        <is>
          <t>'104234</t>
        </is>
      </c>
      <c r="E5160" s="0" t="inlineStr">
        <is>
          <t>CHAIN YARN:104234A-S</t>
        </is>
      </c>
      <c r="F5160" s="0" t="inlineStr">
        <is>
          <t>'080010423401</t>
        </is>
      </c>
      <c r="G5160" s="0" t="inlineStr">
        <is>
          <t>MENS</t>
        </is>
      </c>
      <c r="H5160" s="0" t="inlineStr">
        <is>
          <t>S</t>
        </is>
      </c>
      <c r="I5160" s="0">
        <v>39.99</v>
      </c>
      <c r="J5160" s="0">
        <v>6</v>
      </c>
    </row>
    <row r="5161" spans="1:10" customHeight="0">
      <c r="A5161" s="0">
        <f>HYPERLINK("https://dl.dropboxusercontent.com/scl/fi/32sjrxwenb3gtagjbmbmq/104234-af.jpg?rlkey=eayh4z8zm5j9725382kn3xrtj&amp;dl=0","Click to download Image")</f>
      </c>
      <c r="C5161" s="0" t="inlineStr">
        <is>
          <t>Chain Yarn Men's Hoodie</t>
        </is>
      </c>
      <c r="D5161" s="0" t="inlineStr">
        <is>
          <t>'104234</t>
        </is>
      </c>
      <c r="E5161" s="0" t="inlineStr">
        <is>
          <t>CHAIN YARN:104234B-M</t>
        </is>
      </c>
      <c r="F5161" s="0" t="inlineStr">
        <is>
          <t>'080010423402</t>
        </is>
      </c>
      <c r="G5161" s="0" t="inlineStr">
        <is>
          <t>MENS</t>
        </is>
      </c>
      <c r="H5161" s="0" t="inlineStr">
        <is>
          <t>M</t>
        </is>
      </c>
      <c r="I5161" s="0">
        <v>39.99</v>
      </c>
      <c r="J5161" s="0">
        <v>12</v>
      </c>
    </row>
    <row r="5162" spans="1:10" customHeight="0">
      <c r="A5162" s="0">
        <f>HYPERLINK("https://dl.dropboxusercontent.com/scl/fi/32sjrxwenb3gtagjbmbmq/104234-af.jpg?rlkey=eayh4z8zm5j9725382kn3xrtj&amp;dl=0","Click to download Image")</f>
      </c>
      <c r="C5162" s="0" t="inlineStr">
        <is>
          <t>Chain Yarn Men's Hoodie</t>
        </is>
      </c>
      <c r="D5162" s="0" t="inlineStr">
        <is>
          <t>'104234</t>
        </is>
      </c>
      <c r="E5162" s="0" t="inlineStr">
        <is>
          <t>CHAIN YARN:104234C-L</t>
        </is>
      </c>
      <c r="F5162" s="0" t="inlineStr">
        <is>
          <t>'080010423403</t>
        </is>
      </c>
      <c r="G5162" s="0" t="inlineStr">
        <is>
          <t>MENS</t>
        </is>
      </c>
      <c r="H5162" s="0" t="inlineStr">
        <is>
          <t>L</t>
        </is>
      </c>
      <c r="I5162" s="0">
        <v>39.99</v>
      </c>
      <c r="J5162" s="0">
        <v>16</v>
      </c>
    </row>
    <row r="5163" spans="1:10" customHeight="0">
      <c r="A5163" s="0">
        <f>HYPERLINK("https://dl.dropboxusercontent.com/scl/fi/32sjrxwenb3gtagjbmbmq/104234-af.jpg?rlkey=eayh4z8zm5j9725382kn3xrtj&amp;dl=0","Click to download Image")</f>
      </c>
      <c r="C5163" s="0" t="inlineStr">
        <is>
          <t>Chain Yarn Men's Hoodie</t>
        </is>
      </c>
      <c r="D5163" s="0" t="inlineStr">
        <is>
          <t>'104234</t>
        </is>
      </c>
      <c r="E5163" s="0" t="inlineStr">
        <is>
          <t>CHAIN YARN:104234D-XL</t>
        </is>
      </c>
      <c r="F5163" s="0" t="inlineStr">
        <is>
          <t>'080010423404</t>
        </is>
      </c>
      <c r="G5163" s="0" t="inlineStr">
        <is>
          <t>MENS</t>
        </is>
      </c>
      <c r="H5163" s="0" t="inlineStr">
        <is>
          <t>XL</t>
        </is>
      </c>
      <c r="I5163" s="0">
        <v>39.99</v>
      </c>
      <c r="J5163" s="0">
        <v>17</v>
      </c>
    </row>
    <row r="5164" spans="1:10" customHeight="0">
      <c r="A5164" s="0">
        <f>HYPERLINK("https://dl.dropboxusercontent.com/scl/fi/32sjrxwenb3gtagjbmbmq/104234-af.jpg?rlkey=eayh4z8zm5j9725382kn3xrtj&amp;dl=0","Click to download Image")</f>
      </c>
      <c r="C5164" s="0" t="inlineStr">
        <is>
          <t>Chain Yarn Men's Hoodie</t>
        </is>
      </c>
      <c r="D5164" s="0" t="inlineStr">
        <is>
          <t>'104234</t>
        </is>
      </c>
      <c r="E5164" s="0" t="inlineStr">
        <is>
          <t>CHAIN YARN:104234E-2XL</t>
        </is>
      </c>
      <c r="F5164" s="0" t="inlineStr">
        <is>
          <t>'080010423405</t>
        </is>
      </c>
      <c r="G5164" s="0" t="inlineStr">
        <is>
          <t>MENS</t>
        </is>
      </c>
      <c r="H5164" s="0" t="inlineStr">
        <is>
          <t>2XL</t>
        </is>
      </c>
      <c r="I5164" s="0">
        <v>41.99</v>
      </c>
      <c r="J5164" s="0">
        <v>12</v>
      </c>
    </row>
    <row r="5165" spans="1:10" customHeight="0">
      <c r="A5165" s="0">
        <f>HYPERLINK("https://dl.dropboxusercontent.com/scl/fi/32sjrxwenb3gtagjbmbmq/104234-af.jpg?rlkey=eayh4z8zm5j9725382kn3xrtj&amp;dl=0","Click to download Image")</f>
      </c>
      <c r="C5165" s="0" t="inlineStr">
        <is>
          <t>Chain Yarn Men's Hoodie</t>
        </is>
      </c>
      <c r="D5165" s="0" t="inlineStr">
        <is>
          <t>'104234</t>
        </is>
      </c>
      <c r="E5165" s="0" t="inlineStr">
        <is>
          <t>CHAIN YARN:104234F-3XL</t>
        </is>
      </c>
      <c r="F5165" s="0" t="inlineStr">
        <is>
          <t>'080010423406</t>
        </is>
      </c>
      <c r="G5165" s="0" t="inlineStr">
        <is>
          <t>MENS</t>
        </is>
      </c>
      <c r="H5165" s="0" t="inlineStr">
        <is>
          <t>3XL</t>
        </is>
      </c>
      <c r="I5165" s="0">
        <v>41.99</v>
      </c>
      <c r="J5165" s="0">
        <v>6</v>
      </c>
    </row>
    <row r="5166" spans="1:10" customHeight="0">
      <c r="A5166" s="0">
        <f>HYPERLINK("https://dl.dropboxusercontent.com/scl/fi/kwlssfze0hgwoa4ymvje2/104219af03815.jpg?rlkey=2e4b095qn7f5f4t7wb1n9nncn&amp;dl=0","Click to download Image")</f>
      </c>
      <c r="C5166" s="0" t="inlineStr">
        <is>
          <t>Chain Yarn Men's Hoodie</t>
        </is>
      </c>
      <c r="D5166" s="0" t="inlineStr">
        <is>
          <t>'104219</t>
        </is>
      </c>
      <c r="E5166" s="0" t="inlineStr">
        <is>
          <t>CHAIN YARN:104219A-S</t>
        </is>
      </c>
      <c r="F5166" s="0" t="inlineStr">
        <is>
          <t>'080010421901</t>
        </is>
      </c>
      <c r="G5166" s="0" t="inlineStr">
        <is>
          <t>MENS</t>
        </is>
      </c>
      <c r="H5166" s="0" t="inlineStr">
        <is>
          <t>S</t>
        </is>
      </c>
      <c r="I5166" s="0">
        <v>39.99</v>
      </c>
      <c r="J5166" s="0">
        <v>6</v>
      </c>
    </row>
    <row r="5167" spans="1:10" customHeight="0">
      <c r="A5167" s="0">
        <f>HYPERLINK("https://dl.dropboxusercontent.com/scl/fi/kwlssfze0hgwoa4ymvje2/104219af03815.jpg?rlkey=2e4b095qn7f5f4t7wb1n9nncn&amp;dl=0","Click to download Image")</f>
      </c>
      <c r="C5167" s="0" t="inlineStr">
        <is>
          <t>Chain Yarn Men's Hoodie</t>
        </is>
      </c>
      <c r="D5167" s="0" t="inlineStr">
        <is>
          <t>'104219</t>
        </is>
      </c>
      <c r="E5167" s="0" t="inlineStr">
        <is>
          <t>CHAIN YARN:104219B-M</t>
        </is>
      </c>
      <c r="F5167" s="0" t="inlineStr">
        <is>
          <t>'080010421902</t>
        </is>
      </c>
      <c r="G5167" s="0" t="inlineStr">
        <is>
          <t>MENS</t>
        </is>
      </c>
      <c r="H5167" s="0" t="inlineStr">
        <is>
          <t>M</t>
        </is>
      </c>
      <c r="I5167" s="0">
        <v>39.99</v>
      </c>
      <c r="J5167" s="0">
        <v>12</v>
      </c>
    </row>
    <row r="5168" spans="1:10" customHeight="0">
      <c r="A5168" s="0">
        <f>HYPERLINK("https://dl.dropboxusercontent.com/scl/fi/kwlssfze0hgwoa4ymvje2/104219af03815.jpg?rlkey=2e4b095qn7f5f4t7wb1n9nncn&amp;dl=0","Click to download Image")</f>
      </c>
      <c r="C5168" s="0" t="inlineStr">
        <is>
          <t>Chain Yarn Men's Hoodie</t>
        </is>
      </c>
      <c r="D5168" s="0" t="inlineStr">
        <is>
          <t>'104219</t>
        </is>
      </c>
      <c r="E5168" s="0" t="inlineStr">
        <is>
          <t>CHAIN YARN:104219C-L</t>
        </is>
      </c>
      <c r="F5168" s="0" t="inlineStr">
        <is>
          <t>'080010421903</t>
        </is>
      </c>
      <c r="G5168" s="0" t="inlineStr">
        <is>
          <t>MENS</t>
        </is>
      </c>
      <c r="H5168" s="0" t="inlineStr">
        <is>
          <t>L</t>
        </is>
      </c>
      <c r="I5168" s="0">
        <v>39.99</v>
      </c>
      <c r="J5168" s="0">
        <v>18</v>
      </c>
    </row>
    <row r="5169" spans="1:10" customHeight="0">
      <c r="A5169" s="0">
        <f>HYPERLINK("https://dl.dropboxusercontent.com/scl/fi/kwlssfze0hgwoa4ymvje2/104219af03815.jpg?rlkey=2e4b095qn7f5f4t7wb1n9nncn&amp;dl=0","Click to download Image")</f>
      </c>
      <c r="C5169" s="0" t="inlineStr">
        <is>
          <t>Chain Yarn Men's Hoodie</t>
        </is>
      </c>
      <c r="D5169" s="0" t="inlineStr">
        <is>
          <t>'104219</t>
        </is>
      </c>
      <c r="E5169" s="0" t="inlineStr">
        <is>
          <t>CHAIN YARN:104219D-XL</t>
        </is>
      </c>
      <c r="F5169" s="0" t="inlineStr">
        <is>
          <t>'080010421904</t>
        </is>
      </c>
      <c r="G5169" s="0" t="inlineStr">
        <is>
          <t>MENS</t>
        </is>
      </c>
      <c r="H5169" s="0" t="inlineStr">
        <is>
          <t>XL</t>
        </is>
      </c>
      <c r="I5169" s="0">
        <v>39.99</v>
      </c>
      <c r="J5169" s="0">
        <v>18</v>
      </c>
    </row>
    <row r="5170" spans="1:10" customHeight="0">
      <c r="A5170" s="0">
        <f>HYPERLINK("https://dl.dropboxusercontent.com/scl/fi/kwlssfze0hgwoa4ymvje2/104219af03815.jpg?rlkey=2e4b095qn7f5f4t7wb1n9nncn&amp;dl=0","Click to download Image")</f>
      </c>
      <c r="C5170" s="0" t="inlineStr">
        <is>
          <t>Chain Yarn Men's Hoodie</t>
        </is>
      </c>
      <c r="D5170" s="0" t="inlineStr">
        <is>
          <t>'104219</t>
        </is>
      </c>
      <c r="E5170" s="0" t="inlineStr">
        <is>
          <t>CHAIN YARN:104219E-2XL</t>
        </is>
      </c>
      <c r="F5170" s="0" t="inlineStr">
        <is>
          <t>'080010421905</t>
        </is>
      </c>
      <c r="G5170" s="0" t="inlineStr">
        <is>
          <t>MENS</t>
        </is>
      </c>
      <c r="H5170" s="0" t="inlineStr">
        <is>
          <t>2XL</t>
        </is>
      </c>
      <c r="I5170" s="0">
        <v>41.99</v>
      </c>
      <c r="J5170" s="0">
        <v>12</v>
      </c>
    </row>
    <row r="5171" spans="1:10" customHeight="0">
      <c r="A5171" s="0">
        <f>HYPERLINK("https://dl.dropboxusercontent.com/scl/fi/kwlssfze0hgwoa4ymvje2/104219af03815.jpg?rlkey=2e4b095qn7f5f4t7wb1n9nncn&amp;dl=0","Click to download Image")</f>
      </c>
      <c r="C5171" s="0" t="inlineStr">
        <is>
          <t>Chain Yarn Men's Hoodie</t>
        </is>
      </c>
      <c r="D5171" s="0" t="inlineStr">
        <is>
          <t>'104219</t>
        </is>
      </c>
      <c r="E5171" s="0" t="inlineStr">
        <is>
          <t>CHAIN YARN:104219F-3XL</t>
        </is>
      </c>
      <c r="F5171" s="0" t="inlineStr">
        <is>
          <t>'080010421906</t>
        </is>
      </c>
      <c r="G5171" s="0" t="inlineStr">
        <is>
          <t>MENS</t>
        </is>
      </c>
      <c r="H5171" s="0" t="inlineStr">
        <is>
          <t>3XL</t>
        </is>
      </c>
      <c r="I5171" s="0">
        <v>41.99</v>
      </c>
      <c r="J5171" s="0">
        <v>6</v>
      </c>
    </row>
    <row r="5172" spans="1:10" customHeight="0">
      <c r="A5172" s="0">
        <f>HYPERLINK("https://dl.dropboxusercontent.com/scl/fi/gda85gxwctzihu143dx1g/104735af10015.jpg?rlkey=9p00n0h97q3uyvh7rg95cb3ff&amp;dl=0","Click to download Image")</f>
      </c>
      <c r="B5172" s="0">
        <f>HYPERLINK("https://dl.dropboxusercontent.com/scl/fi/1hhtwhxmfxxk8db4rv23a/10-18-size-charts-mens-athletic.jpg?rlkey=a235tp9h1iogtam84fb4m6er7&amp;dl=0","Click to download SizeChart")</f>
      </c>
      <c r="C5172" s="0" t="inlineStr">
        <is>
          <t>Rick Chain Yarn Men's Hoodie</t>
        </is>
      </c>
      <c r="D5172" s="0" t="inlineStr">
        <is>
          <t>'104735</t>
        </is>
      </c>
      <c r="E5172" s="0" t="inlineStr">
        <is>
          <t>RICK:104735A-S</t>
        </is>
      </c>
      <c r="F5172" s="0" t="inlineStr">
        <is>
          <t>'080010473501</t>
        </is>
      </c>
      <c r="G5172" s="0" t="inlineStr">
        <is>
          <t>MENS</t>
        </is>
      </c>
      <c r="H5172" s="0" t="inlineStr">
        <is>
          <t>S</t>
        </is>
      </c>
      <c r="I5172" s="0">
        <v>29.99</v>
      </c>
      <c r="J5172" s="0">
        <v>2</v>
      </c>
    </row>
    <row r="5173" spans="1:10" customHeight="0">
      <c r="A5173" s="0">
        <f>HYPERLINK("https://dl.dropboxusercontent.com/scl/fi/gda85gxwctzihu143dx1g/104735af10015.jpg?rlkey=9p00n0h97q3uyvh7rg95cb3ff&amp;dl=0","Click to download Image")</f>
      </c>
      <c r="B5173" s="0">
        <f>HYPERLINK("https://dl.dropboxusercontent.com/scl/fi/1hhtwhxmfxxk8db4rv23a/10-18-size-charts-mens-athletic.jpg?rlkey=a235tp9h1iogtam84fb4m6er7&amp;dl=0","Click to download SizeChart")</f>
      </c>
      <c r="C5173" s="0" t="inlineStr">
        <is>
          <t>Rick Chain Yarn Men's Hoodie</t>
        </is>
      </c>
      <c r="D5173" s="0" t="inlineStr">
        <is>
          <t>'104735</t>
        </is>
      </c>
      <c r="E5173" s="0" t="inlineStr">
        <is>
          <t>RICK:104735B-M</t>
        </is>
      </c>
      <c r="F5173" s="0" t="inlineStr">
        <is>
          <t>'080010473502</t>
        </is>
      </c>
      <c r="G5173" s="0" t="inlineStr">
        <is>
          <t>MENS</t>
        </is>
      </c>
      <c r="H5173" s="0" t="inlineStr">
        <is>
          <t>M</t>
        </is>
      </c>
      <c r="I5173" s="0">
        <v>29.99</v>
      </c>
      <c r="J5173" s="0">
        <v>2</v>
      </c>
    </row>
    <row r="5174" spans="1:10" customHeight="0">
      <c r="A5174" s="0">
        <f>HYPERLINK("https://dl.dropboxusercontent.com/scl/fi/gda85gxwctzihu143dx1g/104735af10015.jpg?rlkey=9p00n0h97q3uyvh7rg95cb3ff&amp;dl=0","Click to download Image")</f>
      </c>
      <c r="B5174" s="0">
        <f>HYPERLINK("https://dl.dropboxusercontent.com/scl/fi/1hhtwhxmfxxk8db4rv23a/10-18-size-charts-mens-athletic.jpg?rlkey=a235tp9h1iogtam84fb4m6er7&amp;dl=0","Click to download SizeChart")</f>
      </c>
      <c r="C5174" s="0" t="inlineStr">
        <is>
          <t>Rick Chain Yarn Men's Hoodie</t>
        </is>
      </c>
      <c r="D5174" s="0" t="inlineStr">
        <is>
          <t>'104735</t>
        </is>
      </c>
      <c r="E5174" s="0" t="inlineStr">
        <is>
          <t>RICK:104735C-L</t>
        </is>
      </c>
      <c r="F5174" s="0" t="inlineStr">
        <is>
          <t>'080010473503</t>
        </is>
      </c>
      <c r="G5174" s="0" t="inlineStr">
        <is>
          <t>MENS</t>
        </is>
      </c>
      <c r="H5174" s="0" t="inlineStr">
        <is>
          <t>L</t>
        </is>
      </c>
      <c r="I5174" s="0">
        <v>29.99</v>
      </c>
      <c r="J5174" s="0">
        <v>2</v>
      </c>
    </row>
    <row r="5175" spans="1:10" customHeight="0">
      <c r="A5175" s="0">
        <f>HYPERLINK("https://dl.dropboxusercontent.com/scl/fi/gda85gxwctzihu143dx1g/104735af10015.jpg?rlkey=9p00n0h97q3uyvh7rg95cb3ff&amp;dl=0","Click to download Image")</f>
      </c>
      <c r="B5175" s="0">
        <f>HYPERLINK("https://dl.dropboxusercontent.com/scl/fi/1hhtwhxmfxxk8db4rv23a/10-18-size-charts-mens-athletic.jpg?rlkey=a235tp9h1iogtam84fb4m6er7&amp;dl=0","Click to download SizeChart")</f>
      </c>
      <c r="C5175" s="0" t="inlineStr">
        <is>
          <t>Rick Chain Yarn Men's Hoodie</t>
        </is>
      </c>
      <c r="D5175" s="0" t="inlineStr">
        <is>
          <t>'104735</t>
        </is>
      </c>
      <c r="E5175" s="0" t="inlineStr">
        <is>
          <t>RICK:104735D-XL</t>
        </is>
      </c>
      <c r="F5175" s="0" t="inlineStr">
        <is>
          <t>'080010473504</t>
        </is>
      </c>
      <c r="G5175" s="0" t="inlineStr">
        <is>
          <t>MENS</t>
        </is>
      </c>
      <c r="H5175" s="0" t="inlineStr">
        <is>
          <t>XL</t>
        </is>
      </c>
      <c r="I5175" s="0">
        <v>29.99</v>
      </c>
      <c r="J5175" s="0">
        <v>0</v>
      </c>
    </row>
    <row r="5176" spans="1:10" customHeight="0">
      <c r="A5176" s="0">
        <f>HYPERLINK("https://dl.dropboxusercontent.com/scl/fi/gda85gxwctzihu143dx1g/104735af10015.jpg?rlkey=9p00n0h97q3uyvh7rg95cb3ff&amp;dl=0","Click to download Image")</f>
      </c>
      <c r="B5176" s="0">
        <f>HYPERLINK("https://dl.dropboxusercontent.com/scl/fi/1hhtwhxmfxxk8db4rv23a/10-18-size-charts-mens-athletic.jpg?rlkey=a235tp9h1iogtam84fb4m6er7&amp;dl=0","Click to download SizeChart")</f>
      </c>
      <c r="C5176" s="0" t="inlineStr">
        <is>
          <t>Rick Chain Yarn Men's Hoodie</t>
        </is>
      </c>
      <c r="D5176" s="0" t="inlineStr">
        <is>
          <t>'104735</t>
        </is>
      </c>
      <c r="E5176" s="0" t="inlineStr">
        <is>
          <t>RICK:104735E-2XL</t>
        </is>
      </c>
      <c r="F5176" s="0" t="inlineStr">
        <is>
          <t>'080010473505</t>
        </is>
      </c>
      <c r="G5176" s="0" t="inlineStr">
        <is>
          <t>MENS</t>
        </is>
      </c>
      <c r="H5176" s="0" t="inlineStr">
        <is>
          <t>2XL</t>
        </is>
      </c>
      <c r="I5176" s="0">
        <v>31.99</v>
      </c>
      <c r="J5176" s="0">
        <v>0</v>
      </c>
    </row>
    <row r="5177" spans="1:10" customHeight="0">
      <c r="A5177" s="0">
        <f>HYPERLINK("https://dl.dropboxusercontent.com/scl/fi/gda85gxwctzihu143dx1g/104735af10015.jpg?rlkey=9p00n0h97q3uyvh7rg95cb3ff&amp;dl=0","Click to download Image")</f>
      </c>
      <c r="B5177" s="0">
        <f>HYPERLINK("https://dl.dropboxusercontent.com/scl/fi/1hhtwhxmfxxk8db4rv23a/10-18-size-charts-mens-athletic.jpg?rlkey=a235tp9h1iogtam84fb4m6er7&amp;dl=0","Click to download SizeChart")</f>
      </c>
      <c r="C5177" s="0" t="inlineStr">
        <is>
          <t>Rick Chain Yarn Men's Hoodie</t>
        </is>
      </c>
      <c r="D5177" s="0" t="inlineStr">
        <is>
          <t>'104735</t>
        </is>
      </c>
      <c r="E5177" s="0" t="inlineStr">
        <is>
          <t>RICK:104735F-3XL</t>
        </is>
      </c>
      <c r="F5177" s="0" t="inlineStr">
        <is>
          <t>'080010473506</t>
        </is>
      </c>
      <c r="G5177" s="0" t="inlineStr">
        <is>
          <t>MENS</t>
        </is>
      </c>
      <c r="H5177" s="0" t="inlineStr">
        <is>
          <t>3XL</t>
        </is>
      </c>
      <c r="I5177" s="0">
        <v>31.99</v>
      </c>
      <c r="J5177" s="0">
        <v>0</v>
      </c>
    </row>
    <row r="5178" spans="1:10" customHeight="0">
      <c r="A5178" s="0">
        <f>HYPERLINK("https://dl.dropboxusercontent.com/scl/fi/s68jei9998mwabis5ia8m/101149f.jpg?rlkey=ohcknznw4h09v4rqnyvpbws5q&amp;dl=0","Click to download Image")</f>
      </c>
      <c r="B5178" s="0">
        <f>HYPERLINK("https://dl.dropboxusercontent.com/scl/fi/xdueb6mchrkffj36haw33/graphic-update22022-infant.jpg?rlkey=kmnej11g7rfjdz5939s0tfcr7&amp;dl=0","Click to download SizeChart")</f>
      </c>
      <c r="C5178" s="0" t="inlineStr">
        <is>
          <t>Sylvia Tutu Infant Bodysuit</t>
        </is>
      </c>
      <c r="D5178" s="0" t="inlineStr">
        <is>
          <t>'101149</t>
        </is>
      </c>
      <c r="E5178" s="0" t="inlineStr">
        <is>
          <t>SYLVIA:101149A-0-3M</t>
        </is>
      </c>
      <c r="F5178" s="0" t="inlineStr">
        <is>
          <t>'000000000000</t>
        </is>
      </c>
      <c r="G5178" s="0" t="inlineStr">
        <is>
          <t>INFANT</t>
        </is>
      </c>
      <c r="H5178" s="0" t="inlineStr">
        <is>
          <t>0-3M</t>
        </is>
      </c>
      <c r="I5178" s="0">
        <v>29.99</v>
      </c>
      <c r="J5178" s="0">
        <v>15</v>
      </c>
    </row>
    <row r="5179" spans="1:10" customHeight="0">
      <c r="A5179" s="0">
        <f>HYPERLINK("https://dl.dropboxusercontent.com/scl/fi/s68jei9998mwabis5ia8m/101149f.jpg?rlkey=ohcknznw4h09v4rqnyvpbws5q&amp;dl=0","Click to download Image")</f>
      </c>
      <c r="B5179" s="0">
        <f>HYPERLINK("https://dl.dropboxusercontent.com/scl/fi/xdueb6mchrkffj36haw33/graphic-update22022-infant.jpg?rlkey=kmnej11g7rfjdz5939s0tfcr7&amp;dl=0","Click to download SizeChart")</f>
      </c>
      <c r="C5179" s="0" t="inlineStr">
        <is>
          <t>Sylvia Tutu Infant Bodysuit</t>
        </is>
      </c>
      <c r="D5179" s="0" t="inlineStr">
        <is>
          <t>'101149</t>
        </is>
      </c>
      <c r="E5179" s="0" t="inlineStr">
        <is>
          <t>SYLVIA:101149B-3-6M</t>
        </is>
      </c>
      <c r="F5179" s="0" t="inlineStr">
        <is>
          <t>'000000000000</t>
        </is>
      </c>
      <c r="G5179" s="0" t="inlineStr">
        <is>
          <t>INFANT</t>
        </is>
      </c>
      <c r="H5179" s="0" t="inlineStr">
        <is>
          <t>3-6M</t>
        </is>
      </c>
      <c r="I5179" s="0">
        <v>29.99</v>
      </c>
      <c r="J5179" s="0">
        <v>0</v>
      </c>
    </row>
    <row r="5180" spans="1:10" customHeight="0">
      <c r="A5180" s="0">
        <f>HYPERLINK("https://dl.dropboxusercontent.com/scl/fi/s68jei9998mwabis5ia8m/101149f.jpg?rlkey=ohcknznw4h09v4rqnyvpbws5q&amp;dl=0","Click to download Image")</f>
      </c>
      <c r="B5180" s="0">
        <f>HYPERLINK("https://dl.dropboxusercontent.com/scl/fi/xdueb6mchrkffj36haw33/graphic-update22022-infant.jpg?rlkey=kmnej11g7rfjdz5939s0tfcr7&amp;dl=0","Click to download SizeChart")</f>
      </c>
      <c r="C5180" s="0" t="inlineStr">
        <is>
          <t>Sylvia Tutu Infant Bodysuit</t>
        </is>
      </c>
      <c r="D5180" s="0" t="inlineStr">
        <is>
          <t>'101149</t>
        </is>
      </c>
      <c r="E5180" s="0" t="inlineStr">
        <is>
          <t>SYLVIA:101149C-6-9M</t>
        </is>
      </c>
      <c r="F5180" s="0" t="inlineStr">
        <is>
          <t>'000000000000</t>
        </is>
      </c>
      <c r="G5180" s="0" t="inlineStr">
        <is>
          <t>INFANT</t>
        </is>
      </c>
      <c r="H5180" s="0" t="inlineStr">
        <is>
          <t>6-9M</t>
        </is>
      </c>
      <c r="I5180" s="0">
        <v>29.99</v>
      </c>
      <c r="J5180" s="0">
        <v>2</v>
      </c>
    </row>
    <row r="5181" spans="1:10" customHeight="0">
      <c r="A5181" s="0">
        <f>HYPERLINK("https://dl.dropboxusercontent.com/scl/fi/s68jei9998mwabis5ia8m/101149f.jpg?rlkey=ohcknznw4h09v4rqnyvpbws5q&amp;dl=0","Click to download Image")</f>
      </c>
      <c r="B5181" s="0">
        <f>HYPERLINK("https://dl.dropboxusercontent.com/scl/fi/xdueb6mchrkffj36haw33/graphic-update22022-infant.jpg?rlkey=kmnej11g7rfjdz5939s0tfcr7&amp;dl=0","Click to download SizeChart")</f>
      </c>
      <c r="C5181" s="0" t="inlineStr">
        <is>
          <t>Sylvia Tutu Infant Bodysuit</t>
        </is>
      </c>
      <c r="D5181" s="0" t="inlineStr">
        <is>
          <t>'101149</t>
        </is>
      </c>
      <c r="E5181" s="0" t="inlineStr">
        <is>
          <t>SYLVIA:101149D-12M</t>
        </is>
      </c>
      <c r="F5181" s="0" t="inlineStr">
        <is>
          <t>'000000000000</t>
        </is>
      </c>
      <c r="G5181" s="0" t="inlineStr">
        <is>
          <t>INFANT</t>
        </is>
      </c>
      <c r="H5181" s="0" t="inlineStr">
        <is>
          <t>12M</t>
        </is>
      </c>
      <c r="I5181" s="0">
        <v>29.99</v>
      </c>
      <c r="J5181" s="0">
        <v>20</v>
      </c>
    </row>
    <row r="5182" spans="1:10" customHeight="0">
      <c r="A5182" s="0">
        <f>HYPERLINK("https://dl.dropboxusercontent.com/scl/fi/05giz0egrujo7k2x65pxp/101842-f.jpg?rlkey=wnryb2gdaujyfnr5o917p7k9o&amp;dl=0","Click to download Image")</f>
      </c>
      <c r="B5182" s="0">
        <f>HYPERLINK("https://dl.dropboxusercontent.com/scl/fi/xdueb6mchrkffj36haw33/graphic-update22022-infant.jpg?rlkey=kmnej11g7rfjdz5939s0tfcr7&amp;dl=0","Click to download SizeChart")</f>
      </c>
      <c r="C5182" s="0" t="inlineStr">
        <is>
          <t>Sylvia Tutu Infant Bodysuit</t>
        </is>
      </c>
      <c r="D5182" s="0" t="inlineStr">
        <is>
          <t>'101842</t>
        </is>
      </c>
      <c r="E5182" s="0" t="inlineStr">
        <is>
          <t>SYLVIA:101842A-0-3M</t>
        </is>
      </c>
      <c r="F5182" s="0" t="inlineStr">
        <is>
          <t>'000000000000</t>
        </is>
      </c>
      <c r="G5182" s="0" t="inlineStr">
        <is>
          <t>INFANT</t>
        </is>
      </c>
      <c r="H5182" s="0" t="inlineStr">
        <is>
          <t>0-3M</t>
        </is>
      </c>
      <c r="I5182" s="0">
        <v>29.99</v>
      </c>
      <c r="J5182" s="0">
        <v>69</v>
      </c>
    </row>
    <row r="5183" spans="1:10" customHeight="0">
      <c r="A5183" s="0">
        <f>HYPERLINK("https://dl.dropboxusercontent.com/scl/fi/05giz0egrujo7k2x65pxp/101842-f.jpg?rlkey=wnryb2gdaujyfnr5o917p7k9o&amp;dl=0","Click to download Image")</f>
      </c>
      <c r="B5183" s="0">
        <f>HYPERLINK("https://dl.dropboxusercontent.com/scl/fi/xdueb6mchrkffj36haw33/graphic-update22022-infant.jpg?rlkey=kmnej11g7rfjdz5939s0tfcr7&amp;dl=0","Click to download SizeChart")</f>
      </c>
      <c r="C5183" s="0" t="inlineStr">
        <is>
          <t>Sylvia Tutu Infant Bodysuit</t>
        </is>
      </c>
      <c r="D5183" s="0" t="inlineStr">
        <is>
          <t>'101842</t>
        </is>
      </c>
      <c r="E5183" s="0" t="inlineStr">
        <is>
          <t>SYLVIA:101842B-3-6M</t>
        </is>
      </c>
      <c r="F5183" s="0" t="inlineStr">
        <is>
          <t>'000000000000</t>
        </is>
      </c>
      <c r="G5183" s="0" t="inlineStr">
        <is>
          <t>INFANT</t>
        </is>
      </c>
      <c r="H5183" s="0" t="inlineStr">
        <is>
          <t>3-6M</t>
        </is>
      </c>
      <c r="I5183" s="0">
        <v>29.99</v>
      </c>
      <c r="J5183" s="0">
        <v>55</v>
      </c>
    </row>
    <row r="5184" spans="1:10" customHeight="0">
      <c r="A5184" s="0">
        <f>HYPERLINK("https://dl.dropboxusercontent.com/scl/fi/05giz0egrujo7k2x65pxp/101842-f.jpg?rlkey=wnryb2gdaujyfnr5o917p7k9o&amp;dl=0","Click to download Image")</f>
      </c>
      <c r="B5184" s="0">
        <f>HYPERLINK("https://dl.dropboxusercontent.com/scl/fi/xdueb6mchrkffj36haw33/graphic-update22022-infant.jpg?rlkey=kmnej11g7rfjdz5939s0tfcr7&amp;dl=0","Click to download SizeChart")</f>
      </c>
      <c r="C5184" s="0" t="inlineStr">
        <is>
          <t>Sylvia Tutu Infant Bodysuit</t>
        </is>
      </c>
      <c r="D5184" s="0" t="inlineStr">
        <is>
          <t>'101842</t>
        </is>
      </c>
      <c r="E5184" s="0" t="inlineStr">
        <is>
          <t>SYLVIA:101842C-6-9M</t>
        </is>
      </c>
      <c r="F5184" s="0" t="inlineStr">
        <is>
          <t>'000000000000</t>
        </is>
      </c>
      <c r="G5184" s="0" t="inlineStr">
        <is>
          <t>INFANT</t>
        </is>
      </c>
      <c r="H5184" s="0" t="inlineStr">
        <is>
          <t>6-9M</t>
        </is>
      </c>
      <c r="I5184" s="0">
        <v>29.99</v>
      </c>
      <c r="J5184" s="0">
        <v>57</v>
      </c>
    </row>
    <row r="5185" spans="1:10" customHeight="0">
      <c r="A5185" s="0">
        <f>HYPERLINK("https://dl.dropboxusercontent.com/scl/fi/05giz0egrujo7k2x65pxp/101842-f.jpg?rlkey=wnryb2gdaujyfnr5o917p7k9o&amp;dl=0","Click to download Image")</f>
      </c>
      <c r="B5185" s="0">
        <f>HYPERLINK("https://dl.dropboxusercontent.com/scl/fi/xdueb6mchrkffj36haw33/graphic-update22022-infant.jpg?rlkey=kmnej11g7rfjdz5939s0tfcr7&amp;dl=0","Click to download SizeChart")</f>
      </c>
      <c r="C5185" s="0" t="inlineStr">
        <is>
          <t>Sylvia Tutu Infant Bodysuit</t>
        </is>
      </c>
      <c r="D5185" s="0" t="inlineStr">
        <is>
          <t>'101842</t>
        </is>
      </c>
      <c r="E5185" s="0" t="inlineStr">
        <is>
          <t>SYLVIA:101842D-9-12M</t>
        </is>
      </c>
      <c r="F5185" s="0" t="inlineStr">
        <is>
          <t>'000000000000</t>
        </is>
      </c>
      <c r="G5185" s="0" t="inlineStr">
        <is>
          <t>INFANT</t>
        </is>
      </c>
      <c r="H5185" s="0" t="inlineStr">
        <is>
          <t>12M</t>
        </is>
      </c>
      <c r="I5185" s="0">
        <v>29.99</v>
      </c>
      <c r="J5185" s="0">
        <v>76</v>
      </c>
    </row>
    <row r="5186" spans="1:10" customHeight="0">
      <c r="A5186" s="0">
        <f>HYPERLINK("https://dl.dropboxusercontent.com/scl/fi/qywgmc7dazsxjtv76rjpb/103748af43212.jpg?rlkey=m2tyoullh6j12nw9setkj4qq3&amp;dl=0","Click to download Image")</f>
      </c>
      <c r="C5186" s="0" t="inlineStr">
        <is>
          <t>Gustin Realtree Camo Duffle</t>
        </is>
      </c>
      <c r="D5186" s="0" t="inlineStr">
        <is>
          <t>'104795</t>
        </is>
      </c>
      <c r="E5186" s="0" t="inlineStr">
        <is>
          <t>GUSTIN:104795</t>
        </is>
      </c>
      <c r="F5186" s="0" t="inlineStr">
        <is>
          <t>'090010479501</t>
        </is>
      </c>
      <c r="I5186" s="0">
        <v>54.99</v>
      </c>
      <c r="J5186" s="0">
        <v>249</v>
      </c>
    </row>
    <row r="5187" spans="1:10" customHeight="0">
      <c r="A5187" s="0">
        <f>HYPERLINK("https://dl.dropboxusercontent.com/scl/fi/zwp2b9n0o4ztf50xb72mq/97142f.jpg?rlkey=xxio9741f31f5lgi75od6waw4&amp;dl=0","Click to download Image")</f>
      </c>
      <c r="B5187" s="0">
        <f>HYPERLINK("https://dl.dropboxusercontent.com/scl/fi/5knf7jjexqjyupfxt6oku/size-chartladies-e.jpg?rlkey=49t43eqta1bdglqcf23dor499&amp;dl=0","Click to download SizeChart")</f>
      </c>
      <c r="C5187" s="0" t="inlineStr">
        <is>
          <t>Zoe Women's Floral Burnout Tank Top</t>
        </is>
      </c>
      <c r="D5187" s="0" t="inlineStr">
        <is>
          <t>'97142</t>
        </is>
      </c>
      <c r="E5187" s="0" t="inlineStr">
        <is>
          <t>ZOE:97142A-S</t>
        </is>
      </c>
      <c r="F5187" s="0" t="inlineStr">
        <is>
          <t>'000000000000</t>
        </is>
      </c>
      <c r="G5187" s="0" t="inlineStr">
        <is>
          <t>WOMENS</t>
        </is>
      </c>
      <c r="H5187" s="0" t="inlineStr">
        <is>
          <t>S</t>
        </is>
      </c>
      <c r="I5187" s="0">
        <v>34.99</v>
      </c>
      <c r="J5187" s="0">
        <v>46</v>
      </c>
    </row>
    <row r="5188" spans="1:10" customHeight="0">
      <c r="A5188" s="0">
        <f>HYPERLINK("https://dl.dropboxusercontent.com/scl/fi/zwp2b9n0o4ztf50xb72mq/97142f.jpg?rlkey=xxio9741f31f5lgi75od6waw4&amp;dl=0","Click to download Image")</f>
      </c>
      <c r="B5188" s="0">
        <f>HYPERLINK("https://dl.dropboxusercontent.com/scl/fi/5knf7jjexqjyupfxt6oku/size-chartladies-e.jpg?rlkey=49t43eqta1bdglqcf23dor499&amp;dl=0","Click to download SizeChart")</f>
      </c>
      <c r="C5188" s="0" t="inlineStr">
        <is>
          <t>Zoe Women's Floral Burnout Tank Top</t>
        </is>
      </c>
      <c r="D5188" s="0" t="inlineStr">
        <is>
          <t>'97142</t>
        </is>
      </c>
      <c r="E5188" s="0" t="inlineStr">
        <is>
          <t>ZOE:97142B-M</t>
        </is>
      </c>
      <c r="F5188" s="0" t="inlineStr">
        <is>
          <t>'000000000000</t>
        </is>
      </c>
      <c r="G5188" s="0" t="inlineStr">
        <is>
          <t>WOMENS</t>
        </is>
      </c>
      <c r="H5188" s="0" t="inlineStr">
        <is>
          <t>M</t>
        </is>
      </c>
      <c r="I5188" s="0">
        <v>34.99</v>
      </c>
      <c r="J5188" s="0">
        <v>51</v>
      </c>
    </row>
    <row r="5189" spans="1:10" customHeight="0">
      <c r="A5189" s="0">
        <f>HYPERLINK("https://dl.dropboxusercontent.com/scl/fi/zwp2b9n0o4ztf50xb72mq/97142f.jpg?rlkey=xxio9741f31f5lgi75od6waw4&amp;dl=0","Click to download Image")</f>
      </c>
      <c r="B5189" s="0">
        <f>HYPERLINK("https://dl.dropboxusercontent.com/scl/fi/5knf7jjexqjyupfxt6oku/size-chartladies-e.jpg?rlkey=49t43eqta1bdglqcf23dor499&amp;dl=0","Click to download SizeChart")</f>
      </c>
      <c r="C5189" s="0" t="inlineStr">
        <is>
          <t>Zoe Women's Floral Burnout Tank Top</t>
        </is>
      </c>
      <c r="D5189" s="0" t="inlineStr">
        <is>
          <t>'97142</t>
        </is>
      </c>
      <c r="E5189" s="0" t="inlineStr">
        <is>
          <t>ZOE:97142C-L</t>
        </is>
      </c>
      <c r="F5189" s="0" t="inlineStr">
        <is>
          <t>'000000000000</t>
        </is>
      </c>
      <c r="G5189" s="0" t="inlineStr">
        <is>
          <t>WOMENS</t>
        </is>
      </c>
      <c r="H5189" s="0" t="inlineStr">
        <is>
          <t>L</t>
        </is>
      </c>
      <c r="I5189" s="0">
        <v>34.99</v>
      </c>
      <c r="J5189" s="0">
        <v>109</v>
      </c>
    </row>
    <row r="5190" spans="1:10" customHeight="0">
      <c r="A5190" s="0">
        <f>HYPERLINK("https://dl.dropboxusercontent.com/scl/fi/zwp2b9n0o4ztf50xb72mq/97142f.jpg?rlkey=xxio9741f31f5lgi75od6waw4&amp;dl=0","Click to download Image")</f>
      </c>
      <c r="B5190" s="0">
        <f>HYPERLINK("https://dl.dropboxusercontent.com/scl/fi/5knf7jjexqjyupfxt6oku/size-chartladies-e.jpg?rlkey=49t43eqta1bdglqcf23dor499&amp;dl=0","Click to download SizeChart")</f>
      </c>
      <c r="C5190" s="0" t="inlineStr">
        <is>
          <t>Zoe Women's Floral Burnout Tank Top</t>
        </is>
      </c>
      <c r="D5190" s="0" t="inlineStr">
        <is>
          <t>'97142</t>
        </is>
      </c>
      <c r="E5190" s="0" t="inlineStr">
        <is>
          <t>ZOE:97142D-XL</t>
        </is>
      </c>
      <c r="F5190" s="0" t="inlineStr">
        <is>
          <t>'000000000000</t>
        </is>
      </c>
      <c r="G5190" s="0" t="inlineStr">
        <is>
          <t>WOMENS</t>
        </is>
      </c>
      <c r="H5190" s="0" t="inlineStr">
        <is>
          <t>XL</t>
        </is>
      </c>
      <c r="I5190" s="0">
        <v>34.99</v>
      </c>
      <c r="J5190" s="0">
        <v>127</v>
      </c>
    </row>
    <row r="5191" spans="1:10" customHeight="0">
      <c r="A5191" s="0">
        <f>HYPERLINK("https://dl.dropboxusercontent.com/scl/fi/zwp2b9n0o4ztf50xb72mq/97142f.jpg?rlkey=xxio9741f31f5lgi75od6waw4&amp;dl=0","Click to download Image")</f>
      </c>
      <c r="B5191" s="0">
        <f>HYPERLINK("https://dl.dropboxusercontent.com/scl/fi/5knf7jjexqjyupfxt6oku/size-chartladies-e.jpg?rlkey=49t43eqta1bdglqcf23dor499&amp;dl=0","Click to download SizeChart")</f>
      </c>
      <c r="C5191" s="0" t="inlineStr">
        <is>
          <t>Zoe Women's Floral Burnout Tank Top</t>
        </is>
      </c>
      <c r="D5191" s="0" t="inlineStr">
        <is>
          <t>'97142</t>
        </is>
      </c>
      <c r="E5191" s="0" t="inlineStr">
        <is>
          <t>ZOE:97142E-2XL</t>
        </is>
      </c>
      <c r="F5191" s="0" t="inlineStr">
        <is>
          <t>'000000000000</t>
        </is>
      </c>
      <c r="G5191" s="0" t="inlineStr">
        <is>
          <t>WOMENS</t>
        </is>
      </c>
      <c r="H5191" s="0" t="inlineStr">
        <is>
          <t>2XL</t>
        </is>
      </c>
      <c r="I5191" s="0">
        <v>36.99</v>
      </c>
      <c r="J5191" s="0">
        <v>45</v>
      </c>
    </row>
    <row r="5192" spans="1:10" customHeight="0">
      <c r="A5192" s="0">
        <f>HYPERLINK("https://dl.dropboxusercontent.com/scl/fi/3beaogkw1p2712u4sme1n/97819-f.jpg?rlkey=qrxp158qbyl8naxrh41d5m56g&amp;dl=0","Click to download Image")</f>
      </c>
      <c r="B5192" s="0">
        <f>HYPERLINK("https://dl.dropboxusercontent.com/scl/fi/5knf7jjexqjyupfxt6oku/size-chartladies-e.jpg?rlkey=49t43eqta1bdglqcf23dor499&amp;dl=0","Click to download SizeChart")</f>
      </c>
      <c r="C5192" s="0" t="inlineStr">
        <is>
          <t>Zoe Women's Floral Burnout Tank Top</t>
        </is>
      </c>
      <c r="D5192" s="0" t="inlineStr">
        <is>
          <t>'97819</t>
        </is>
      </c>
      <c r="E5192" s="0" t="inlineStr">
        <is>
          <t>ZOE:97819A-S</t>
        </is>
      </c>
      <c r="F5192" s="0" t="inlineStr">
        <is>
          <t>'000000000000</t>
        </is>
      </c>
      <c r="G5192" s="0" t="inlineStr">
        <is>
          <t>WOMENS</t>
        </is>
      </c>
      <c r="H5192" s="0" t="inlineStr">
        <is>
          <t>S</t>
        </is>
      </c>
      <c r="I5192" s="0">
        <v>34.99</v>
      </c>
      <c r="J5192" s="0">
        <v>15</v>
      </c>
    </row>
    <row r="5193" spans="1:10" customHeight="0">
      <c r="A5193" s="0">
        <f>HYPERLINK("https://dl.dropboxusercontent.com/scl/fi/3beaogkw1p2712u4sme1n/97819-f.jpg?rlkey=qrxp158qbyl8naxrh41d5m56g&amp;dl=0","Click to download Image")</f>
      </c>
      <c r="B5193" s="0">
        <f>HYPERLINK("https://dl.dropboxusercontent.com/scl/fi/5knf7jjexqjyupfxt6oku/size-chartladies-e.jpg?rlkey=49t43eqta1bdglqcf23dor499&amp;dl=0","Click to download SizeChart")</f>
      </c>
      <c r="C5193" s="0" t="inlineStr">
        <is>
          <t>Zoe Women's Floral Burnout Tank Top</t>
        </is>
      </c>
      <c r="D5193" s="0" t="inlineStr">
        <is>
          <t>'97819</t>
        </is>
      </c>
      <c r="E5193" s="0" t="inlineStr">
        <is>
          <t>ZOE:97819B-M</t>
        </is>
      </c>
      <c r="F5193" s="0" t="inlineStr">
        <is>
          <t>'000000000000</t>
        </is>
      </c>
      <c r="G5193" s="0" t="inlineStr">
        <is>
          <t>WOMENS</t>
        </is>
      </c>
      <c r="H5193" s="0" t="inlineStr">
        <is>
          <t>M</t>
        </is>
      </c>
      <c r="I5193" s="0">
        <v>34.99</v>
      </c>
      <c r="J5193" s="0">
        <v>21</v>
      </c>
    </row>
    <row r="5194" spans="1:10" customHeight="0">
      <c r="A5194" s="0">
        <f>HYPERLINK("https://dl.dropboxusercontent.com/scl/fi/3beaogkw1p2712u4sme1n/97819-f.jpg?rlkey=qrxp158qbyl8naxrh41d5m56g&amp;dl=0","Click to download Image")</f>
      </c>
      <c r="B5194" s="0">
        <f>HYPERLINK("https://dl.dropboxusercontent.com/scl/fi/5knf7jjexqjyupfxt6oku/size-chartladies-e.jpg?rlkey=49t43eqta1bdglqcf23dor499&amp;dl=0","Click to download SizeChart")</f>
      </c>
      <c r="C5194" s="0" t="inlineStr">
        <is>
          <t>Zoe Women's Floral Burnout Tank Top</t>
        </is>
      </c>
      <c r="D5194" s="0" t="inlineStr">
        <is>
          <t>'97819</t>
        </is>
      </c>
      <c r="E5194" s="0" t="inlineStr">
        <is>
          <t>ZOE:97819C-L</t>
        </is>
      </c>
      <c r="F5194" s="0" t="inlineStr">
        <is>
          <t>'000000000000</t>
        </is>
      </c>
      <c r="G5194" s="0" t="inlineStr">
        <is>
          <t>WOMENS</t>
        </is>
      </c>
      <c r="H5194" s="0" t="inlineStr">
        <is>
          <t>L</t>
        </is>
      </c>
      <c r="I5194" s="0">
        <v>34.99</v>
      </c>
      <c r="J5194" s="0">
        <v>28</v>
      </c>
    </row>
    <row r="5195" spans="1:10" customHeight="0">
      <c r="A5195" s="0">
        <f>HYPERLINK("https://dl.dropboxusercontent.com/scl/fi/3beaogkw1p2712u4sme1n/97819-f.jpg?rlkey=qrxp158qbyl8naxrh41d5m56g&amp;dl=0","Click to download Image")</f>
      </c>
      <c r="B5195" s="0">
        <f>HYPERLINK("https://dl.dropboxusercontent.com/scl/fi/5knf7jjexqjyupfxt6oku/size-chartladies-e.jpg?rlkey=49t43eqta1bdglqcf23dor499&amp;dl=0","Click to download SizeChart")</f>
      </c>
      <c r="C5195" s="0" t="inlineStr">
        <is>
          <t>Zoe Women's Floral Burnout Tank Top</t>
        </is>
      </c>
      <c r="D5195" s="0" t="inlineStr">
        <is>
          <t>'97819</t>
        </is>
      </c>
      <c r="E5195" s="0" t="inlineStr">
        <is>
          <t>ZOE:97819D-XL</t>
        </is>
      </c>
      <c r="F5195" s="0" t="inlineStr">
        <is>
          <t>'000000000000</t>
        </is>
      </c>
      <c r="G5195" s="0" t="inlineStr">
        <is>
          <t>WOMENS</t>
        </is>
      </c>
      <c r="H5195" s="0" t="inlineStr">
        <is>
          <t>XL</t>
        </is>
      </c>
      <c r="I5195" s="0">
        <v>34.99</v>
      </c>
      <c r="J5195" s="0">
        <v>29</v>
      </c>
    </row>
    <row r="5196" spans="1:10" customHeight="0">
      <c r="A5196" s="0">
        <f>HYPERLINK("https://dl.dropboxusercontent.com/scl/fi/3beaogkw1p2712u4sme1n/97819-f.jpg?rlkey=qrxp158qbyl8naxrh41d5m56g&amp;dl=0","Click to download Image")</f>
      </c>
      <c r="B5196" s="0">
        <f>HYPERLINK("https://dl.dropboxusercontent.com/scl/fi/5knf7jjexqjyupfxt6oku/size-chartladies-e.jpg?rlkey=49t43eqta1bdglqcf23dor499&amp;dl=0","Click to download SizeChart")</f>
      </c>
      <c r="C5196" s="0" t="inlineStr">
        <is>
          <t>Zoe Women's Floral Burnout Tank Top</t>
        </is>
      </c>
      <c r="D5196" s="0" t="inlineStr">
        <is>
          <t>'97819</t>
        </is>
      </c>
      <c r="E5196" s="0" t="inlineStr">
        <is>
          <t>ZOE:97819E-2XL</t>
        </is>
      </c>
      <c r="F5196" s="0" t="inlineStr">
        <is>
          <t>'000000000000</t>
        </is>
      </c>
      <c r="G5196" s="0" t="inlineStr">
        <is>
          <t>WOMENS</t>
        </is>
      </c>
      <c r="H5196" s="0" t="inlineStr">
        <is>
          <t>2XL</t>
        </is>
      </c>
      <c r="I5196" s="0">
        <v>36.99</v>
      </c>
      <c r="J5196" s="0">
        <v>16</v>
      </c>
    </row>
    <row r="5197" spans="1:10" customHeight="0">
      <c r="A5197" s="0">
        <f>HYPERLINK("https://dl.dropboxusercontent.com/scl/fi/4mn60kms4kjzu8kfkas9q/92720af.jpg?rlkey=0zmrnk7bu6jd9avj1h660h7h1&amp;dl=0","Click to download Image")</f>
      </c>
      <c r="B5197" s="0">
        <f>HYPERLINK("https://dl.dropboxusercontent.com/scl/fi/jwr1sa68g7ftidxe19v87/ladies-a.jpg?rlkey=gx9wiw2dusl9xqoptcrwisemm&amp;dl=0","Click to download SizeChart")</f>
      </c>
      <c r="C5197" s="0" t="inlineStr">
        <is>
          <t>Zaun Women's Pink Rhinestone Fitness Jacket</t>
        </is>
      </c>
      <c r="D5197" s="0" t="inlineStr">
        <is>
          <t>'91888</t>
        </is>
      </c>
      <c r="E5197" s="0" t="inlineStr">
        <is>
          <t>ZAUN:91888C-L</t>
        </is>
      </c>
      <c r="F5197" s="0" t="inlineStr">
        <is>
          <t>'000000000000</t>
        </is>
      </c>
      <c r="G5197" s="0" t="inlineStr">
        <is>
          <t>WOMENS</t>
        </is>
      </c>
      <c r="H5197" s="0" t="inlineStr">
        <is>
          <t>L</t>
        </is>
      </c>
      <c r="I5197" s="0">
        <v>59.99</v>
      </c>
      <c r="J5197" s="0">
        <v>23</v>
      </c>
    </row>
    <row r="5198" spans="1:10" customHeight="0">
      <c r="A5198" s="0">
        <f>HYPERLINK("https://dl.dropboxusercontent.com/scl/fi/4mn60kms4kjzu8kfkas9q/92720af.jpg?rlkey=0zmrnk7bu6jd9avj1h660h7h1&amp;dl=0","Click to download Image")</f>
      </c>
      <c r="B5198" s="0">
        <f>HYPERLINK("https://dl.dropboxusercontent.com/scl/fi/jwr1sa68g7ftidxe19v87/ladies-a.jpg?rlkey=gx9wiw2dusl9xqoptcrwisemm&amp;dl=0","Click to download SizeChart")</f>
      </c>
      <c r="C5198" s="0" t="inlineStr">
        <is>
          <t>Zaun Women's Pink Rhinestone Fitness Jacket</t>
        </is>
      </c>
      <c r="D5198" s="0" t="inlineStr">
        <is>
          <t>'91888</t>
        </is>
      </c>
      <c r="E5198" s="0" t="inlineStr">
        <is>
          <t>ZAUN:91888D-XL</t>
        </is>
      </c>
      <c r="F5198" s="0" t="inlineStr">
        <is>
          <t>'000000000000</t>
        </is>
      </c>
      <c r="G5198" s="0" t="inlineStr">
        <is>
          <t>WOMENS</t>
        </is>
      </c>
      <c r="H5198" s="0" t="inlineStr">
        <is>
          <t>XL</t>
        </is>
      </c>
      <c r="I5198" s="0">
        <v>59.99</v>
      </c>
      <c r="J5198" s="0">
        <v>40</v>
      </c>
    </row>
    <row r="5199" spans="1:10" customHeight="0">
      <c r="A5199" s="0">
        <f>HYPERLINK("https://dl.dropboxusercontent.com/scl/fi/46jho682hdnf0t3fslag5/109065-f.jpg?rlkey=thfnur0ft5igb63e80rvnnq3s&amp;dl=0","Click to download Image")</f>
      </c>
      <c r="B5199" s="0">
        <f>HYPERLINK("https://dl.dropboxusercontent.com/scl/fi/ro6fu4uioyycfwvgxwlgh/mens-t-shirt-size-charts-clinton.jpg?rlkey=7d8on2jshj4k0xx364oydinh4&amp;dl=0","Click to download SizeChart")</f>
      </c>
      <c r="C5199" s="0" t="inlineStr">
        <is>
          <t>Clinton Men's Bamboo T-Shirt</t>
        </is>
      </c>
      <c r="D5199" s="0" t="inlineStr">
        <is>
          <t>'109065</t>
        </is>
      </c>
      <c r="E5199" s="0" t="inlineStr">
        <is>
          <t>WICHITA CLINTON:109065A-S</t>
        </is>
      </c>
      <c r="F5199" s="0" t="inlineStr">
        <is>
          <t>'800109065012</t>
        </is>
      </c>
      <c r="G5199" s="0" t="inlineStr">
        <is>
          <t>MENS</t>
        </is>
      </c>
      <c r="H5199" s="0" t="inlineStr">
        <is>
          <t>S</t>
        </is>
      </c>
      <c r="I5199" s="0">
        <v>29.99</v>
      </c>
      <c r="J5199" s="0">
        <v>4</v>
      </c>
    </row>
    <row r="5200" spans="1:10" customHeight="0">
      <c r="A5200" s="0">
        <f>HYPERLINK("https://dl.dropboxusercontent.com/scl/fi/46jho682hdnf0t3fslag5/109065-f.jpg?rlkey=thfnur0ft5igb63e80rvnnq3s&amp;dl=0","Click to download Image")</f>
      </c>
      <c r="B5200" s="0">
        <f>HYPERLINK("https://dl.dropboxusercontent.com/scl/fi/ro6fu4uioyycfwvgxwlgh/mens-t-shirt-size-charts-clinton.jpg?rlkey=7d8on2jshj4k0xx364oydinh4&amp;dl=0","Click to download SizeChart")</f>
      </c>
      <c r="C5200" s="0" t="inlineStr">
        <is>
          <t>Clinton Men's Bamboo T-Shirt</t>
        </is>
      </c>
      <c r="D5200" s="0" t="inlineStr">
        <is>
          <t>'109065</t>
        </is>
      </c>
      <c r="E5200" s="0" t="inlineStr">
        <is>
          <t>WICHITA CLINTON:109065B-M</t>
        </is>
      </c>
      <c r="F5200" s="0" t="inlineStr">
        <is>
          <t>'800109065029</t>
        </is>
      </c>
      <c r="G5200" s="0" t="inlineStr">
        <is>
          <t>MENS</t>
        </is>
      </c>
      <c r="H5200" s="0" t="inlineStr">
        <is>
          <t>M</t>
        </is>
      </c>
      <c r="I5200" s="0">
        <v>29.99</v>
      </c>
      <c r="J5200" s="0">
        <v>6</v>
      </c>
    </row>
    <row r="5201" spans="1:10" customHeight="0">
      <c r="A5201" s="0">
        <f>HYPERLINK("https://dl.dropboxusercontent.com/scl/fi/46jho682hdnf0t3fslag5/109065-f.jpg?rlkey=thfnur0ft5igb63e80rvnnq3s&amp;dl=0","Click to download Image")</f>
      </c>
      <c r="B5201" s="0">
        <f>HYPERLINK("https://dl.dropboxusercontent.com/scl/fi/ro6fu4uioyycfwvgxwlgh/mens-t-shirt-size-charts-clinton.jpg?rlkey=7d8on2jshj4k0xx364oydinh4&amp;dl=0","Click to download SizeChart")</f>
      </c>
      <c r="C5201" s="0" t="inlineStr">
        <is>
          <t>Clinton Men's Bamboo T-Shirt</t>
        </is>
      </c>
      <c r="D5201" s="0" t="inlineStr">
        <is>
          <t>'109065</t>
        </is>
      </c>
      <c r="E5201" s="0" t="inlineStr">
        <is>
          <t>WICHITA CLINTON:109065C-L</t>
        </is>
      </c>
      <c r="F5201" s="0" t="inlineStr">
        <is>
          <t>'800109065036</t>
        </is>
      </c>
      <c r="G5201" s="0" t="inlineStr">
        <is>
          <t>MENS</t>
        </is>
      </c>
      <c r="H5201" s="0" t="inlineStr">
        <is>
          <t>L</t>
        </is>
      </c>
      <c r="I5201" s="0">
        <v>29.99</v>
      </c>
      <c r="J5201" s="0">
        <v>9</v>
      </c>
    </row>
    <row r="5202" spans="1:10" customHeight="0">
      <c r="A5202" s="0">
        <f>HYPERLINK("https://dl.dropboxusercontent.com/scl/fi/46jho682hdnf0t3fslag5/109065-f.jpg?rlkey=thfnur0ft5igb63e80rvnnq3s&amp;dl=0","Click to download Image")</f>
      </c>
      <c r="B5202" s="0">
        <f>HYPERLINK("https://dl.dropboxusercontent.com/scl/fi/ro6fu4uioyycfwvgxwlgh/mens-t-shirt-size-charts-clinton.jpg?rlkey=7d8on2jshj4k0xx364oydinh4&amp;dl=0","Click to download SizeChart")</f>
      </c>
      <c r="C5202" s="0" t="inlineStr">
        <is>
          <t>Clinton Men's Bamboo T-Shirt</t>
        </is>
      </c>
      <c r="D5202" s="0" t="inlineStr">
        <is>
          <t>'109065</t>
        </is>
      </c>
      <c r="E5202" s="0" t="inlineStr">
        <is>
          <t>WICHITA CLINTON:109065D-XL</t>
        </is>
      </c>
      <c r="F5202" s="0" t="inlineStr">
        <is>
          <t>'800109065043</t>
        </is>
      </c>
      <c r="G5202" s="0" t="inlineStr">
        <is>
          <t>MENS</t>
        </is>
      </c>
      <c r="H5202" s="0" t="inlineStr">
        <is>
          <t>XL</t>
        </is>
      </c>
      <c r="I5202" s="0">
        <v>29.99</v>
      </c>
      <c r="J5202" s="0">
        <v>9</v>
      </c>
    </row>
    <row r="5203" spans="1:10" customHeight="0">
      <c r="A5203" s="0">
        <f>HYPERLINK("https://dl.dropboxusercontent.com/scl/fi/46jho682hdnf0t3fslag5/109065-f.jpg?rlkey=thfnur0ft5igb63e80rvnnq3s&amp;dl=0","Click to download Image")</f>
      </c>
      <c r="B5203" s="0">
        <f>HYPERLINK("https://dl.dropboxusercontent.com/scl/fi/ro6fu4uioyycfwvgxwlgh/mens-t-shirt-size-charts-clinton.jpg?rlkey=7d8on2jshj4k0xx364oydinh4&amp;dl=0","Click to download SizeChart")</f>
      </c>
      <c r="C5203" s="0" t="inlineStr">
        <is>
          <t>Clinton Men's Bamboo T-Shirt</t>
        </is>
      </c>
      <c r="D5203" s="0" t="inlineStr">
        <is>
          <t>'109065</t>
        </is>
      </c>
      <c r="E5203" s="0" t="inlineStr">
        <is>
          <t>WICHITA CLINTON:109065E-2XL</t>
        </is>
      </c>
      <c r="F5203" s="0" t="inlineStr">
        <is>
          <t>'800109065050</t>
        </is>
      </c>
      <c r="G5203" s="0" t="inlineStr">
        <is>
          <t>MENS</t>
        </is>
      </c>
      <c r="H5203" s="0" t="inlineStr">
        <is>
          <t>2XL</t>
        </is>
      </c>
      <c r="I5203" s="0">
        <v>31.99</v>
      </c>
      <c r="J5203" s="0">
        <v>6</v>
      </c>
    </row>
    <row r="5204" spans="1:10" customHeight="0">
      <c r="A5204" s="0">
        <f>HYPERLINK("https://dl.dropboxusercontent.com/scl/fi/46jho682hdnf0t3fslag5/109065-f.jpg?rlkey=thfnur0ft5igb63e80rvnnq3s&amp;dl=0","Click to download Image")</f>
      </c>
      <c r="B5204" s="0">
        <f>HYPERLINK("https://dl.dropboxusercontent.com/scl/fi/ro6fu4uioyycfwvgxwlgh/mens-t-shirt-size-charts-clinton.jpg?rlkey=7d8on2jshj4k0xx364oydinh4&amp;dl=0","Click to download SizeChart")</f>
      </c>
      <c r="C5204" s="0" t="inlineStr">
        <is>
          <t>Clinton Men's Bamboo T-Shirt</t>
        </is>
      </c>
      <c r="D5204" s="0" t="inlineStr">
        <is>
          <t>'109065</t>
        </is>
      </c>
      <c r="E5204" s="0" t="inlineStr">
        <is>
          <t>WICHITA CLINTON:109065F-3XL</t>
        </is>
      </c>
      <c r="F5204" s="0" t="inlineStr">
        <is>
          <t>'800109065067</t>
        </is>
      </c>
      <c r="G5204" s="0" t="inlineStr">
        <is>
          <t>MENS</t>
        </is>
      </c>
      <c r="H5204" s="0" t="inlineStr">
        <is>
          <t>3XL</t>
        </is>
      </c>
      <c r="I5204" s="0">
        <v>31.99</v>
      </c>
      <c r="J5204" s="0">
        <v>2</v>
      </c>
    </row>
    <row r="5205" spans="1:10" customHeight="0">
      <c r="A5205" s="0">
        <f>HYPERLINK("https://dl.dropboxusercontent.com/scl/fi/v7j32nvvlrry2rzueevop/109126-f.jpg?rlkey=rorh0kfu5j88pj903m6bp6fxg&amp;dl=0","Click to download Image")</f>
      </c>
      <c r="B5205" s="0">
        <f>HYPERLINK("https://dl.dropboxusercontent.com/scl/fi/ro6fu4uioyycfwvgxwlgh/mens-t-shirt-size-charts-clinton.jpg?rlkey=7d8on2jshj4k0xx364oydinh4&amp;dl=0","Click to download SizeChart")</f>
      </c>
      <c r="C5205" s="0" t="inlineStr">
        <is>
          <t>Clinton Men's Bamboo T-Shirt</t>
        </is>
      </c>
      <c r="D5205" s="0" t="inlineStr">
        <is>
          <t>'109126</t>
        </is>
      </c>
      <c r="E5205" s="0" t="inlineStr">
        <is>
          <t>USD CLINTON:109126A-S</t>
        </is>
      </c>
      <c r="F5205" s="0" t="inlineStr">
        <is>
          <t>'800109126010</t>
        </is>
      </c>
      <c r="G5205" s="0" t="inlineStr">
        <is>
          <t>MENS</t>
        </is>
      </c>
      <c r="H5205" s="0" t="inlineStr">
        <is>
          <t>S</t>
        </is>
      </c>
      <c r="I5205" s="0">
        <v>29.99</v>
      </c>
      <c r="J5205" s="0">
        <v>4</v>
      </c>
    </row>
    <row r="5206" spans="1:10" customHeight="0">
      <c r="A5206" s="0">
        <f>HYPERLINK("https://dl.dropboxusercontent.com/scl/fi/v7j32nvvlrry2rzueevop/109126-f.jpg?rlkey=rorh0kfu5j88pj903m6bp6fxg&amp;dl=0","Click to download Image")</f>
      </c>
      <c r="B5206" s="0">
        <f>HYPERLINK("https://dl.dropboxusercontent.com/scl/fi/ro6fu4uioyycfwvgxwlgh/mens-t-shirt-size-charts-clinton.jpg?rlkey=7d8on2jshj4k0xx364oydinh4&amp;dl=0","Click to download SizeChart")</f>
      </c>
      <c r="C5206" s="0" t="inlineStr">
        <is>
          <t>Clinton Men's Bamboo T-Shirt</t>
        </is>
      </c>
      <c r="D5206" s="0" t="inlineStr">
        <is>
          <t>'109126</t>
        </is>
      </c>
      <c r="E5206" s="0" t="inlineStr">
        <is>
          <t>USD CLINTON:109126B-M</t>
        </is>
      </c>
      <c r="F5206" s="0" t="inlineStr">
        <is>
          <t>'800109126027</t>
        </is>
      </c>
      <c r="G5206" s="0" t="inlineStr">
        <is>
          <t>MENS</t>
        </is>
      </c>
      <c r="H5206" s="0" t="inlineStr">
        <is>
          <t>M</t>
        </is>
      </c>
      <c r="I5206" s="0">
        <v>29.99</v>
      </c>
      <c r="J5206" s="0">
        <v>6</v>
      </c>
    </row>
    <row r="5207" spans="1:10" customHeight="0">
      <c r="A5207" s="0">
        <f>HYPERLINK("https://dl.dropboxusercontent.com/scl/fi/v7j32nvvlrry2rzueevop/109126-f.jpg?rlkey=rorh0kfu5j88pj903m6bp6fxg&amp;dl=0","Click to download Image")</f>
      </c>
      <c r="B5207" s="0">
        <f>HYPERLINK("https://dl.dropboxusercontent.com/scl/fi/ro6fu4uioyycfwvgxwlgh/mens-t-shirt-size-charts-clinton.jpg?rlkey=7d8on2jshj4k0xx364oydinh4&amp;dl=0","Click to download SizeChart")</f>
      </c>
      <c r="C5207" s="0" t="inlineStr">
        <is>
          <t>Clinton Men's Bamboo T-Shirt</t>
        </is>
      </c>
      <c r="D5207" s="0" t="inlineStr">
        <is>
          <t>'109126</t>
        </is>
      </c>
      <c r="E5207" s="0" t="inlineStr">
        <is>
          <t>USD CLINTON:109126C-L</t>
        </is>
      </c>
      <c r="F5207" s="0" t="inlineStr">
        <is>
          <t>'800109126034</t>
        </is>
      </c>
      <c r="G5207" s="0" t="inlineStr">
        <is>
          <t>MENS</t>
        </is>
      </c>
      <c r="H5207" s="0" t="inlineStr">
        <is>
          <t>L</t>
        </is>
      </c>
      <c r="I5207" s="0">
        <v>29.99</v>
      </c>
      <c r="J5207" s="0">
        <v>9</v>
      </c>
    </row>
    <row r="5208" spans="1:10" customHeight="0">
      <c r="A5208" s="0">
        <f>HYPERLINK("https://dl.dropboxusercontent.com/scl/fi/v7j32nvvlrry2rzueevop/109126-f.jpg?rlkey=rorh0kfu5j88pj903m6bp6fxg&amp;dl=0","Click to download Image")</f>
      </c>
      <c r="B5208" s="0">
        <f>HYPERLINK("https://dl.dropboxusercontent.com/scl/fi/ro6fu4uioyycfwvgxwlgh/mens-t-shirt-size-charts-clinton.jpg?rlkey=7d8on2jshj4k0xx364oydinh4&amp;dl=0","Click to download SizeChart")</f>
      </c>
      <c r="C5208" s="0" t="inlineStr">
        <is>
          <t>Clinton Men's Bamboo T-Shirt</t>
        </is>
      </c>
      <c r="D5208" s="0" t="inlineStr">
        <is>
          <t>'109126</t>
        </is>
      </c>
      <c r="E5208" s="0" t="inlineStr">
        <is>
          <t>USD CLINTON:109126D-XL</t>
        </is>
      </c>
      <c r="F5208" s="0" t="inlineStr">
        <is>
          <t>'800109126041</t>
        </is>
      </c>
      <c r="G5208" s="0" t="inlineStr">
        <is>
          <t>MENS</t>
        </is>
      </c>
      <c r="H5208" s="0" t="inlineStr">
        <is>
          <t>XL</t>
        </is>
      </c>
      <c r="I5208" s="0">
        <v>29.99</v>
      </c>
      <c r="J5208" s="0">
        <v>9</v>
      </c>
    </row>
    <row r="5209" spans="1:10" customHeight="0">
      <c r="A5209" s="0">
        <f>HYPERLINK("https://dl.dropboxusercontent.com/scl/fi/v7j32nvvlrry2rzueevop/109126-f.jpg?rlkey=rorh0kfu5j88pj903m6bp6fxg&amp;dl=0","Click to download Image")</f>
      </c>
      <c r="B5209" s="0">
        <f>HYPERLINK("https://dl.dropboxusercontent.com/scl/fi/ro6fu4uioyycfwvgxwlgh/mens-t-shirt-size-charts-clinton.jpg?rlkey=7d8on2jshj4k0xx364oydinh4&amp;dl=0","Click to download SizeChart")</f>
      </c>
      <c r="C5209" s="0" t="inlineStr">
        <is>
          <t>Clinton Men's Bamboo T-Shirt</t>
        </is>
      </c>
      <c r="D5209" s="0" t="inlineStr">
        <is>
          <t>'109126</t>
        </is>
      </c>
      <c r="E5209" s="0" t="inlineStr">
        <is>
          <t>USD CLINTON:109126E-2XL</t>
        </is>
      </c>
      <c r="F5209" s="0" t="inlineStr">
        <is>
          <t>'800109126058</t>
        </is>
      </c>
      <c r="G5209" s="0" t="inlineStr">
        <is>
          <t>MENS</t>
        </is>
      </c>
      <c r="H5209" s="0" t="inlineStr">
        <is>
          <t>2XL</t>
        </is>
      </c>
      <c r="I5209" s="0">
        <v>31.99</v>
      </c>
      <c r="J5209" s="0">
        <v>6</v>
      </c>
    </row>
    <row r="5210" spans="1:10" customHeight="0">
      <c r="A5210" s="0">
        <f>HYPERLINK("https://dl.dropboxusercontent.com/scl/fi/v7j32nvvlrry2rzueevop/109126-f.jpg?rlkey=rorh0kfu5j88pj903m6bp6fxg&amp;dl=0","Click to download Image")</f>
      </c>
      <c r="B5210" s="0">
        <f>HYPERLINK("https://dl.dropboxusercontent.com/scl/fi/ro6fu4uioyycfwvgxwlgh/mens-t-shirt-size-charts-clinton.jpg?rlkey=7d8on2jshj4k0xx364oydinh4&amp;dl=0","Click to download SizeChart")</f>
      </c>
      <c r="C5210" s="0" t="inlineStr">
        <is>
          <t>Clinton Men's Bamboo T-Shirt</t>
        </is>
      </c>
      <c r="D5210" s="0" t="inlineStr">
        <is>
          <t>'109126</t>
        </is>
      </c>
      <c r="E5210" s="0" t="inlineStr">
        <is>
          <t>USD CLINTON:109126F-3XL</t>
        </is>
      </c>
      <c r="F5210" s="0" t="inlineStr">
        <is>
          <t>'800109126065</t>
        </is>
      </c>
      <c r="G5210" s="0" t="inlineStr">
        <is>
          <t>MENS</t>
        </is>
      </c>
      <c r="H5210" s="0" t="inlineStr">
        <is>
          <t>3XL</t>
        </is>
      </c>
      <c r="I5210" s="0">
        <v>31.99</v>
      </c>
      <c r="J5210" s="0">
        <v>4</v>
      </c>
    </row>
    <row r="5211" spans="1:10" customHeight="0">
      <c r="A5211" s="0">
        <f>HYPERLINK("https://dl.dropboxusercontent.com/scl/fi/z54tovsb0yqghuw4o029m/109164-f.jpg?rlkey=o8ye4ys2o7k6evdfh19kzikzi&amp;dl=0","Click to download Image")</f>
      </c>
      <c r="B5211" s="0">
        <f>HYPERLINK("https://dl.dropboxusercontent.com/scl/fi/ro6fu4uioyycfwvgxwlgh/mens-t-shirt-size-charts-clinton.jpg?rlkey=7d8on2jshj4k0xx364oydinh4&amp;dl=0","Click to download SizeChart")</f>
      </c>
      <c r="C5211" s="0" t="inlineStr">
        <is>
          <t>Clinton Men's Bamboo T-Shirt</t>
        </is>
      </c>
      <c r="D5211" s="0" t="inlineStr">
        <is>
          <t>'109164</t>
        </is>
      </c>
      <c r="E5211" s="0" t="inlineStr">
        <is>
          <t>UNO CLINTON:109164A-S</t>
        </is>
      </c>
      <c r="F5211" s="0" t="inlineStr">
        <is>
          <t>'800109164012</t>
        </is>
      </c>
      <c r="G5211" s="0" t="inlineStr">
        <is>
          <t>MENS</t>
        </is>
      </c>
      <c r="H5211" s="0" t="inlineStr">
        <is>
          <t>S</t>
        </is>
      </c>
      <c r="I5211" s="0">
        <v>29.99</v>
      </c>
      <c r="J5211" s="0">
        <v>2</v>
      </c>
    </row>
    <row r="5212" spans="1:10" customHeight="0">
      <c r="A5212" s="0">
        <f>HYPERLINK("https://dl.dropboxusercontent.com/scl/fi/z54tovsb0yqghuw4o029m/109164-f.jpg?rlkey=o8ye4ys2o7k6evdfh19kzikzi&amp;dl=0","Click to download Image")</f>
      </c>
      <c r="B5212" s="0">
        <f>HYPERLINK("https://dl.dropboxusercontent.com/scl/fi/ro6fu4uioyycfwvgxwlgh/mens-t-shirt-size-charts-clinton.jpg?rlkey=7d8on2jshj4k0xx364oydinh4&amp;dl=0","Click to download SizeChart")</f>
      </c>
      <c r="C5212" s="0" t="inlineStr">
        <is>
          <t>Clinton Men's Bamboo T-Shirt</t>
        </is>
      </c>
      <c r="D5212" s="0" t="inlineStr">
        <is>
          <t>'109164</t>
        </is>
      </c>
      <c r="E5212" s="0" t="inlineStr">
        <is>
          <t>UNO CLINTON:109164B-M</t>
        </is>
      </c>
      <c r="F5212" s="0" t="inlineStr">
        <is>
          <t>'800109164029</t>
        </is>
      </c>
      <c r="G5212" s="0" t="inlineStr">
        <is>
          <t>MENS</t>
        </is>
      </c>
      <c r="H5212" s="0" t="inlineStr">
        <is>
          <t>M</t>
        </is>
      </c>
      <c r="I5212" s="0">
        <v>29.99</v>
      </c>
      <c r="J5212" s="0">
        <v>5</v>
      </c>
    </row>
    <row r="5213" spans="1:10" customHeight="0">
      <c r="A5213" s="0">
        <f>HYPERLINK("https://dl.dropboxusercontent.com/scl/fi/z54tovsb0yqghuw4o029m/109164-f.jpg?rlkey=o8ye4ys2o7k6evdfh19kzikzi&amp;dl=0","Click to download Image")</f>
      </c>
      <c r="B5213" s="0">
        <f>HYPERLINK("https://dl.dropboxusercontent.com/scl/fi/ro6fu4uioyycfwvgxwlgh/mens-t-shirt-size-charts-clinton.jpg?rlkey=7d8on2jshj4k0xx364oydinh4&amp;dl=0","Click to download SizeChart")</f>
      </c>
      <c r="C5213" s="0" t="inlineStr">
        <is>
          <t>Clinton Men's Bamboo T-Shirt</t>
        </is>
      </c>
      <c r="D5213" s="0" t="inlineStr">
        <is>
          <t>'109164</t>
        </is>
      </c>
      <c r="E5213" s="0" t="inlineStr">
        <is>
          <t>UNO CLINTON:109164C-L</t>
        </is>
      </c>
      <c r="F5213" s="0" t="inlineStr">
        <is>
          <t>'800109164036</t>
        </is>
      </c>
      <c r="G5213" s="0" t="inlineStr">
        <is>
          <t>MENS</t>
        </is>
      </c>
      <c r="H5213" s="0" t="inlineStr">
        <is>
          <t>L</t>
        </is>
      </c>
      <c r="I5213" s="0">
        <v>29.99</v>
      </c>
      <c r="J5213" s="0">
        <v>8</v>
      </c>
    </row>
    <row r="5214" spans="1:10" customHeight="0">
      <c r="A5214" s="0">
        <f>HYPERLINK("https://dl.dropboxusercontent.com/scl/fi/z54tovsb0yqghuw4o029m/109164-f.jpg?rlkey=o8ye4ys2o7k6evdfh19kzikzi&amp;dl=0","Click to download Image")</f>
      </c>
      <c r="B5214" s="0">
        <f>HYPERLINK("https://dl.dropboxusercontent.com/scl/fi/ro6fu4uioyycfwvgxwlgh/mens-t-shirt-size-charts-clinton.jpg?rlkey=7d8on2jshj4k0xx364oydinh4&amp;dl=0","Click to download SizeChart")</f>
      </c>
      <c r="C5214" s="0" t="inlineStr">
        <is>
          <t>Clinton Men's Bamboo T-Shirt</t>
        </is>
      </c>
      <c r="D5214" s="0" t="inlineStr">
        <is>
          <t>'109164</t>
        </is>
      </c>
      <c r="E5214" s="0" t="inlineStr">
        <is>
          <t>UNO CLINTON:109164D-XL</t>
        </is>
      </c>
      <c r="F5214" s="0" t="inlineStr">
        <is>
          <t>'800109164043</t>
        </is>
      </c>
      <c r="G5214" s="0" t="inlineStr">
        <is>
          <t>MENS</t>
        </is>
      </c>
      <c r="H5214" s="0" t="inlineStr">
        <is>
          <t>XL</t>
        </is>
      </c>
      <c r="I5214" s="0">
        <v>29.99</v>
      </c>
      <c r="J5214" s="0">
        <v>8</v>
      </c>
    </row>
    <row r="5215" spans="1:10" customHeight="0">
      <c r="A5215" s="0">
        <f>HYPERLINK("https://dl.dropboxusercontent.com/scl/fi/z54tovsb0yqghuw4o029m/109164-f.jpg?rlkey=o8ye4ys2o7k6evdfh19kzikzi&amp;dl=0","Click to download Image")</f>
      </c>
      <c r="B5215" s="0">
        <f>HYPERLINK("https://dl.dropboxusercontent.com/scl/fi/ro6fu4uioyycfwvgxwlgh/mens-t-shirt-size-charts-clinton.jpg?rlkey=7d8on2jshj4k0xx364oydinh4&amp;dl=0","Click to download SizeChart")</f>
      </c>
      <c r="C5215" s="0" t="inlineStr">
        <is>
          <t>Clinton Men's Bamboo T-Shirt</t>
        </is>
      </c>
      <c r="D5215" s="0" t="inlineStr">
        <is>
          <t>'109164</t>
        </is>
      </c>
      <c r="E5215" s="0" t="inlineStr">
        <is>
          <t>UNO CLINTON:109164E-2XL</t>
        </is>
      </c>
      <c r="F5215" s="0" t="inlineStr">
        <is>
          <t>'800109164050</t>
        </is>
      </c>
      <c r="G5215" s="0" t="inlineStr">
        <is>
          <t>MENS</t>
        </is>
      </c>
      <c r="H5215" s="0" t="inlineStr">
        <is>
          <t>2XL</t>
        </is>
      </c>
      <c r="I5215" s="0">
        <v>31.99</v>
      </c>
      <c r="J5215" s="0">
        <v>6</v>
      </c>
    </row>
    <row r="5216" spans="1:10" customHeight="0">
      <c r="A5216" s="0">
        <f>HYPERLINK("https://dl.dropboxusercontent.com/scl/fi/z54tovsb0yqghuw4o029m/109164-f.jpg?rlkey=o8ye4ys2o7k6evdfh19kzikzi&amp;dl=0","Click to download Image")</f>
      </c>
      <c r="B5216" s="0">
        <f>HYPERLINK("https://dl.dropboxusercontent.com/scl/fi/ro6fu4uioyycfwvgxwlgh/mens-t-shirt-size-charts-clinton.jpg?rlkey=7d8on2jshj4k0xx364oydinh4&amp;dl=0","Click to download SizeChart")</f>
      </c>
      <c r="C5216" s="0" t="inlineStr">
        <is>
          <t>Clinton Men's Bamboo T-Shirt</t>
        </is>
      </c>
      <c r="D5216" s="0" t="inlineStr">
        <is>
          <t>'109164</t>
        </is>
      </c>
      <c r="E5216" s="0" t="inlineStr">
        <is>
          <t>UNO CLINTON:109164F-3XL</t>
        </is>
      </c>
      <c r="F5216" s="0" t="inlineStr">
        <is>
          <t>'800109164067</t>
        </is>
      </c>
      <c r="G5216" s="0" t="inlineStr">
        <is>
          <t>MENS</t>
        </is>
      </c>
      <c r="H5216" s="0" t="inlineStr">
        <is>
          <t>3XL</t>
        </is>
      </c>
      <c r="I5216" s="0">
        <v>31.99</v>
      </c>
      <c r="J5216" s="0">
        <v>3</v>
      </c>
    </row>
    <row r="5217" spans="1:10" customHeight="0">
      <c r="A5217" s="0">
        <f>HYPERLINK("https://dl.dropboxusercontent.com/scl/fi/wovgbmr7mvbxzbyxzwymk/woods.jpg?rlkey=t1woesz4aapn6efj2gi6a1y6r&amp;dl=0","Click to download Image")</f>
      </c>
      <c r="B5217" s="0">
        <f>HYPERLINK("https://dl.dropboxusercontent.com/scl/fi/h252khpykpqxbshhpbd7l/mens-d.jpg?rlkey=6q359mfv5r4vmmznsg3bml2u9&amp;dl=0","Click to download SizeChart")</f>
      </c>
      <c r="C5217" s="0" t="inlineStr">
        <is>
          <t>Woods Men's Farm Strong Camo Hoodie</t>
        </is>
      </c>
      <c r="D5217" s="0" t="inlineStr">
        <is>
          <t>'95523</t>
        </is>
      </c>
      <c r="E5217" s="0" t="inlineStr">
        <is>
          <t>WOODS:95523A-S</t>
        </is>
      </c>
      <c r="F5217" s="0" t="inlineStr">
        <is>
          <t>'000000000000</t>
        </is>
      </c>
      <c r="G5217" s="0" t="inlineStr">
        <is>
          <t>MENS</t>
        </is>
      </c>
      <c r="H5217" s="0" t="inlineStr">
        <is>
          <t>S</t>
        </is>
      </c>
      <c r="I5217" s="0">
        <v>59.99</v>
      </c>
      <c r="J5217" s="0">
        <v>33</v>
      </c>
    </row>
    <row r="5218" spans="1:10" customHeight="0">
      <c r="A5218" s="0">
        <f>HYPERLINK("https://dl.dropboxusercontent.com/scl/fi/wovgbmr7mvbxzbyxzwymk/woods.jpg?rlkey=t1woesz4aapn6efj2gi6a1y6r&amp;dl=0","Click to download Image")</f>
      </c>
      <c r="B5218" s="0">
        <f>HYPERLINK("https://dl.dropboxusercontent.com/scl/fi/h252khpykpqxbshhpbd7l/mens-d.jpg?rlkey=6q359mfv5r4vmmznsg3bml2u9&amp;dl=0","Click to download SizeChart")</f>
      </c>
      <c r="C5218" s="0" t="inlineStr">
        <is>
          <t>Woods Men's Farm Strong Camo Hoodie</t>
        </is>
      </c>
      <c r="D5218" s="0" t="inlineStr">
        <is>
          <t>'95523</t>
        </is>
      </c>
      <c r="E5218" s="0" t="inlineStr">
        <is>
          <t>WOODS:95523B-M</t>
        </is>
      </c>
      <c r="F5218" s="0" t="inlineStr">
        <is>
          <t>'000000000000</t>
        </is>
      </c>
      <c r="G5218" s="0" t="inlineStr">
        <is>
          <t>MENS</t>
        </is>
      </c>
      <c r="H5218" s="0" t="inlineStr">
        <is>
          <t>M</t>
        </is>
      </c>
      <c r="I5218" s="0">
        <v>59.99</v>
      </c>
      <c r="J5218" s="0">
        <v>49</v>
      </c>
    </row>
    <row r="5219" spans="1:10" customHeight="0">
      <c r="A5219" s="0">
        <f>HYPERLINK("https://dl.dropboxusercontent.com/scl/fi/wovgbmr7mvbxzbyxzwymk/woods.jpg?rlkey=t1woesz4aapn6efj2gi6a1y6r&amp;dl=0","Click to download Image")</f>
      </c>
      <c r="B5219" s="0">
        <f>HYPERLINK("https://dl.dropboxusercontent.com/scl/fi/h252khpykpqxbshhpbd7l/mens-d.jpg?rlkey=6q359mfv5r4vmmznsg3bml2u9&amp;dl=0","Click to download SizeChart")</f>
      </c>
      <c r="C5219" s="0" t="inlineStr">
        <is>
          <t>Woods Men's Farm Strong Camo Hoodie</t>
        </is>
      </c>
      <c r="D5219" s="0" t="inlineStr">
        <is>
          <t>'95523</t>
        </is>
      </c>
      <c r="E5219" s="0" t="inlineStr">
        <is>
          <t>WOODS:95523C-L</t>
        </is>
      </c>
      <c r="F5219" s="0" t="inlineStr">
        <is>
          <t>'000000000000</t>
        </is>
      </c>
      <c r="G5219" s="0" t="inlineStr">
        <is>
          <t>MENS</t>
        </is>
      </c>
      <c r="H5219" s="0" t="inlineStr">
        <is>
          <t>L</t>
        </is>
      </c>
      <c r="I5219" s="0">
        <v>59.99</v>
      </c>
      <c r="J5219" s="0">
        <v>8</v>
      </c>
    </row>
    <row r="5220" spans="1:10" customHeight="0">
      <c r="A5220" s="0">
        <f>HYPERLINK("https://dl.dropboxusercontent.com/scl/fi/7t5z5jbvez8ta97guhkgr/98200-f.jpg?rlkey=21bs8neacyktkfl0qny2owb1j&amp;dl=0","Click to download Image")</f>
      </c>
      <c r="B5220" s="0">
        <f>HYPERLINK("https://dl.dropboxusercontent.com/scl/fi/h60lky0whc4g5ruxv83l5/ladies-a.jpg?rlkey=1onm1cez2h3gh6yj88mjjt7uo&amp;dl=0","Click to download SizeChart")</f>
      </c>
      <c r="C5220" s="0" t="inlineStr">
        <is>
          <t>Willow Women's Lace Jersey</t>
        </is>
      </c>
      <c r="D5220" s="0" t="inlineStr">
        <is>
          <t>'98200</t>
        </is>
      </c>
      <c r="E5220" s="0" t="inlineStr">
        <is>
          <t>WILLOW:98200A-S</t>
        </is>
      </c>
      <c r="F5220" s="0" t="inlineStr">
        <is>
          <t>'000000000000</t>
        </is>
      </c>
      <c r="G5220" s="0" t="inlineStr">
        <is>
          <t>WOMENS</t>
        </is>
      </c>
      <c r="H5220" s="0" t="inlineStr">
        <is>
          <t>S</t>
        </is>
      </c>
      <c r="I5220" s="0">
        <v>49.99</v>
      </c>
      <c r="J5220" s="0">
        <v>44</v>
      </c>
    </row>
    <row r="5221" spans="1:10" customHeight="0">
      <c r="A5221" s="0">
        <f>HYPERLINK("https://dl.dropboxusercontent.com/scl/fi/7t5z5jbvez8ta97guhkgr/98200-f.jpg?rlkey=21bs8neacyktkfl0qny2owb1j&amp;dl=0","Click to download Image")</f>
      </c>
      <c r="B5221" s="0">
        <f>HYPERLINK("https://dl.dropboxusercontent.com/scl/fi/h60lky0whc4g5ruxv83l5/ladies-a.jpg?rlkey=1onm1cez2h3gh6yj88mjjt7uo&amp;dl=0","Click to download SizeChart")</f>
      </c>
      <c r="C5221" s="0" t="inlineStr">
        <is>
          <t>Willow Women's Lace Jersey</t>
        </is>
      </c>
      <c r="D5221" s="0" t="inlineStr">
        <is>
          <t>'98200</t>
        </is>
      </c>
      <c r="E5221" s="0" t="inlineStr">
        <is>
          <t>WILLOW:98200B-M</t>
        </is>
      </c>
      <c r="F5221" s="0" t="inlineStr">
        <is>
          <t>'000000000000</t>
        </is>
      </c>
      <c r="G5221" s="0" t="inlineStr">
        <is>
          <t>WOMENS</t>
        </is>
      </c>
      <c r="H5221" s="0" t="inlineStr">
        <is>
          <t>M</t>
        </is>
      </c>
      <c r="I5221" s="0">
        <v>49.99</v>
      </c>
      <c r="J5221" s="0">
        <v>35</v>
      </c>
    </row>
    <row r="5222" spans="1:10" customHeight="0">
      <c r="A5222" s="0">
        <f>HYPERLINK("https://dl.dropboxusercontent.com/scl/fi/7t5z5jbvez8ta97guhkgr/98200-f.jpg?rlkey=21bs8neacyktkfl0qny2owb1j&amp;dl=0","Click to download Image")</f>
      </c>
      <c r="B5222" s="0">
        <f>HYPERLINK("https://dl.dropboxusercontent.com/scl/fi/h60lky0whc4g5ruxv83l5/ladies-a.jpg?rlkey=1onm1cez2h3gh6yj88mjjt7uo&amp;dl=0","Click to download SizeChart")</f>
      </c>
      <c r="C5222" s="0" t="inlineStr">
        <is>
          <t>Willow Women's Lace Jersey</t>
        </is>
      </c>
      <c r="D5222" s="0" t="inlineStr">
        <is>
          <t>'98200</t>
        </is>
      </c>
      <c r="E5222" s="0" t="inlineStr">
        <is>
          <t>WILLOW:98200C-L</t>
        </is>
      </c>
      <c r="F5222" s="0" t="inlineStr">
        <is>
          <t>'000000000000</t>
        </is>
      </c>
      <c r="G5222" s="0" t="inlineStr">
        <is>
          <t>WOMENS</t>
        </is>
      </c>
      <c r="H5222" s="0" t="inlineStr">
        <is>
          <t>L</t>
        </is>
      </c>
      <c r="I5222" s="0">
        <v>49.99</v>
      </c>
      <c r="J5222" s="0">
        <v>28</v>
      </c>
    </row>
    <row r="5223" spans="1:10" customHeight="0">
      <c r="A5223" s="0">
        <f>HYPERLINK("https://dl.dropboxusercontent.com/scl/fi/7t5z5jbvez8ta97guhkgr/98200-f.jpg?rlkey=21bs8neacyktkfl0qny2owb1j&amp;dl=0","Click to download Image")</f>
      </c>
      <c r="B5223" s="0">
        <f>HYPERLINK("https://dl.dropboxusercontent.com/scl/fi/h60lky0whc4g5ruxv83l5/ladies-a.jpg?rlkey=1onm1cez2h3gh6yj88mjjt7uo&amp;dl=0","Click to download SizeChart")</f>
      </c>
      <c r="C5223" s="0" t="inlineStr">
        <is>
          <t>Willow Women's Lace Jersey</t>
        </is>
      </c>
      <c r="D5223" s="0" t="inlineStr">
        <is>
          <t>'98200</t>
        </is>
      </c>
      <c r="E5223" s="0" t="inlineStr">
        <is>
          <t>WILLOW:98200D-XL</t>
        </is>
      </c>
      <c r="F5223" s="0" t="inlineStr">
        <is>
          <t>'000000000000</t>
        </is>
      </c>
      <c r="G5223" s="0" t="inlineStr">
        <is>
          <t>WOMENS</t>
        </is>
      </c>
      <c r="H5223" s="0" t="inlineStr">
        <is>
          <t>XL</t>
        </is>
      </c>
      <c r="I5223" s="0">
        <v>49.99</v>
      </c>
      <c r="J5223" s="0">
        <v>33</v>
      </c>
    </row>
    <row r="5224" spans="1:10" customHeight="0">
      <c r="A5224" s="0">
        <f>HYPERLINK("https://dl.dropboxusercontent.com/scl/fi/7t5z5jbvez8ta97guhkgr/98200-f.jpg?rlkey=21bs8neacyktkfl0qny2owb1j&amp;dl=0","Click to download Image")</f>
      </c>
      <c r="B5224" s="0">
        <f>HYPERLINK("https://dl.dropboxusercontent.com/scl/fi/h60lky0whc4g5ruxv83l5/ladies-a.jpg?rlkey=1onm1cez2h3gh6yj88mjjt7uo&amp;dl=0","Click to download SizeChart")</f>
      </c>
      <c r="C5224" s="0" t="inlineStr">
        <is>
          <t>Willow Women's Lace Jersey</t>
        </is>
      </c>
      <c r="D5224" s="0" t="inlineStr">
        <is>
          <t>'98200</t>
        </is>
      </c>
      <c r="E5224" s="0" t="inlineStr">
        <is>
          <t>WILLOW:98200E-2XL</t>
        </is>
      </c>
      <c r="F5224" s="0" t="inlineStr">
        <is>
          <t>'000000000000</t>
        </is>
      </c>
      <c r="G5224" s="0" t="inlineStr">
        <is>
          <t>WOMENS</t>
        </is>
      </c>
      <c r="H5224" s="0" t="inlineStr">
        <is>
          <t>2XL</t>
        </is>
      </c>
      <c r="I5224" s="0">
        <v>51.99</v>
      </c>
      <c r="J5224" s="0">
        <v>40</v>
      </c>
    </row>
    <row r="5225" spans="1:10" customHeight="0">
      <c r="A5225" s="0">
        <f>HYPERLINK("https://dl.dropboxusercontent.com/scl/fi/7t5z5jbvez8ta97guhkgr/98200-f.jpg?rlkey=21bs8neacyktkfl0qny2owb1j&amp;dl=0","Click to download Image")</f>
      </c>
      <c r="B5225" s="0">
        <f>HYPERLINK("https://dl.dropboxusercontent.com/scl/fi/h60lky0whc4g5ruxv83l5/ladies-a.jpg?rlkey=1onm1cez2h3gh6yj88mjjt7uo&amp;dl=0","Click to download SizeChart")</f>
      </c>
      <c r="C5225" s="0" t="inlineStr">
        <is>
          <t>Willow Women's Lace Jersey</t>
        </is>
      </c>
      <c r="D5225" s="0" t="inlineStr">
        <is>
          <t>'98200</t>
        </is>
      </c>
      <c r="E5225" s="0" t="inlineStr">
        <is>
          <t>WILLOW:98200F-3XL</t>
        </is>
      </c>
      <c r="F5225" s="0" t="inlineStr">
        <is>
          <t>'000000000000</t>
        </is>
      </c>
      <c r="G5225" s="0" t="inlineStr">
        <is>
          <t>WOMENS</t>
        </is>
      </c>
      <c r="H5225" s="0" t="inlineStr">
        <is>
          <t>3XL</t>
        </is>
      </c>
      <c r="I5225" s="0">
        <v>51.99</v>
      </c>
      <c r="J5225" s="0">
        <v>1</v>
      </c>
    </row>
    <row r="5226" spans="1:10" customHeight="0">
      <c r="A5226" s="0">
        <f>HYPERLINK("https://dl.dropboxusercontent.com/scl/fi/ia9h5ldrxle8wbw5wdjv1/103494-f.jpg?rlkey=ryfcjj3nf4304za5tefj5obs7&amp;dl=0","Click to download Image")</f>
      </c>
      <c r="B5226" s="0">
        <f>HYPERLINK("https://dl.dropboxusercontent.com/scl/fi/zqksveyhv76igml1vbv0z/10-18-size-chartsmens-relaxed.jpg?rlkey=3qtyygsn37k5kq3nzgpja6isu&amp;dl=0","Click to download SizeChart")</f>
      </c>
      <c r="C5226" s="0" t="inlineStr">
        <is>
          <t>Westphal Men's 1/4 Zip Pullover</t>
        </is>
      </c>
      <c r="D5226" s="0" t="inlineStr">
        <is>
          <t>'103494</t>
        </is>
      </c>
      <c r="E5226" s="0" t="inlineStr">
        <is>
          <t>WESTPHAL:103494A-S</t>
        </is>
      </c>
      <c r="F5226" s="0" t="inlineStr">
        <is>
          <t>'000000000000</t>
        </is>
      </c>
      <c r="G5226" s="0" t="inlineStr">
        <is>
          <t>MENS</t>
        </is>
      </c>
      <c r="I5226" s="0">
        <v>54.99</v>
      </c>
      <c r="J5226" s="0">
        <v>26</v>
      </c>
    </row>
    <row r="5227" spans="1:10" customHeight="0">
      <c r="A5227" s="0">
        <f>HYPERLINK("https://dl.dropboxusercontent.com/scl/fi/ia9h5ldrxle8wbw5wdjv1/103494-f.jpg?rlkey=ryfcjj3nf4304za5tefj5obs7&amp;dl=0","Click to download Image")</f>
      </c>
      <c r="B5227" s="0">
        <f>HYPERLINK("https://dl.dropboxusercontent.com/scl/fi/zqksveyhv76igml1vbv0z/10-18-size-chartsmens-relaxed.jpg?rlkey=3qtyygsn37k5kq3nzgpja6isu&amp;dl=0","Click to download SizeChart")</f>
      </c>
      <c r="C5227" s="0" t="inlineStr">
        <is>
          <t>Westphal Men's 1/4 Zip Pullover</t>
        </is>
      </c>
      <c r="D5227" s="0" t="inlineStr">
        <is>
          <t>'103494</t>
        </is>
      </c>
      <c r="E5227" s="0" t="inlineStr">
        <is>
          <t>WESTPHAL:103494B-M</t>
        </is>
      </c>
      <c r="F5227" s="0" t="inlineStr">
        <is>
          <t>'000000000000</t>
        </is>
      </c>
      <c r="G5227" s="0" t="inlineStr">
        <is>
          <t>MENS</t>
        </is>
      </c>
      <c r="I5227" s="0">
        <v>54.99</v>
      </c>
      <c r="J5227" s="0">
        <v>28</v>
      </c>
    </row>
    <row r="5228" spans="1:10" customHeight="0">
      <c r="A5228" s="0">
        <f>HYPERLINK("https://dl.dropboxusercontent.com/scl/fi/ia9h5ldrxle8wbw5wdjv1/103494-f.jpg?rlkey=ryfcjj3nf4304za5tefj5obs7&amp;dl=0","Click to download Image")</f>
      </c>
      <c r="B5228" s="0">
        <f>HYPERLINK("https://dl.dropboxusercontent.com/scl/fi/zqksveyhv76igml1vbv0z/10-18-size-chartsmens-relaxed.jpg?rlkey=3qtyygsn37k5kq3nzgpja6isu&amp;dl=0","Click to download SizeChart")</f>
      </c>
      <c r="C5228" s="0" t="inlineStr">
        <is>
          <t>Westphal Men's 1/4 Zip Pullover</t>
        </is>
      </c>
      <c r="D5228" s="0" t="inlineStr">
        <is>
          <t>'103494</t>
        </is>
      </c>
      <c r="E5228" s="0" t="inlineStr">
        <is>
          <t>WESTPHAL:103494C-L</t>
        </is>
      </c>
      <c r="F5228" s="0" t="inlineStr">
        <is>
          <t>'000000000000</t>
        </is>
      </c>
      <c r="G5228" s="0" t="inlineStr">
        <is>
          <t>MENS</t>
        </is>
      </c>
      <c r="I5228" s="0">
        <v>54.99</v>
      </c>
      <c r="J5228" s="0">
        <v>0</v>
      </c>
    </row>
    <row r="5229" spans="1:10" customHeight="0">
      <c r="A5229" s="0">
        <f>HYPERLINK("https://dl.dropboxusercontent.com/scl/fi/ia9h5ldrxle8wbw5wdjv1/103494-f.jpg?rlkey=ryfcjj3nf4304za5tefj5obs7&amp;dl=0","Click to download Image")</f>
      </c>
      <c r="B5229" s="0">
        <f>HYPERLINK("https://dl.dropboxusercontent.com/scl/fi/zqksveyhv76igml1vbv0z/10-18-size-chartsmens-relaxed.jpg?rlkey=3qtyygsn37k5kq3nzgpja6isu&amp;dl=0","Click to download SizeChart")</f>
      </c>
      <c r="C5229" s="0" t="inlineStr">
        <is>
          <t>Westphal Men's 1/4 Zip Pullover</t>
        </is>
      </c>
      <c r="D5229" s="0" t="inlineStr">
        <is>
          <t>'103494</t>
        </is>
      </c>
      <c r="E5229" s="0" t="inlineStr">
        <is>
          <t>WESTPHAL:103494D-XL</t>
        </is>
      </c>
      <c r="F5229" s="0" t="inlineStr">
        <is>
          <t>'000000000000</t>
        </is>
      </c>
      <c r="G5229" s="0" t="inlineStr">
        <is>
          <t>MENS</t>
        </is>
      </c>
      <c r="I5229" s="0">
        <v>54.99</v>
      </c>
      <c r="J5229" s="0">
        <v>0</v>
      </c>
    </row>
    <row r="5230" spans="1:10" customHeight="0">
      <c r="A5230" s="0">
        <f>HYPERLINK("https://dl.dropboxusercontent.com/scl/fi/ia9h5ldrxle8wbw5wdjv1/103494-f.jpg?rlkey=ryfcjj3nf4304za5tefj5obs7&amp;dl=0","Click to download Image")</f>
      </c>
      <c r="B5230" s="0">
        <f>HYPERLINK("https://dl.dropboxusercontent.com/scl/fi/zqksveyhv76igml1vbv0z/10-18-size-chartsmens-relaxed.jpg?rlkey=3qtyygsn37k5kq3nzgpja6isu&amp;dl=0","Click to download SizeChart")</f>
      </c>
      <c r="C5230" s="0" t="inlineStr">
        <is>
          <t>Westphal Men's 1/4 Zip Pullover</t>
        </is>
      </c>
      <c r="D5230" s="0" t="inlineStr">
        <is>
          <t>'103494</t>
        </is>
      </c>
      <c r="E5230" s="0" t="inlineStr">
        <is>
          <t>WESTPHAL:103494E-2XL</t>
        </is>
      </c>
      <c r="F5230" s="0" t="inlineStr">
        <is>
          <t>'000000000000</t>
        </is>
      </c>
      <c r="G5230" s="0" t="inlineStr">
        <is>
          <t>MENS</t>
        </is>
      </c>
      <c r="I5230" s="0">
        <v>54.99</v>
      </c>
      <c r="J5230" s="0">
        <v>2</v>
      </c>
    </row>
    <row r="5231" spans="1:10" customHeight="0">
      <c r="A5231" s="0">
        <f>HYPERLINK("https://dl.dropboxusercontent.com/scl/fi/ia9h5ldrxle8wbw5wdjv1/103494-f.jpg?rlkey=ryfcjj3nf4304za5tefj5obs7&amp;dl=0","Click to download Image")</f>
      </c>
      <c r="B5231" s="0">
        <f>HYPERLINK("https://dl.dropboxusercontent.com/scl/fi/zqksveyhv76igml1vbv0z/10-18-size-chartsmens-relaxed.jpg?rlkey=3qtyygsn37k5kq3nzgpja6isu&amp;dl=0","Click to download SizeChart")</f>
      </c>
      <c r="C5231" s="0" t="inlineStr">
        <is>
          <t>Westphal Men's 1/4 Zip Pullover</t>
        </is>
      </c>
      <c r="D5231" s="0" t="inlineStr">
        <is>
          <t>'103494</t>
        </is>
      </c>
      <c r="E5231" s="0" t="inlineStr">
        <is>
          <t>WESTPHAL:103494F-3XL</t>
        </is>
      </c>
      <c r="F5231" s="0" t="inlineStr">
        <is>
          <t>'000000000000</t>
        </is>
      </c>
      <c r="G5231" s="0" t="inlineStr">
        <is>
          <t>MENS</t>
        </is>
      </c>
      <c r="I5231" s="0">
        <v>54.99</v>
      </c>
      <c r="J5231" s="0">
        <v>19</v>
      </c>
    </row>
    <row r="5232" spans="1:10" customHeight="0">
      <c r="A5232" s="0">
        <f>HYPERLINK("https://dl.dropboxusercontent.com/scl/fi/mrlu2mlsmkh12oq0t0qni/103494af21470.jpg?rlkey=hyx3mloacjsznk86kb2o5pxpl&amp;dl=0","Click to download Image")</f>
      </c>
      <c r="B5232" s="0">
        <f>HYPERLINK("https://dl.dropboxusercontent.com/scl/fi/zqksveyhv76igml1vbv0z/10-18-size-chartsmens-relaxed.jpg?rlkey=3qtyygsn37k5kq3nzgpja6isu&amp;dl=0","Click to download SizeChart")</f>
      </c>
      <c r="C5232" s="0" t="inlineStr">
        <is>
          <t>Westphal Men's 1/4 Zip Pullover</t>
        </is>
      </c>
      <c r="D5232" s="0" t="inlineStr">
        <is>
          <t>'104329</t>
        </is>
      </c>
      <c r="E5232" s="0" t="inlineStr">
        <is>
          <t>WESTPHAL:104329A-S</t>
        </is>
      </c>
      <c r="F5232" s="0" t="inlineStr">
        <is>
          <t>'000000000000</t>
        </is>
      </c>
      <c r="G5232" s="0" t="inlineStr">
        <is>
          <t>MENS</t>
        </is>
      </c>
      <c r="H5232" s="0" t="inlineStr">
        <is>
          <t>S</t>
        </is>
      </c>
      <c r="I5232" s="0">
        <v>54.99</v>
      </c>
      <c r="J5232" s="0">
        <v>13</v>
      </c>
    </row>
    <row r="5233" spans="1:10" customHeight="0">
      <c r="A5233" s="0">
        <f>HYPERLINK("https://dl.dropboxusercontent.com/scl/fi/mrlu2mlsmkh12oq0t0qni/103494af21470.jpg?rlkey=hyx3mloacjsznk86kb2o5pxpl&amp;dl=0","Click to download Image")</f>
      </c>
      <c r="B5233" s="0">
        <f>HYPERLINK("https://dl.dropboxusercontent.com/scl/fi/zqksveyhv76igml1vbv0z/10-18-size-chartsmens-relaxed.jpg?rlkey=3qtyygsn37k5kq3nzgpja6isu&amp;dl=0","Click to download SizeChart")</f>
      </c>
      <c r="C5233" s="0" t="inlineStr">
        <is>
          <t>Westphal Men's 1/4 Zip Pullover</t>
        </is>
      </c>
      <c r="D5233" s="0" t="inlineStr">
        <is>
          <t>'104329</t>
        </is>
      </c>
      <c r="E5233" s="0" t="inlineStr">
        <is>
          <t>WESTPHAL:104329D-XL</t>
        </is>
      </c>
      <c r="F5233" s="0" t="inlineStr">
        <is>
          <t>'000000000000</t>
        </is>
      </c>
      <c r="G5233" s="0" t="inlineStr">
        <is>
          <t>MENS</t>
        </is>
      </c>
      <c r="H5233" s="0" t="inlineStr">
        <is>
          <t>XL</t>
        </is>
      </c>
      <c r="I5233" s="0">
        <v>54.99</v>
      </c>
      <c r="J5233" s="0">
        <v>15</v>
      </c>
    </row>
    <row r="5234" spans="1:10" customHeight="0">
      <c r="A5234" s="0">
        <f>HYPERLINK("https://dl.dropboxusercontent.com/scl/fi/mrlu2mlsmkh12oq0t0qni/103494af21470.jpg?rlkey=hyx3mloacjsznk86kb2o5pxpl&amp;dl=0","Click to download Image")</f>
      </c>
      <c r="B5234" s="0">
        <f>HYPERLINK("https://dl.dropboxusercontent.com/scl/fi/zqksveyhv76igml1vbv0z/10-18-size-chartsmens-relaxed.jpg?rlkey=3qtyygsn37k5kq3nzgpja6isu&amp;dl=0","Click to download SizeChart")</f>
      </c>
      <c r="C5234" s="0" t="inlineStr">
        <is>
          <t>Westphal Men's 1/4 Zip Pullover</t>
        </is>
      </c>
      <c r="D5234" s="0" t="inlineStr">
        <is>
          <t>'104329</t>
        </is>
      </c>
      <c r="E5234" s="0" t="inlineStr">
        <is>
          <t>WESTPHAL:104329E-2XL</t>
        </is>
      </c>
      <c r="F5234" s="0" t="inlineStr">
        <is>
          <t>'000000000000</t>
        </is>
      </c>
      <c r="G5234" s="0" t="inlineStr">
        <is>
          <t>MENS</t>
        </is>
      </c>
      <c r="H5234" s="0" t="inlineStr">
        <is>
          <t>2XL</t>
        </is>
      </c>
      <c r="I5234" s="0">
        <v>56.99</v>
      </c>
      <c r="J5234" s="0">
        <v>11</v>
      </c>
    </row>
    <row r="5235" spans="1:10" customHeight="0">
      <c r="A5235" s="0">
        <f>HYPERLINK("https://dl.dropboxusercontent.com/scl/fi/r4zbyt8fhhbz97lzgdcob/99637af50137.jpg?rlkey=1co1jsoza4j0khmfuvj88cbtr&amp;dl=0","Click to download Image")</f>
      </c>
      <c r="C5235" s="0" t="inlineStr">
        <is>
          <t>Wes Men's Athletic Shorts</t>
        </is>
      </c>
      <c r="D5235" s="0" t="inlineStr">
        <is>
          <t>'99637</t>
        </is>
      </c>
      <c r="E5235" s="0" t="inlineStr">
        <is>
          <t>WES:99637E-2XL</t>
        </is>
      </c>
      <c r="F5235" s="0" t="inlineStr">
        <is>
          <t>'000000000000</t>
        </is>
      </c>
      <c r="G5235" s="0" t="inlineStr">
        <is>
          <t>MENS</t>
        </is>
      </c>
      <c r="H5235" s="0" t="inlineStr">
        <is>
          <t>2XL</t>
        </is>
      </c>
      <c r="I5235" s="0">
        <v>39.99</v>
      </c>
      <c r="J5235" s="0">
        <v>26</v>
      </c>
    </row>
    <row r="5236" spans="1:10" customHeight="0">
      <c r="A5236" s="0">
        <f>HYPERLINK("https://dl.dropboxusercontent.com/scl/fi/r4zbyt8fhhbz97lzgdcob/99637af50137.jpg?rlkey=1co1jsoza4j0khmfuvj88cbtr&amp;dl=0","Click to download Image")</f>
      </c>
      <c r="C5236" s="0" t="inlineStr">
        <is>
          <t>Wes Men's Athletic Shorts</t>
        </is>
      </c>
      <c r="D5236" s="0" t="inlineStr">
        <is>
          <t>'99637</t>
        </is>
      </c>
      <c r="E5236" s="0" t="inlineStr">
        <is>
          <t>WES:99637F-3XL</t>
        </is>
      </c>
      <c r="F5236" s="0" t="inlineStr">
        <is>
          <t>'000000000000</t>
        </is>
      </c>
      <c r="G5236" s="0" t="inlineStr">
        <is>
          <t>MENS</t>
        </is>
      </c>
      <c r="H5236" s="0" t="inlineStr">
        <is>
          <t>3XL</t>
        </is>
      </c>
      <c r="I5236" s="0">
        <v>39.99</v>
      </c>
      <c r="J5236" s="0">
        <v>2</v>
      </c>
    </row>
    <row r="5237" spans="1:10" customHeight="0">
      <c r="A5237" s="0">
        <f>HYPERLINK("https://dl.dropboxusercontent.com/scl/fi/6ga5jnrcl0nacgsy980ym/wallace-01.jpg?rlkey=oebirv7npqimbuh2gz7w744z0&amp;dl=0","Click to download Image")</f>
      </c>
      <c r="B5237" s="0">
        <f>HYPERLINK("https://dl.dropboxusercontent.com/scl/fi/oios4sx4vbwogyd1s4zbe/mens-polo-size-chartswallace.jpg?rlkey=tg4r08mpevv02nz4fori2aww3&amp;dl=0","Click to download SizeChart")</f>
      </c>
      <c r="C5237" s="0" t="inlineStr">
        <is>
          <t>Wallace Men's Performance Polo</t>
        </is>
      </c>
      <c r="D5237" s="0" t="inlineStr">
        <is>
          <t>'99644</t>
        </is>
      </c>
      <c r="E5237" s="0" t="inlineStr">
        <is>
          <t>WALLACE:99644A-S</t>
        </is>
      </c>
      <c r="F5237" s="0" t="inlineStr">
        <is>
          <t>'000000000000</t>
        </is>
      </c>
      <c r="G5237" s="0" t="inlineStr">
        <is>
          <t>MENS</t>
        </is>
      </c>
      <c r="H5237" s="0" t="inlineStr">
        <is>
          <t>S</t>
        </is>
      </c>
      <c r="I5237" s="0">
        <v>44.99</v>
      </c>
      <c r="J5237" s="0">
        <v>125</v>
      </c>
    </row>
    <row r="5238" spans="1:10" customHeight="0">
      <c r="A5238" s="0">
        <f>HYPERLINK("https://dl.dropboxusercontent.com/scl/fi/6ga5jnrcl0nacgsy980ym/wallace-01.jpg?rlkey=oebirv7npqimbuh2gz7w744z0&amp;dl=0","Click to download Image")</f>
      </c>
      <c r="B5238" s="0">
        <f>HYPERLINK("https://dl.dropboxusercontent.com/scl/fi/oios4sx4vbwogyd1s4zbe/mens-polo-size-chartswallace.jpg?rlkey=tg4r08mpevv02nz4fori2aww3&amp;dl=0","Click to download SizeChart")</f>
      </c>
      <c r="C5238" s="0" t="inlineStr">
        <is>
          <t>Wallace Men's Performance Polo</t>
        </is>
      </c>
      <c r="D5238" s="0" t="inlineStr">
        <is>
          <t>'99644</t>
        </is>
      </c>
      <c r="E5238" s="0" t="inlineStr">
        <is>
          <t>WALLACE:99644B-M</t>
        </is>
      </c>
      <c r="F5238" s="0" t="inlineStr">
        <is>
          <t>'000000000000</t>
        </is>
      </c>
      <c r="G5238" s="0" t="inlineStr">
        <is>
          <t>MENS</t>
        </is>
      </c>
      <c r="H5238" s="0" t="inlineStr">
        <is>
          <t>M</t>
        </is>
      </c>
      <c r="I5238" s="0">
        <v>44.99</v>
      </c>
      <c r="J5238" s="0">
        <v>132</v>
      </c>
    </row>
    <row r="5239" spans="1:10" customHeight="0">
      <c r="A5239" s="0">
        <f>HYPERLINK("https://dl.dropboxusercontent.com/scl/fi/6ga5jnrcl0nacgsy980ym/wallace-01.jpg?rlkey=oebirv7npqimbuh2gz7w744z0&amp;dl=0","Click to download Image")</f>
      </c>
      <c r="B5239" s="0">
        <f>HYPERLINK("https://dl.dropboxusercontent.com/scl/fi/oios4sx4vbwogyd1s4zbe/mens-polo-size-chartswallace.jpg?rlkey=tg4r08mpevv02nz4fori2aww3&amp;dl=0","Click to download SizeChart")</f>
      </c>
      <c r="C5239" s="0" t="inlineStr">
        <is>
          <t>Wallace Men's Performance Polo</t>
        </is>
      </c>
      <c r="D5239" s="0" t="inlineStr">
        <is>
          <t>'99644</t>
        </is>
      </c>
      <c r="E5239" s="0" t="inlineStr">
        <is>
          <t>WALLACE:99644C-L</t>
        </is>
      </c>
      <c r="F5239" s="0" t="inlineStr">
        <is>
          <t>'000000000000</t>
        </is>
      </c>
      <c r="G5239" s="0" t="inlineStr">
        <is>
          <t>MENS</t>
        </is>
      </c>
      <c r="H5239" s="0" t="inlineStr">
        <is>
          <t>L</t>
        </is>
      </c>
      <c r="I5239" s="0">
        <v>44.99</v>
      </c>
      <c r="J5239" s="0">
        <v>109</v>
      </c>
    </row>
    <row r="5240" spans="1:10" customHeight="0">
      <c r="A5240" s="0">
        <f>HYPERLINK("https://dl.dropboxusercontent.com/scl/fi/6ga5jnrcl0nacgsy980ym/wallace-01.jpg?rlkey=oebirv7npqimbuh2gz7w744z0&amp;dl=0","Click to download Image")</f>
      </c>
      <c r="B5240" s="0">
        <f>HYPERLINK("https://dl.dropboxusercontent.com/scl/fi/oios4sx4vbwogyd1s4zbe/mens-polo-size-chartswallace.jpg?rlkey=tg4r08mpevv02nz4fori2aww3&amp;dl=0","Click to download SizeChart")</f>
      </c>
      <c r="C5240" s="0" t="inlineStr">
        <is>
          <t>Wallace Men's Performance Polo</t>
        </is>
      </c>
      <c r="D5240" s="0" t="inlineStr">
        <is>
          <t>'99644</t>
        </is>
      </c>
      <c r="E5240" s="0" t="inlineStr">
        <is>
          <t>WALLACE:99644D-XL</t>
        </is>
      </c>
      <c r="F5240" s="0" t="inlineStr">
        <is>
          <t>'000000000000</t>
        </is>
      </c>
      <c r="G5240" s="0" t="inlineStr">
        <is>
          <t>MENS</t>
        </is>
      </c>
      <c r="H5240" s="0" t="inlineStr">
        <is>
          <t>XL</t>
        </is>
      </c>
      <c r="I5240" s="0">
        <v>44.99</v>
      </c>
      <c r="J5240" s="0">
        <v>89</v>
      </c>
    </row>
    <row r="5241" spans="1:10" customHeight="0">
      <c r="A5241" s="0">
        <f>HYPERLINK("https://dl.dropboxusercontent.com/scl/fi/6ga5jnrcl0nacgsy980ym/wallace-01.jpg?rlkey=oebirv7npqimbuh2gz7w744z0&amp;dl=0","Click to download Image")</f>
      </c>
      <c r="B5241" s="0">
        <f>HYPERLINK("https://dl.dropboxusercontent.com/scl/fi/oios4sx4vbwogyd1s4zbe/mens-polo-size-chartswallace.jpg?rlkey=tg4r08mpevv02nz4fori2aww3&amp;dl=0","Click to download SizeChart")</f>
      </c>
      <c r="C5241" s="0" t="inlineStr">
        <is>
          <t>Wallace Men's Performance Polo</t>
        </is>
      </c>
      <c r="D5241" s="0" t="inlineStr">
        <is>
          <t>'99644</t>
        </is>
      </c>
      <c r="E5241" s="0" t="inlineStr">
        <is>
          <t>IA WALLACE:99644-DT - XL TALL</t>
        </is>
      </c>
      <c r="F5241" s="0" t="inlineStr">
        <is>
          <t>'000000000000</t>
        </is>
      </c>
      <c r="G5241" s="0" t="inlineStr">
        <is>
          <t>MENS</t>
        </is>
      </c>
      <c r="H5241" s="0" t="inlineStr">
        <is>
          <t>XL TALL</t>
        </is>
      </c>
      <c r="I5241" s="0">
        <v>44.99</v>
      </c>
      <c r="J5241" s="0">
        <v>0</v>
      </c>
    </row>
    <row r="5242" spans="1:10" customHeight="0">
      <c r="A5242" s="0">
        <f>HYPERLINK("https://dl.dropboxusercontent.com/scl/fi/6ga5jnrcl0nacgsy980ym/wallace-01.jpg?rlkey=oebirv7npqimbuh2gz7w744z0&amp;dl=0","Click to download Image")</f>
      </c>
      <c r="B5242" s="0">
        <f>HYPERLINK("https://dl.dropboxusercontent.com/scl/fi/oios4sx4vbwogyd1s4zbe/mens-polo-size-chartswallace.jpg?rlkey=tg4r08mpevv02nz4fori2aww3&amp;dl=0","Click to download SizeChart")</f>
      </c>
      <c r="C5242" s="0" t="inlineStr">
        <is>
          <t>Wallace Men's Performance Polo</t>
        </is>
      </c>
      <c r="D5242" s="0" t="inlineStr">
        <is>
          <t>'99644</t>
        </is>
      </c>
      <c r="E5242" s="0" t="inlineStr">
        <is>
          <t>WALLACE:99644E-2XL</t>
        </is>
      </c>
      <c r="F5242" s="0" t="inlineStr">
        <is>
          <t>'000000000000</t>
        </is>
      </c>
      <c r="G5242" s="0" t="inlineStr">
        <is>
          <t>MENS</t>
        </is>
      </c>
      <c r="H5242" s="0" t="inlineStr">
        <is>
          <t>2XL</t>
        </is>
      </c>
      <c r="I5242" s="0">
        <v>44.99</v>
      </c>
      <c r="J5242" s="0">
        <v>84</v>
      </c>
    </row>
    <row r="5243" spans="1:10" customHeight="0">
      <c r="A5243" s="0">
        <f>HYPERLINK("https://dl.dropboxusercontent.com/scl/fi/6ga5jnrcl0nacgsy980ym/wallace-01.jpg?rlkey=oebirv7npqimbuh2gz7w744z0&amp;dl=0","Click to download Image")</f>
      </c>
      <c r="B5243" s="0">
        <f>HYPERLINK("https://dl.dropboxusercontent.com/scl/fi/oios4sx4vbwogyd1s4zbe/mens-polo-size-chartswallace.jpg?rlkey=tg4r08mpevv02nz4fori2aww3&amp;dl=0","Click to download SizeChart")</f>
      </c>
      <c r="C5243" s="0" t="inlineStr">
        <is>
          <t>Wallace Men's Performance Polo</t>
        </is>
      </c>
      <c r="D5243" s="0" t="inlineStr">
        <is>
          <t>'99644</t>
        </is>
      </c>
      <c r="E5243" s="0" t="inlineStr">
        <is>
          <t>IA WALLACE:99644-ET - 2XL TALL</t>
        </is>
      </c>
      <c r="F5243" s="0" t="inlineStr">
        <is>
          <t>'000000000000</t>
        </is>
      </c>
      <c r="G5243" s="0" t="inlineStr">
        <is>
          <t>MENS</t>
        </is>
      </c>
      <c r="H5243" s="0" t="inlineStr">
        <is>
          <t>2XL TALL</t>
        </is>
      </c>
      <c r="I5243" s="0">
        <v>44.99</v>
      </c>
      <c r="J5243" s="0">
        <v>1</v>
      </c>
    </row>
    <row r="5244" spans="1:10" customHeight="0">
      <c r="A5244" s="0">
        <f>HYPERLINK("https://dl.dropboxusercontent.com/scl/fi/6ga5jnrcl0nacgsy980ym/wallace-01.jpg?rlkey=oebirv7npqimbuh2gz7w744z0&amp;dl=0","Click to download Image")</f>
      </c>
      <c r="B5244" s="0">
        <f>HYPERLINK("https://dl.dropboxusercontent.com/scl/fi/oios4sx4vbwogyd1s4zbe/mens-polo-size-chartswallace.jpg?rlkey=tg4r08mpevv02nz4fori2aww3&amp;dl=0","Click to download SizeChart")</f>
      </c>
      <c r="C5244" s="0" t="inlineStr">
        <is>
          <t>Wallace Men's Performance Polo</t>
        </is>
      </c>
      <c r="D5244" s="0" t="inlineStr">
        <is>
          <t>'99644</t>
        </is>
      </c>
      <c r="E5244" s="0" t="inlineStr">
        <is>
          <t>IA WALLACE:99644-EB - 2XL BIG</t>
        </is>
      </c>
      <c r="F5244" s="0" t="inlineStr">
        <is>
          <t>'000000000000</t>
        </is>
      </c>
      <c r="G5244" s="0" t="inlineStr">
        <is>
          <t>MENS</t>
        </is>
      </c>
      <c r="H5244" s="0" t="inlineStr">
        <is>
          <t>2XL BIG</t>
        </is>
      </c>
      <c r="I5244" s="0">
        <v>44.99</v>
      </c>
      <c r="J5244" s="0">
        <v>4</v>
      </c>
    </row>
    <row r="5245" spans="1:10" customHeight="0">
      <c r="A5245" s="0">
        <f>HYPERLINK("https://dl.dropboxusercontent.com/scl/fi/6ga5jnrcl0nacgsy980ym/wallace-01.jpg?rlkey=oebirv7npqimbuh2gz7w744z0&amp;dl=0","Click to download Image")</f>
      </c>
      <c r="B5245" s="0">
        <f>HYPERLINK("https://dl.dropboxusercontent.com/scl/fi/oios4sx4vbwogyd1s4zbe/mens-polo-size-chartswallace.jpg?rlkey=tg4r08mpevv02nz4fori2aww3&amp;dl=0","Click to download SizeChart")</f>
      </c>
      <c r="C5245" s="0" t="inlineStr">
        <is>
          <t>Wallace Men's Performance Polo</t>
        </is>
      </c>
      <c r="D5245" s="0" t="inlineStr">
        <is>
          <t>'99644</t>
        </is>
      </c>
      <c r="E5245" s="0" t="inlineStr">
        <is>
          <t>WALLACE:99644F-3XL</t>
        </is>
      </c>
      <c r="F5245" s="0" t="inlineStr">
        <is>
          <t>'000000000000</t>
        </is>
      </c>
      <c r="G5245" s="0" t="inlineStr">
        <is>
          <t>MENS</t>
        </is>
      </c>
      <c r="H5245" s="0" t="inlineStr">
        <is>
          <t>3XL</t>
        </is>
      </c>
      <c r="I5245" s="0">
        <v>44.99</v>
      </c>
      <c r="J5245" s="0">
        <v>46</v>
      </c>
    </row>
    <row r="5246" spans="1:10" customHeight="0">
      <c r="A5246" s="0">
        <f>HYPERLINK("https://dl.dropboxusercontent.com/scl/fi/6ga5jnrcl0nacgsy980ym/wallace-01.jpg?rlkey=oebirv7npqimbuh2gz7w744z0&amp;dl=0","Click to download Image")</f>
      </c>
      <c r="B5246" s="0">
        <f>HYPERLINK("https://dl.dropboxusercontent.com/scl/fi/oios4sx4vbwogyd1s4zbe/mens-polo-size-chartswallace.jpg?rlkey=tg4r08mpevv02nz4fori2aww3&amp;dl=0","Click to download SizeChart")</f>
      </c>
      <c r="C5246" s="0" t="inlineStr">
        <is>
          <t>Wallace Men's Performance Polo</t>
        </is>
      </c>
      <c r="D5246" s="0" t="inlineStr">
        <is>
          <t>'99644</t>
        </is>
      </c>
      <c r="E5246" s="0" t="inlineStr">
        <is>
          <t>IA WALLACE:99644-FT - 3XL TALL</t>
        </is>
      </c>
      <c r="F5246" s="0" t="inlineStr">
        <is>
          <t>'000000000000</t>
        </is>
      </c>
      <c r="G5246" s="0" t="inlineStr">
        <is>
          <t>MENS</t>
        </is>
      </c>
      <c r="H5246" s="0" t="inlineStr">
        <is>
          <t>3XL TALL</t>
        </is>
      </c>
      <c r="I5246" s="0">
        <v>44.99</v>
      </c>
      <c r="J5246" s="0">
        <v>4</v>
      </c>
    </row>
    <row r="5247" spans="1:10" customHeight="0">
      <c r="A5247" s="0">
        <f>HYPERLINK("https://dl.dropboxusercontent.com/scl/fi/6ga5jnrcl0nacgsy980ym/wallace-01.jpg?rlkey=oebirv7npqimbuh2gz7w744z0&amp;dl=0","Click to download Image")</f>
      </c>
      <c r="B5247" s="0">
        <f>HYPERLINK("https://dl.dropboxusercontent.com/scl/fi/oios4sx4vbwogyd1s4zbe/mens-polo-size-chartswallace.jpg?rlkey=tg4r08mpevv02nz4fori2aww3&amp;dl=0","Click to download SizeChart")</f>
      </c>
      <c r="C5247" s="0" t="inlineStr">
        <is>
          <t>Wallace Men's Performance Polo</t>
        </is>
      </c>
      <c r="D5247" s="0" t="inlineStr">
        <is>
          <t>'99644</t>
        </is>
      </c>
      <c r="E5247" s="0" t="inlineStr">
        <is>
          <t>IA WALLACE:99644-FB - 3XL BIG</t>
        </is>
      </c>
      <c r="F5247" s="0" t="inlineStr">
        <is>
          <t>'000000000000</t>
        </is>
      </c>
      <c r="G5247" s="0" t="inlineStr">
        <is>
          <t>MENS</t>
        </is>
      </c>
      <c r="H5247" s="0" t="inlineStr">
        <is>
          <t>3XL BIG</t>
        </is>
      </c>
      <c r="I5247" s="0">
        <v>44.99</v>
      </c>
      <c r="J5247" s="0">
        <v>6</v>
      </c>
    </row>
    <row r="5248" spans="1:10" customHeight="0">
      <c r="A5248" s="0">
        <f>HYPERLINK("https://dl.dropboxusercontent.com/scl/fi/6ga5jnrcl0nacgsy980ym/wallace-01.jpg?rlkey=oebirv7npqimbuh2gz7w744z0&amp;dl=0","Click to download Image")</f>
      </c>
      <c r="B5248" s="0">
        <f>HYPERLINK("https://dl.dropboxusercontent.com/scl/fi/oios4sx4vbwogyd1s4zbe/mens-polo-size-chartswallace.jpg?rlkey=tg4r08mpevv02nz4fori2aww3&amp;dl=0","Click to download SizeChart")</f>
      </c>
      <c r="C5248" s="0" t="inlineStr">
        <is>
          <t>Wallace Men's Performance Polo</t>
        </is>
      </c>
      <c r="D5248" s="0" t="inlineStr">
        <is>
          <t>'99644</t>
        </is>
      </c>
      <c r="E5248" s="0" t="inlineStr">
        <is>
          <t>IA WALLACE:99644-GT - 4XL TALL</t>
        </is>
      </c>
      <c r="F5248" s="0" t="inlineStr">
        <is>
          <t>'000000000000</t>
        </is>
      </c>
      <c r="G5248" s="0" t="inlineStr">
        <is>
          <t>MENS</t>
        </is>
      </c>
      <c r="H5248" s="0" t="inlineStr">
        <is>
          <t>4XL TALL</t>
        </is>
      </c>
      <c r="I5248" s="0">
        <v>44.99</v>
      </c>
      <c r="J5248" s="0">
        <v>6</v>
      </c>
    </row>
    <row r="5249" spans="1:10" customHeight="0">
      <c r="A5249" s="0">
        <f>HYPERLINK("https://dl.dropboxusercontent.com/scl/fi/6ga5jnrcl0nacgsy980ym/wallace-01.jpg?rlkey=oebirv7npqimbuh2gz7w744z0&amp;dl=0","Click to download Image")</f>
      </c>
      <c r="B5249" s="0">
        <f>HYPERLINK("https://dl.dropboxusercontent.com/scl/fi/oios4sx4vbwogyd1s4zbe/mens-polo-size-chartswallace.jpg?rlkey=tg4r08mpevv02nz4fori2aww3&amp;dl=0","Click to download SizeChart")</f>
      </c>
      <c r="C5249" s="0" t="inlineStr">
        <is>
          <t>Wallace Men's Performance Polo</t>
        </is>
      </c>
      <c r="D5249" s="0" t="inlineStr">
        <is>
          <t>'99644</t>
        </is>
      </c>
      <c r="E5249" s="0" t="inlineStr">
        <is>
          <t>IA WALLACE:99644-GB - 4XL BIG</t>
        </is>
      </c>
      <c r="F5249" s="0" t="inlineStr">
        <is>
          <t>'000000000000</t>
        </is>
      </c>
      <c r="G5249" s="0" t="inlineStr">
        <is>
          <t>MENS</t>
        </is>
      </c>
      <c r="H5249" s="0" t="inlineStr">
        <is>
          <t>4XL BIG</t>
        </is>
      </c>
      <c r="I5249" s="0">
        <v>44.99</v>
      </c>
      <c r="J5249" s="0">
        <v>6</v>
      </c>
    </row>
    <row r="5250" spans="1:10" customHeight="0">
      <c r="A5250" s="0">
        <f>HYPERLINK("https://dl.dropboxusercontent.com/scl/fi/6ga5jnrcl0nacgsy980ym/wallace-01.jpg?rlkey=oebirv7npqimbuh2gz7w744z0&amp;dl=0","Click to download Image")</f>
      </c>
      <c r="B5250" s="0">
        <f>HYPERLINK("https://dl.dropboxusercontent.com/scl/fi/oios4sx4vbwogyd1s4zbe/mens-polo-size-chartswallace.jpg?rlkey=tg4r08mpevv02nz4fori2aww3&amp;dl=0","Click to download SizeChart")</f>
      </c>
      <c r="C5250" s="0" t="inlineStr">
        <is>
          <t>Wallace Men's Performance Polo</t>
        </is>
      </c>
      <c r="D5250" s="0" t="inlineStr">
        <is>
          <t>'99644</t>
        </is>
      </c>
      <c r="E5250" s="0" t="inlineStr">
        <is>
          <t>IA WALLACE:99644-HT - 5XL TALL</t>
        </is>
      </c>
      <c r="F5250" s="0" t="inlineStr">
        <is>
          <t>'000000000000</t>
        </is>
      </c>
      <c r="G5250" s="0" t="inlineStr">
        <is>
          <t>MENS</t>
        </is>
      </c>
      <c r="H5250" s="0" t="inlineStr">
        <is>
          <t>5XL TALL</t>
        </is>
      </c>
      <c r="I5250" s="0">
        <v>44.99</v>
      </c>
      <c r="J5250" s="0">
        <v>6</v>
      </c>
    </row>
    <row r="5251" spans="1:10" customHeight="0">
      <c r="A5251" s="0">
        <f>HYPERLINK("https://dl.dropboxusercontent.com/scl/fi/6ga5jnrcl0nacgsy980ym/wallace-01.jpg?rlkey=oebirv7npqimbuh2gz7w744z0&amp;dl=0","Click to download Image")</f>
      </c>
      <c r="B5251" s="0">
        <f>HYPERLINK("https://dl.dropboxusercontent.com/scl/fi/oios4sx4vbwogyd1s4zbe/mens-polo-size-chartswallace.jpg?rlkey=tg4r08mpevv02nz4fori2aww3&amp;dl=0","Click to download SizeChart")</f>
      </c>
      <c r="C5251" s="0" t="inlineStr">
        <is>
          <t>Wallace Men's Performance Polo</t>
        </is>
      </c>
      <c r="D5251" s="0" t="inlineStr">
        <is>
          <t>'99644</t>
        </is>
      </c>
      <c r="E5251" s="0" t="inlineStr">
        <is>
          <t>IA WALLACE:99644-HB - 5XL BIG</t>
        </is>
      </c>
      <c r="F5251" s="0" t="inlineStr">
        <is>
          <t>'000000000000</t>
        </is>
      </c>
      <c r="G5251" s="0" t="inlineStr">
        <is>
          <t>MENS</t>
        </is>
      </c>
      <c r="H5251" s="0" t="inlineStr">
        <is>
          <t>5XL BIG</t>
        </is>
      </c>
      <c r="I5251" s="0">
        <v>44.99</v>
      </c>
      <c r="J5251" s="0">
        <v>6</v>
      </c>
    </row>
    <row r="5252" spans="1:10" customHeight="0">
      <c r="A5252" s="0">
        <f>HYPERLINK("https://dl.dropboxusercontent.com/scl/fi/ja2a36hmpbg07pzwl6n37/wallace-02.jpg?rlkey=qzopj3jd8lw9rf0cr03tcfgwx&amp;dl=0","Click to download Image")</f>
      </c>
      <c r="B5252" s="0">
        <f>HYPERLINK("https://dl.dropboxusercontent.com/scl/fi/oios4sx4vbwogyd1s4zbe/mens-polo-size-chartswallace.jpg?rlkey=tg4r08mpevv02nz4fori2aww3&amp;dl=0","Click to download SizeChart")</f>
      </c>
      <c r="C5252" s="0" t="inlineStr">
        <is>
          <t>Wallace Men's Performance Polo</t>
        </is>
      </c>
      <c r="D5252" s="0" t="inlineStr">
        <is>
          <t>'99877A</t>
        </is>
      </c>
      <c r="E5252" s="0" t="inlineStr">
        <is>
          <t>WALLACE:99877A-S</t>
        </is>
      </c>
      <c r="F5252" s="0" t="inlineStr">
        <is>
          <t>'000000000000</t>
        </is>
      </c>
      <c r="G5252" s="0" t="inlineStr">
        <is>
          <t>MENS</t>
        </is>
      </c>
      <c r="H5252" s="0" t="inlineStr">
        <is>
          <t>S</t>
        </is>
      </c>
      <c r="I5252" s="0">
        <v>44.99</v>
      </c>
      <c r="J5252" s="0">
        <v>35</v>
      </c>
    </row>
    <row r="5253" spans="1:10" customHeight="0">
      <c r="A5253" s="0">
        <f>HYPERLINK("https://dl.dropboxusercontent.com/scl/fi/ja2a36hmpbg07pzwl6n37/wallace-02.jpg?rlkey=qzopj3jd8lw9rf0cr03tcfgwx&amp;dl=0","Click to download Image")</f>
      </c>
      <c r="B5253" s="0">
        <f>HYPERLINK("https://dl.dropboxusercontent.com/scl/fi/oios4sx4vbwogyd1s4zbe/mens-polo-size-chartswallace.jpg?rlkey=tg4r08mpevv02nz4fori2aww3&amp;dl=0","Click to download SizeChart")</f>
      </c>
      <c r="C5253" s="0" t="inlineStr">
        <is>
          <t>Wallace Men's Performance Polo</t>
        </is>
      </c>
      <c r="D5253" s="0" t="inlineStr">
        <is>
          <t>'99877A</t>
        </is>
      </c>
      <c r="E5253" s="0" t="inlineStr">
        <is>
          <t>ISU WALLACE:99877-DT - XL TALL</t>
        </is>
      </c>
      <c r="F5253" s="0" t="inlineStr">
        <is>
          <t>'000000000000</t>
        </is>
      </c>
      <c r="G5253" s="0" t="inlineStr">
        <is>
          <t>MENS</t>
        </is>
      </c>
      <c r="H5253" s="0" t="inlineStr">
        <is>
          <t>XL TALL</t>
        </is>
      </c>
      <c r="I5253" s="0">
        <v>44.99</v>
      </c>
      <c r="J5253" s="0">
        <v>0</v>
      </c>
    </row>
    <row r="5254" spans="1:10" customHeight="0">
      <c r="A5254" s="0">
        <f>HYPERLINK("https://dl.dropboxusercontent.com/scl/fi/ja2a36hmpbg07pzwl6n37/wallace-02.jpg?rlkey=qzopj3jd8lw9rf0cr03tcfgwx&amp;dl=0","Click to download Image")</f>
      </c>
      <c r="B5254" s="0">
        <f>HYPERLINK("https://dl.dropboxusercontent.com/scl/fi/oios4sx4vbwogyd1s4zbe/mens-polo-size-chartswallace.jpg?rlkey=tg4r08mpevv02nz4fori2aww3&amp;dl=0","Click to download SizeChart")</f>
      </c>
      <c r="C5254" s="0" t="inlineStr">
        <is>
          <t>Wallace Men's Performance Polo</t>
        </is>
      </c>
      <c r="D5254" s="0" t="inlineStr">
        <is>
          <t>'99877A</t>
        </is>
      </c>
      <c r="E5254" s="0" t="inlineStr">
        <is>
          <t>ISU WALLACE:99877-ET - 2XL TALL</t>
        </is>
      </c>
      <c r="F5254" s="0" t="inlineStr">
        <is>
          <t>'000000000000</t>
        </is>
      </c>
      <c r="G5254" s="0" t="inlineStr">
        <is>
          <t>MENS</t>
        </is>
      </c>
      <c r="H5254" s="0" t="inlineStr">
        <is>
          <t>2XL TALL</t>
        </is>
      </c>
      <c r="I5254" s="0">
        <v>44.99</v>
      </c>
      <c r="J5254" s="0">
        <v>0</v>
      </c>
    </row>
    <row r="5255" spans="1:10" customHeight="0">
      <c r="A5255" s="0">
        <f>HYPERLINK("https://dl.dropboxusercontent.com/scl/fi/ja2a36hmpbg07pzwl6n37/wallace-02.jpg?rlkey=qzopj3jd8lw9rf0cr03tcfgwx&amp;dl=0","Click to download Image")</f>
      </c>
      <c r="B5255" s="0">
        <f>HYPERLINK("https://dl.dropboxusercontent.com/scl/fi/oios4sx4vbwogyd1s4zbe/mens-polo-size-chartswallace.jpg?rlkey=tg4r08mpevv02nz4fori2aww3&amp;dl=0","Click to download SizeChart")</f>
      </c>
      <c r="C5255" s="0" t="inlineStr">
        <is>
          <t>Wallace Men's Performance Polo</t>
        </is>
      </c>
      <c r="D5255" s="0" t="inlineStr">
        <is>
          <t>'99877A</t>
        </is>
      </c>
      <c r="E5255" s="0" t="inlineStr">
        <is>
          <t>ISU WALLACE:99877-EB - 2XL BIG</t>
        </is>
      </c>
      <c r="F5255" s="0" t="inlineStr">
        <is>
          <t>'000000000000</t>
        </is>
      </c>
      <c r="G5255" s="0" t="inlineStr">
        <is>
          <t>MENS</t>
        </is>
      </c>
      <c r="H5255" s="0" t="inlineStr">
        <is>
          <t>2XL BIG</t>
        </is>
      </c>
      <c r="I5255" s="0">
        <v>44.99</v>
      </c>
      <c r="J5255" s="0">
        <v>2</v>
      </c>
    </row>
    <row r="5256" spans="1:10" customHeight="0">
      <c r="A5256" s="0">
        <f>HYPERLINK("https://dl.dropboxusercontent.com/scl/fi/ja2a36hmpbg07pzwl6n37/wallace-02.jpg?rlkey=qzopj3jd8lw9rf0cr03tcfgwx&amp;dl=0","Click to download Image")</f>
      </c>
      <c r="B5256" s="0">
        <f>HYPERLINK("https://dl.dropboxusercontent.com/scl/fi/oios4sx4vbwogyd1s4zbe/mens-polo-size-chartswallace.jpg?rlkey=tg4r08mpevv02nz4fori2aww3&amp;dl=0","Click to download SizeChart")</f>
      </c>
      <c r="C5256" s="0" t="inlineStr">
        <is>
          <t>Wallace Men's Performance Polo</t>
        </is>
      </c>
      <c r="D5256" s="0" t="inlineStr">
        <is>
          <t>'99877A</t>
        </is>
      </c>
      <c r="E5256" s="0" t="inlineStr">
        <is>
          <t>ISU WALLACE:99877-FT - 3XL TALL</t>
        </is>
      </c>
      <c r="F5256" s="0" t="inlineStr">
        <is>
          <t>'000000000000</t>
        </is>
      </c>
      <c r="G5256" s="0" t="inlineStr">
        <is>
          <t>MENS</t>
        </is>
      </c>
      <c r="H5256" s="0" t="inlineStr">
        <is>
          <t>3XL TALL</t>
        </is>
      </c>
      <c r="I5256" s="0">
        <v>44.99</v>
      </c>
      <c r="J5256" s="0">
        <v>2</v>
      </c>
    </row>
    <row r="5257" spans="1:10" customHeight="0">
      <c r="A5257" s="0">
        <f>HYPERLINK("https://dl.dropboxusercontent.com/scl/fi/ja2a36hmpbg07pzwl6n37/wallace-02.jpg?rlkey=qzopj3jd8lw9rf0cr03tcfgwx&amp;dl=0","Click to download Image")</f>
      </c>
      <c r="B5257" s="0">
        <f>HYPERLINK("https://dl.dropboxusercontent.com/scl/fi/oios4sx4vbwogyd1s4zbe/mens-polo-size-chartswallace.jpg?rlkey=tg4r08mpevv02nz4fori2aww3&amp;dl=0","Click to download SizeChart")</f>
      </c>
      <c r="C5257" s="0" t="inlineStr">
        <is>
          <t>Wallace Men's Performance Polo</t>
        </is>
      </c>
      <c r="D5257" s="0" t="inlineStr">
        <is>
          <t>'99877A</t>
        </is>
      </c>
      <c r="E5257" s="0" t="inlineStr">
        <is>
          <t>ISU WALLACE:99877-FB - 3XL BIG</t>
        </is>
      </c>
      <c r="F5257" s="0" t="inlineStr">
        <is>
          <t>'000000000000</t>
        </is>
      </c>
      <c r="G5257" s="0" t="inlineStr">
        <is>
          <t>MENS</t>
        </is>
      </c>
      <c r="H5257" s="0" t="inlineStr">
        <is>
          <t>3XL BIG</t>
        </is>
      </c>
      <c r="I5257" s="0">
        <v>44.99</v>
      </c>
      <c r="J5257" s="0">
        <v>3</v>
      </c>
    </row>
    <row r="5258" spans="1:10" customHeight="0">
      <c r="A5258" s="0">
        <f>HYPERLINK("https://dl.dropboxusercontent.com/scl/fi/ja2a36hmpbg07pzwl6n37/wallace-02.jpg?rlkey=qzopj3jd8lw9rf0cr03tcfgwx&amp;dl=0","Click to download Image")</f>
      </c>
      <c r="B5258" s="0">
        <f>HYPERLINK("https://dl.dropboxusercontent.com/scl/fi/oios4sx4vbwogyd1s4zbe/mens-polo-size-chartswallace.jpg?rlkey=tg4r08mpevv02nz4fori2aww3&amp;dl=0","Click to download SizeChart")</f>
      </c>
      <c r="C5258" s="0" t="inlineStr">
        <is>
          <t>Wallace Men's Performance Polo</t>
        </is>
      </c>
      <c r="D5258" s="0" t="inlineStr">
        <is>
          <t>'99877A</t>
        </is>
      </c>
      <c r="E5258" s="0" t="inlineStr">
        <is>
          <t>ISU WALLACE:99877-GT - 4XL TALL</t>
        </is>
      </c>
      <c r="F5258" s="0" t="inlineStr">
        <is>
          <t>'000000000000</t>
        </is>
      </c>
      <c r="G5258" s="0" t="inlineStr">
        <is>
          <t>MENS</t>
        </is>
      </c>
      <c r="H5258" s="0" t="inlineStr">
        <is>
          <t>4XL TALL</t>
        </is>
      </c>
      <c r="I5258" s="0">
        <v>44.99</v>
      </c>
      <c r="J5258" s="0">
        <v>6</v>
      </c>
    </row>
    <row r="5259" spans="1:10" customHeight="0">
      <c r="A5259" s="0">
        <f>HYPERLINK("https://dl.dropboxusercontent.com/scl/fi/ja2a36hmpbg07pzwl6n37/wallace-02.jpg?rlkey=qzopj3jd8lw9rf0cr03tcfgwx&amp;dl=0","Click to download Image")</f>
      </c>
      <c r="B5259" s="0">
        <f>HYPERLINK("https://dl.dropboxusercontent.com/scl/fi/oios4sx4vbwogyd1s4zbe/mens-polo-size-chartswallace.jpg?rlkey=tg4r08mpevv02nz4fori2aww3&amp;dl=0","Click to download SizeChart")</f>
      </c>
      <c r="C5259" s="0" t="inlineStr">
        <is>
          <t>Wallace Men's Performance Polo</t>
        </is>
      </c>
      <c r="D5259" s="0" t="inlineStr">
        <is>
          <t>'99877A</t>
        </is>
      </c>
      <c r="E5259" s="0" t="inlineStr">
        <is>
          <t>ISU WALLACE:99877-GB - 4XL BIG</t>
        </is>
      </c>
      <c r="F5259" s="0" t="inlineStr">
        <is>
          <t>'000000000000</t>
        </is>
      </c>
      <c r="G5259" s="0" t="inlineStr">
        <is>
          <t>MENS</t>
        </is>
      </c>
      <c r="H5259" s="0" t="inlineStr">
        <is>
          <t>4XL BIG</t>
        </is>
      </c>
      <c r="I5259" s="0">
        <v>44.99</v>
      </c>
      <c r="J5259" s="0">
        <v>5</v>
      </c>
    </row>
    <row r="5260" spans="1:10" customHeight="0">
      <c r="A5260" s="0">
        <f>HYPERLINK("https://dl.dropboxusercontent.com/scl/fi/ja2a36hmpbg07pzwl6n37/wallace-02.jpg?rlkey=qzopj3jd8lw9rf0cr03tcfgwx&amp;dl=0","Click to download Image")</f>
      </c>
      <c r="B5260" s="0">
        <f>HYPERLINK("https://dl.dropboxusercontent.com/scl/fi/oios4sx4vbwogyd1s4zbe/mens-polo-size-chartswallace.jpg?rlkey=tg4r08mpevv02nz4fori2aww3&amp;dl=0","Click to download SizeChart")</f>
      </c>
      <c r="C5260" s="0" t="inlineStr">
        <is>
          <t>Wallace Men's Performance Polo</t>
        </is>
      </c>
      <c r="D5260" s="0" t="inlineStr">
        <is>
          <t>'99877A</t>
        </is>
      </c>
      <c r="E5260" s="0" t="inlineStr">
        <is>
          <t>ISU WALLACE:99877-HT - 5XL TALL</t>
        </is>
      </c>
      <c r="F5260" s="0" t="inlineStr">
        <is>
          <t>'000000000000</t>
        </is>
      </c>
      <c r="G5260" s="0" t="inlineStr">
        <is>
          <t>MENS</t>
        </is>
      </c>
      <c r="H5260" s="0" t="inlineStr">
        <is>
          <t>5XL TALL</t>
        </is>
      </c>
      <c r="I5260" s="0">
        <v>44.99</v>
      </c>
      <c r="J5260" s="0">
        <v>6</v>
      </c>
    </row>
    <row r="5261" spans="1:10" customHeight="0">
      <c r="A5261" s="0">
        <f>HYPERLINK("https://dl.dropboxusercontent.com/scl/fi/ja2a36hmpbg07pzwl6n37/wallace-02.jpg?rlkey=qzopj3jd8lw9rf0cr03tcfgwx&amp;dl=0","Click to download Image")</f>
      </c>
      <c r="B5261" s="0">
        <f>HYPERLINK("https://dl.dropboxusercontent.com/scl/fi/oios4sx4vbwogyd1s4zbe/mens-polo-size-chartswallace.jpg?rlkey=tg4r08mpevv02nz4fori2aww3&amp;dl=0","Click to download SizeChart")</f>
      </c>
      <c r="C5261" s="0" t="inlineStr">
        <is>
          <t>Wallace Men's Performance Polo</t>
        </is>
      </c>
      <c r="D5261" s="0" t="inlineStr">
        <is>
          <t>'99877A</t>
        </is>
      </c>
      <c r="E5261" s="0" t="inlineStr">
        <is>
          <t>ISU WALLACE:99877-HB - 5XL BIG</t>
        </is>
      </c>
      <c r="F5261" s="0" t="inlineStr">
        <is>
          <t>'000000000000</t>
        </is>
      </c>
      <c r="G5261" s="0" t="inlineStr">
        <is>
          <t>MENS</t>
        </is>
      </c>
      <c r="H5261" s="0" t="inlineStr">
        <is>
          <t>5XL BIG</t>
        </is>
      </c>
      <c r="I5261" s="0">
        <v>44.99</v>
      </c>
      <c r="J5261" s="0">
        <v>6</v>
      </c>
    </row>
    <row r="5262" spans="1:10" customHeight="0">
      <c r="A5262" s="0">
        <f>HYPERLINK("https://dl.dropboxusercontent.com/scl/fi/lbvp2hzfnpzsh59w480oc/vivian.jpg?rlkey=usacsr1ihpki1qqu2q4qv5t8q&amp;dl=0","Click to download Image")</f>
      </c>
      <c r="B5262" s="0">
        <f>HYPERLINK("https://dl.dropboxusercontent.com/scl/fi/dy4ujq432zac7s1p9o3kq/size-chartladies-c.jpg?rlkey=fhym4oszofpsjo9dw2pj40ztk&amp;dl=0","Click to download SizeChart")</f>
      </c>
      <c r="C5262" s="0" t="inlineStr">
        <is>
          <t>Vivian Women's Zip Hoodie</t>
        </is>
      </c>
      <c r="D5262" s="0" t="inlineStr">
        <is>
          <t>'95724</t>
        </is>
      </c>
      <c r="E5262" s="0" t="inlineStr">
        <is>
          <t>VIVIAN:95724A-S</t>
        </is>
      </c>
      <c r="F5262" s="0" t="inlineStr">
        <is>
          <t>'000000000000</t>
        </is>
      </c>
      <c r="G5262" s="0" t="inlineStr">
        <is>
          <t>WOMENS</t>
        </is>
      </c>
      <c r="H5262" s="0" t="inlineStr">
        <is>
          <t>S</t>
        </is>
      </c>
      <c r="I5262" s="0">
        <v>69.99</v>
      </c>
      <c r="J5262" s="0">
        <v>32</v>
      </c>
    </row>
    <row r="5263" spans="1:10" customHeight="0">
      <c r="A5263" s="0">
        <f>HYPERLINK("https://dl.dropboxusercontent.com/scl/fi/lbvp2hzfnpzsh59w480oc/vivian.jpg?rlkey=usacsr1ihpki1qqu2q4qv5t8q&amp;dl=0","Click to download Image")</f>
      </c>
      <c r="B5263" s="0">
        <f>HYPERLINK("https://dl.dropboxusercontent.com/scl/fi/dy4ujq432zac7s1p9o3kq/size-chartladies-c.jpg?rlkey=fhym4oszofpsjo9dw2pj40ztk&amp;dl=0","Click to download SizeChart")</f>
      </c>
      <c r="C5263" s="0" t="inlineStr">
        <is>
          <t>Vivian Women's Zip Hoodie</t>
        </is>
      </c>
      <c r="D5263" s="0" t="inlineStr">
        <is>
          <t>'95724</t>
        </is>
      </c>
      <c r="E5263" s="0" t="inlineStr">
        <is>
          <t>VIVIAN:95724B-M</t>
        </is>
      </c>
      <c r="F5263" s="0" t="inlineStr">
        <is>
          <t>'000000000000</t>
        </is>
      </c>
      <c r="G5263" s="0" t="inlineStr">
        <is>
          <t>WOMENS</t>
        </is>
      </c>
      <c r="H5263" s="0" t="inlineStr">
        <is>
          <t>M</t>
        </is>
      </c>
      <c r="I5263" s="0">
        <v>69.99</v>
      </c>
      <c r="J5263" s="0">
        <v>45</v>
      </c>
    </row>
    <row r="5264" spans="1:10" customHeight="0">
      <c r="A5264" s="0">
        <f>HYPERLINK("https://dl.dropboxusercontent.com/scl/fi/lbvp2hzfnpzsh59w480oc/vivian.jpg?rlkey=usacsr1ihpki1qqu2q4qv5t8q&amp;dl=0","Click to download Image")</f>
      </c>
      <c r="B5264" s="0">
        <f>HYPERLINK("https://dl.dropboxusercontent.com/scl/fi/dy4ujq432zac7s1p9o3kq/size-chartladies-c.jpg?rlkey=fhym4oszofpsjo9dw2pj40ztk&amp;dl=0","Click to download SizeChart")</f>
      </c>
      <c r="C5264" s="0" t="inlineStr">
        <is>
          <t>Vivian Women's Zip Hoodie</t>
        </is>
      </c>
      <c r="D5264" s="0" t="inlineStr">
        <is>
          <t>'95724</t>
        </is>
      </c>
      <c r="E5264" s="0" t="inlineStr">
        <is>
          <t>VIVIAN:95724C-L</t>
        </is>
      </c>
      <c r="F5264" s="0" t="inlineStr">
        <is>
          <t>'000000000000</t>
        </is>
      </c>
      <c r="G5264" s="0" t="inlineStr">
        <is>
          <t>WOMENS</t>
        </is>
      </c>
      <c r="H5264" s="0" t="inlineStr">
        <is>
          <t>L</t>
        </is>
      </c>
      <c r="I5264" s="0">
        <v>69.99</v>
      </c>
      <c r="J5264" s="0">
        <v>108</v>
      </c>
    </row>
    <row r="5265" spans="1:10" customHeight="0">
      <c r="A5265" s="0">
        <f>HYPERLINK("https://dl.dropboxusercontent.com/scl/fi/lbvp2hzfnpzsh59w480oc/vivian.jpg?rlkey=usacsr1ihpki1qqu2q4qv5t8q&amp;dl=0","Click to download Image")</f>
      </c>
      <c r="B5265" s="0">
        <f>HYPERLINK("https://dl.dropboxusercontent.com/scl/fi/dy4ujq432zac7s1p9o3kq/size-chartladies-c.jpg?rlkey=fhym4oszofpsjo9dw2pj40ztk&amp;dl=0","Click to download SizeChart")</f>
      </c>
      <c r="C5265" s="0" t="inlineStr">
        <is>
          <t>Vivian Women's Zip Hoodie</t>
        </is>
      </c>
      <c r="D5265" s="0" t="inlineStr">
        <is>
          <t>'95724</t>
        </is>
      </c>
      <c r="E5265" s="0" t="inlineStr">
        <is>
          <t>VIVIAN:95724D-XL</t>
        </is>
      </c>
      <c r="F5265" s="0" t="inlineStr">
        <is>
          <t>'000000000000</t>
        </is>
      </c>
      <c r="G5265" s="0" t="inlineStr">
        <is>
          <t>WOMENS</t>
        </is>
      </c>
      <c r="H5265" s="0" t="inlineStr">
        <is>
          <t>XL</t>
        </is>
      </c>
      <c r="I5265" s="0">
        <v>69.99</v>
      </c>
      <c r="J5265" s="0">
        <v>112</v>
      </c>
    </row>
    <row r="5266" spans="1:10" customHeight="0">
      <c r="A5266" s="0">
        <f>HYPERLINK("https://dl.dropboxusercontent.com/scl/fi/lbvp2hzfnpzsh59w480oc/vivian.jpg?rlkey=usacsr1ihpki1qqu2q4qv5t8q&amp;dl=0","Click to download Image")</f>
      </c>
      <c r="B5266" s="0">
        <f>HYPERLINK("https://dl.dropboxusercontent.com/scl/fi/dy4ujq432zac7s1p9o3kq/size-chartladies-c.jpg?rlkey=fhym4oszofpsjo9dw2pj40ztk&amp;dl=0","Click to download SizeChart")</f>
      </c>
      <c r="C5266" s="0" t="inlineStr">
        <is>
          <t>Vivian Women's Zip Hoodie</t>
        </is>
      </c>
      <c r="D5266" s="0" t="inlineStr">
        <is>
          <t>'95724</t>
        </is>
      </c>
      <c r="E5266" s="0" t="inlineStr">
        <is>
          <t>VIVIAN:95724E-2XL</t>
        </is>
      </c>
      <c r="F5266" s="0" t="inlineStr">
        <is>
          <t>'000000000000</t>
        </is>
      </c>
      <c r="G5266" s="0" t="inlineStr">
        <is>
          <t>WOMENS</t>
        </is>
      </c>
      <c r="H5266" s="0" t="inlineStr">
        <is>
          <t>2XL</t>
        </is>
      </c>
      <c r="I5266" s="0">
        <v>71.99</v>
      </c>
      <c r="J5266" s="0">
        <v>30</v>
      </c>
    </row>
    <row r="5267" spans="1:10" customHeight="0">
      <c r="A5267" s="0">
        <f>HYPERLINK("https://dl.dropboxusercontent.com/scl/fi/qois4ir2d60b40unylj1f/venice.jpg?rlkey=ps6x2hvjobrvdvdgi0ekz34gf&amp;dl=0","Click to download Image")</f>
      </c>
      <c r="C5267" s="0" t="inlineStr">
        <is>
          <t>Venice Youth Floral Cap</t>
        </is>
      </c>
      <c r="D5267" s="0" t="inlineStr">
        <is>
          <t>'107223</t>
        </is>
      </c>
      <c r="E5267" s="0" t="inlineStr">
        <is>
          <t>IA VENICE:107223</t>
        </is>
      </c>
      <c r="F5267" s="0" t="inlineStr">
        <is>
          <t>'000000000000</t>
        </is>
      </c>
      <c r="G5267" s="0" t="inlineStr">
        <is>
          <t>YOUTH</t>
        </is>
      </c>
      <c r="H5267" s="0" t="inlineStr">
        <is>
          <t>YOUTH</t>
        </is>
      </c>
      <c r="I5267" s="0">
        <v>20.99</v>
      </c>
      <c r="J5267" s="0">
        <v>60</v>
      </c>
    </row>
    <row r="5268" spans="1:10" customHeight="0">
      <c r="A5268" s="0">
        <f>HYPERLINK("https://dl.dropboxusercontent.com/scl/fi/jbktcae7djvzy13npno4f/valerie.jpg?rlkey=5d78o2glpvsdpia4iun9aq3of&amp;dl=0","Click to download Image")</f>
      </c>
      <c r="C5268" s="0" t="inlineStr">
        <is>
          <t>Valerie Youth Lace Cap</t>
        </is>
      </c>
      <c r="D5268" s="0" t="inlineStr">
        <is>
          <t>'98626</t>
        </is>
      </c>
      <c r="E5268" s="0" t="inlineStr">
        <is>
          <t>VALERIE:98626</t>
        </is>
      </c>
      <c r="F5268" s="0" t="inlineStr">
        <is>
          <t>'000000000000</t>
        </is>
      </c>
      <c r="G5268" s="0" t="inlineStr">
        <is>
          <t>YOUTH</t>
        </is>
      </c>
      <c r="H5268" s="0" t="inlineStr">
        <is>
          <t>YOUTH</t>
        </is>
      </c>
      <c r="I5268" s="0">
        <v>24.99</v>
      </c>
      <c r="J5268" s="0">
        <v>115</v>
      </c>
    </row>
    <row r="5269" spans="1:10" customHeight="0">
      <c r="A5269" s="0">
        <f>HYPERLINK("https://dl.dropboxusercontent.com/scl/fi/py5uzs6z1qv7u3hwjutc0/116414af.jpg?rlkey=ccqwdds7w4pi4hk5ufqizt9pz&amp;dl=0","Click to download Image")</f>
      </c>
      <c r="B5269" s="0">
        <f>HYPERLINK("https://dl.dropboxusercontent.com/scl/fi/ty1oqodjeenqhchlxxhgl/graphic-update22022-youth.jpg?rlkey=y8v46b4ix0lpmc5wws8nf5jzl&amp;dl=0","Click to download SizeChart")</f>
      </c>
      <c r="C5269" s="0" t="inlineStr">
        <is>
          <t>Cindy Youth Twisted Shirt</t>
        </is>
      </c>
      <c r="D5269" s="0" t="inlineStr">
        <is>
          <t>'116415</t>
        </is>
      </c>
      <c r="E5269" s="0" t="inlineStr">
        <is>
          <t>UNI CINDY Y PURPLE:116415B-YS</t>
        </is>
      </c>
      <c r="F5269" s="0" t="inlineStr">
        <is>
          <t>'802116415019</t>
        </is>
      </c>
      <c r="G5269" s="0" t="inlineStr">
        <is>
          <t>YOUTH</t>
        </is>
      </c>
      <c r="H5269" s="0" t="inlineStr">
        <is>
          <t>YS</t>
        </is>
      </c>
      <c r="I5269" s="0">
        <v>24.99</v>
      </c>
      <c r="J5269" s="0">
        <v>16</v>
      </c>
    </row>
    <row r="5270" spans="1:10" customHeight="0">
      <c r="A5270" s="0">
        <f>HYPERLINK("https://dl.dropboxusercontent.com/scl/fi/py5uzs6z1qv7u3hwjutc0/116414af.jpg?rlkey=ccqwdds7w4pi4hk5ufqizt9pz&amp;dl=0","Click to download Image")</f>
      </c>
      <c r="B5270" s="0">
        <f>HYPERLINK("https://dl.dropboxusercontent.com/scl/fi/ty1oqodjeenqhchlxxhgl/graphic-update22022-youth.jpg?rlkey=y8v46b4ix0lpmc5wws8nf5jzl&amp;dl=0","Click to download SizeChart")</f>
      </c>
      <c r="C5270" s="0" t="inlineStr">
        <is>
          <t>Cindy Youth Twisted Shirt</t>
        </is>
      </c>
      <c r="D5270" s="0" t="inlineStr">
        <is>
          <t>'116415</t>
        </is>
      </c>
      <c r="E5270" s="0" t="inlineStr">
        <is>
          <t>UNI CINDY Y PURPLE:116415C-YM</t>
        </is>
      </c>
      <c r="F5270" s="0" t="inlineStr">
        <is>
          <t>'802116415026</t>
        </is>
      </c>
      <c r="G5270" s="0" t="inlineStr">
        <is>
          <t>YOUTH</t>
        </is>
      </c>
      <c r="H5270" s="0" t="inlineStr">
        <is>
          <t>YM</t>
        </is>
      </c>
      <c r="I5270" s="0">
        <v>24.99</v>
      </c>
      <c r="J5270" s="0">
        <v>15</v>
      </c>
    </row>
    <row r="5271" spans="1:10" customHeight="0">
      <c r="A5271" s="0">
        <f>HYPERLINK("https://dl.dropboxusercontent.com/scl/fi/py5uzs6z1qv7u3hwjutc0/116414af.jpg?rlkey=ccqwdds7w4pi4hk5ufqizt9pz&amp;dl=0","Click to download Image")</f>
      </c>
      <c r="B5271" s="0">
        <f>HYPERLINK("https://dl.dropboxusercontent.com/scl/fi/ty1oqodjeenqhchlxxhgl/graphic-update22022-youth.jpg?rlkey=y8v46b4ix0lpmc5wws8nf5jzl&amp;dl=0","Click to download SizeChart")</f>
      </c>
      <c r="C5271" s="0" t="inlineStr">
        <is>
          <t>Cindy Youth Twisted Shirt</t>
        </is>
      </c>
      <c r="D5271" s="0" t="inlineStr">
        <is>
          <t>'116415</t>
        </is>
      </c>
      <c r="E5271" s="0" t="inlineStr">
        <is>
          <t>UNI CINDY Y PURPLE:116415D-YL</t>
        </is>
      </c>
      <c r="F5271" s="0" t="inlineStr">
        <is>
          <t>'802116415033</t>
        </is>
      </c>
      <c r="G5271" s="0" t="inlineStr">
        <is>
          <t>YOUTH</t>
        </is>
      </c>
      <c r="H5271" s="0" t="inlineStr">
        <is>
          <t>YL</t>
        </is>
      </c>
      <c r="I5271" s="0">
        <v>24.99</v>
      </c>
      <c r="J5271" s="0">
        <v>14</v>
      </c>
    </row>
    <row r="5272" spans="1:10" customHeight="0">
      <c r="A5272" s="0">
        <f>HYPERLINK("https://dl.dropboxusercontent.com/scl/fi/py5uzs6z1qv7u3hwjutc0/116414af.jpg?rlkey=ccqwdds7w4pi4hk5ufqizt9pz&amp;dl=0","Click to download Image")</f>
      </c>
      <c r="B5272" s="0">
        <f>HYPERLINK("https://dl.dropboxusercontent.com/scl/fi/ty1oqodjeenqhchlxxhgl/graphic-update22022-youth.jpg?rlkey=y8v46b4ix0lpmc5wws8nf5jzl&amp;dl=0","Click to download SizeChart")</f>
      </c>
      <c r="C5272" s="0" t="inlineStr">
        <is>
          <t>Cindy Youth Twisted Shirt</t>
        </is>
      </c>
      <c r="D5272" s="0" t="inlineStr">
        <is>
          <t>'116415</t>
        </is>
      </c>
      <c r="E5272" s="0" t="inlineStr">
        <is>
          <t>UNI CINDY Y PURPLE:116415E-YXL</t>
        </is>
      </c>
      <c r="F5272" s="0" t="inlineStr">
        <is>
          <t>'802116415040</t>
        </is>
      </c>
      <c r="G5272" s="0" t="inlineStr">
        <is>
          <t>YOUTH</t>
        </is>
      </c>
      <c r="H5272" s="0" t="inlineStr">
        <is>
          <t>YXL</t>
        </is>
      </c>
      <c r="I5272" s="0">
        <v>24.99</v>
      </c>
      <c r="J5272" s="0">
        <v>15</v>
      </c>
    </row>
    <row r="5273" spans="1:10" customHeight="0">
      <c r="A5273" s="0">
        <f>HYPERLINK("https://dl.dropboxusercontent.com/scl/fi/py5uzs6z1qv7u3hwjutc0/116414af.jpg?rlkey=ccqwdds7w4pi4hk5ufqizt9pz&amp;dl=0","Click to download Image")</f>
      </c>
      <c r="B5273" s="0">
        <f>HYPERLINK("https://dl.dropboxusercontent.com/scl/fi/ty1oqodjeenqhchlxxhgl/graphic-update22022-youth.jpg?rlkey=y8v46b4ix0lpmc5wws8nf5jzl&amp;dl=0","Click to download SizeChart")</f>
      </c>
      <c r="C5273" s="0" t="inlineStr">
        <is>
          <t>Cindy Youth Twisted Shirt</t>
        </is>
      </c>
      <c r="D5273" s="0" t="inlineStr">
        <is>
          <t>'116415</t>
        </is>
      </c>
      <c r="E5273" s="0" t="inlineStr">
        <is>
          <t>UNI CINDY Y PURPLE 12 PACK:116415Z-12PK</t>
        </is>
      </c>
      <c r="F5273" s="0" t="inlineStr">
        <is>
          <t>'802116415996</t>
        </is>
      </c>
      <c r="G5273" s="0" t="inlineStr">
        <is>
          <t>YOUTH</t>
        </is>
      </c>
      <c r="H5273" s="0" t="inlineStr">
        <is>
          <t>12 PACK</t>
        </is>
      </c>
      <c r="I5273" s="0">
        <v>239.76</v>
      </c>
      <c r="J5273" s="0">
        <v>0</v>
      </c>
    </row>
    <row r="5274" spans="1:10" customHeight="0">
      <c r="A5274" s="0">
        <f>HYPERLINK("https://dl.dropboxusercontent.com/scl/fi/dwibksgybwr24uw3g78mh/valerie.jpg?rlkey=z06tsrckpb907xc5jh1jnozdj&amp;dl=0","Click to download Image")</f>
      </c>
      <c r="C5274" s="0" t="inlineStr">
        <is>
          <t>Valerie Toddler Lace Cap</t>
        </is>
      </c>
      <c r="D5274" s="0" t="inlineStr">
        <is>
          <t>'98908</t>
        </is>
      </c>
      <c r="E5274" s="0" t="inlineStr">
        <is>
          <t>VALERIE:98908</t>
        </is>
      </c>
      <c r="F5274" s="0" t="inlineStr">
        <is>
          <t>'000000000000</t>
        </is>
      </c>
      <c r="G5274" s="0" t="inlineStr">
        <is>
          <t>TODDLER</t>
        </is>
      </c>
      <c r="H5274" s="0" t="inlineStr">
        <is>
          <t>TODDLER</t>
        </is>
      </c>
      <c r="I5274" s="0">
        <v>24.99</v>
      </c>
      <c r="J5274" s="0">
        <v>24</v>
      </c>
    </row>
    <row r="5275" spans="1:10" customHeight="0">
      <c r="A5275" s="0">
        <f>HYPERLINK("https://dl.dropboxusercontent.com/scl/fi/58vm3303537axungsgxxn/91909af43752.jpg?rlkey=gdp1j36q3mt9qufnpxtjrsoil&amp;dl=0","Click to download Image")</f>
      </c>
      <c r="C5275" s="0" t="inlineStr">
        <is>
          <t>Fleece Drawstring Bag</t>
        </is>
      </c>
      <c r="D5275" s="0" t="inlineStr">
        <is>
          <t>'102843</t>
        </is>
      </c>
      <c r="E5275" s="0" t="inlineStr">
        <is>
          <t>UNI:102843-STRNG</t>
        </is>
      </c>
      <c r="F5275" s="0" t="inlineStr">
        <is>
          <t>'000000000000</t>
        </is>
      </c>
      <c r="H5275" s="0" t="inlineStr">
        <is>
          <t>OS</t>
        </is>
      </c>
      <c r="I5275" s="0">
        <v>29.99</v>
      </c>
      <c r="J5275" s="0">
        <v>83</v>
      </c>
    </row>
    <row r="5276" spans="1:10" customHeight="0">
      <c r="A5276" s="0">
        <f>HYPERLINK("https://dl.dropboxusercontent.com/scl/fi/1y3ckgtxabozcwqwnkg5s/91910-af.jpg?rlkey=8m07x64g5ba6ljcadl6tdgprn&amp;dl=0","Click to download Image")</f>
      </c>
      <c r="C5276" s="0" t="inlineStr">
        <is>
          <t>Fleece Drawstring Bag</t>
        </is>
      </c>
      <c r="D5276" s="0" t="inlineStr">
        <is>
          <t>'91910</t>
        </is>
      </c>
      <c r="E5276" s="0" t="inlineStr">
        <is>
          <t>BE BOLD:91910-STRNG</t>
        </is>
      </c>
      <c r="F5276" s="0" t="inlineStr">
        <is>
          <t>'000000000000</t>
        </is>
      </c>
      <c r="H5276" s="0" t="inlineStr">
        <is>
          <t>OS</t>
        </is>
      </c>
      <c r="I5276" s="0">
        <v>29.99</v>
      </c>
      <c r="J5276" s="0">
        <v>340</v>
      </c>
    </row>
    <row r="5277" spans="1:10" customHeight="0">
      <c r="A5277" s="0">
        <f>HYPERLINK("https://dl.dropboxusercontent.com/scl/fi/5ixyt2el0lzapcecsdzr5/img10262.jpg?rlkey=fcsobtzd6iq5i0w6lipsqonta&amp;dl=0","Click to download Image")</f>
      </c>
      <c r="B5277" s="0">
        <f>HYPERLINK("https://dl.dropboxusercontent.com/scl/fi/iqvi8q0582vf6kkjzxkkk/womens-size-chartsrosalynn.jpg?rlkey=gk8ovm1lfrt41aroabg8colqu&amp;dl=0","Click to download SizeChart")</f>
      </c>
      <c r="C5277" s="0" t="inlineStr">
        <is>
          <t>Rosalynn Women's Poly Shell Jacket</t>
        </is>
      </c>
      <c r="D5277" s="0" t="inlineStr">
        <is>
          <t>'106781</t>
        </is>
      </c>
      <c r="E5277" s="0" t="inlineStr">
        <is>
          <t>IA ROSALYNN:106781A-S</t>
        </is>
      </c>
      <c r="F5277" s="0" t="inlineStr">
        <is>
          <t>'800106781014</t>
        </is>
      </c>
      <c r="G5277" s="0" t="inlineStr">
        <is>
          <t>WOMENS</t>
        </is>
      </c>
      <c r="H5277" s="0" t="inlineStr">
        <is>
          <t>S</t>
        </is>
      </c>
      <c r="I5277" s="0">
        <v>89.99</v>
      </c>
      <c r="J5277" s="0">
        <v>14</v>
      </c>
    </row>
    <row r="5278" spans="1:10" customHeight="0">
      <c r="A5278" s="0">
        <f>HYPERLINK("https://dl.dropboxusercontent.com/scl/fi/5ixyt2el0lzapcecsdzr5/img10262.jpg?rlkey=fcsobtzd6iq5i0w6lipsqonta&amp;dl=0","Click to download Image")</f>
      </c>
      <c r="B5278" s="0">
        <f>HYPERLINK("https://dl.dropboxusercontent.com/scl/fi/iqvi8q0582vf6kkjzxkkk/womens-size-chartsrosalynn.jpg?rlkey=gk8ovm1lfrt41aroabg8colqu&amp;dl=0","Click to download SizeChart")</f>
      </c>
      <c r="C5278" s="0" t="inlineStr">
        <is>
          <t>Rosalynn Women's Poly Shell Jacket</t>
        </is>
      </c>
      <c r="D5278" s="0" t="inlineStr">
        <is>
          <t>'106781</t>
        </is>
      </c>
      <c r="E5278" s="0" t="inlineStr">
        <is>
          <t>IA ROSALYNN:106781B-M</t>
        </is>
      </c>
      <c r="F5278" s="0" t="inlineStr">
        <is>
          <t>'800106781021</t>
        </is>
      </c>
      <c r="G5278" s="0" t="inlineStr">
        <is>
          <t>WOMENS</t>
        </is>
      </c>
      <c r="H5278" s="0" t="inlineStr">
        <is>
          <t>M</t>
        </is>
      </c>
      <c r="I5278" s="0">
        <v>89.99</v>
      </c>
      <c r="J5278" s="0">
        <v>34</v>
      </c>
    </row>
    <row r="5279" spans="1:10" customHeight="0">
      <c r="A5279" s="0">
        <f>HYPERLINK("https://dl.dropboxusercontent.com/scl/fi/5ixyt2el0lzapcecsdzr5/img10262.jpg?rlkey=fcsobtzd6iq5i0w6lipsqonta&amp;dl=0","Click to download Image")</f>
      </c>
      <c r="B5279" s="0">
        <f>HYPERLINK("https://dl.dropboxusercontent.com/scl/fi/iqvi8q0582vf6kkjzxkkk/womens-size-chartsrosalynn.jpg?rlkey=gk8ovm1lfrt41aroabg8colqu&amp;dl=0","Click to download SizeChart")</f>
      </c>
      <c r="C5279" s="0" t="inlineStr">
        <is>
          <t>Rosalynn Women's Poly Shell Jacket</t>
        </is>
      </c>
      <c r="D5279" s="0" t="inlineStr">
        <is>
          <t>'106781</t>
        </is>
      </c>
      <c r="E5279" s="0" t="inlineStr">
        <is>
          <t>IA ROSALYNN:106781C-L</t>
        </is>
      </c>
      <c r="F5279" s="0" t="inlineStr">
        <is>
          <t>'800106781038</t>
        </is>
      </c>
      <c r="G5279" s="0" t="inlineStr">
        <is>
          <t>WOMENS</t>
        </is>
      </c>
      <c r="H5279" s="0" t="inlineStr">
        <is>
          <t>L</t>
        </is>
      </c>
      <c r="I5279" s="0">
        <v>89.99</v>
      </c>
      <c r="J5279" s="0">
        <v>26</v>
      </c>
    </row>
    <row r="5280" spans="1:10" customHeight="0">
      <c r="A5280" s="0">
        <f>HYPERLINK("https://dl.dropboxusercontent.com/scl/fi/5ixyt2el0lzapcecsdzr5/img10262.jpg?rlkey=fcsobtzd6iq5i0w6lipsqonta&amp;dl=0","Click to download Image")</f>
      </c>
      <c r="B5280" s="0">
        <f>HYPERLINK("https://dl.dropboxusercontent.com/scl/fi/iqvi8q0582vf6kkjzxkkk/womens-size-chartsrosalynn.jpg?rlkey=gk8ovm1lfrt41aroabg8colqu&amp;dl=0","Click to download SizeChart")</f>
      </c>
      <c r="C5280" s="0" t="inlineStr">
        <is>
          <t>Rosalynn Women's Poly Shell Jacket</t>
        </is>
      </c>
      <c r="D5280" s="0" t="inlineStr">
        <is>
          <t>'106781</t>
        </is>
      </c>
      <c r="E5280" s="0" t="inlineStr">
        <is>
          <t>IA ROSALYNN:106781D-XL</t>
        </is>
      </c>
      <c r="F5280" s="0" t="inlineStr">
        <is>
          <t>'800106781045</t>
        </is>
      </c>
      <c r="G5280" s="0" t="inlineStr">
        <is>
          <t>WOMENS</t>
        </is>
      </c>
      <c r="H5280" s="0" t="inlineStr">
        <is>
          <t>XL</t>
        </is>
      </c>
      <c r="I5280" s="0">
        <v>89.99</v>
      </c>
      <c r="J5280" s="0">
        <v>0</v>
      </c>
    </row>
    <row r="5281" spans="1:10" customHeight="0">
      <c r="A5281" s="0">
        <f>HYPERLINK("https://dl.dropboxusercontent.com/scl/fi/5ixyt2el0lzapcecsdzr5/img10262.jpg?rlkey=fcsobtzd6iq5i0w6lipsqonta&amp;dl=0","Click to download Image")</f>
      </c>
      <c r="B5281" s="0">
        <f>HYPERLINK("https://dl.dropboxusercontent.com/scl/fi/iqvi8q0582vf6kkjzxkkk/womens-size-chartsrosalynn.jpg?rlkey=gk8ovm1lfrt41aroabg8colqu&amp;dl=0","Click to download SizeChart")</f>
      </c>
      <c r="C5281" s="0" t="inlineStr">
        <is>
          <t>Rosalynn Women's Poly Shell Jacket</t>
        </is>
      </c>
      <c r="D5281" s="0" t="inlineStr">
        <is>
          <t>'106781</t>
        </is>
      </c>
      <c r="E5281" s="0" t="inlineStr">
        <is>
          <t>IA ROSALYNN:106781E-2XL</t>
        </is>
      </c>
      <c r="F5281" s="0" t="inlineStr">
        <is>
          <t>'800106781052</t>
        </is>
      </c>
      <c r="G5281" s="0" t="inlineStr">
        <is>
          <t>WOMENS</t>
        </is>
      </c>
      <c r="H5281" s="0" t="inlineStr">
        <is>
          <t>2XL</t>
        </is>
      </c>
      <c r="I5281" s="0">
        <v>91.99</v>
      </c>
      <c r="J5281" s="0">
        <v>0</v>
      </c>
    </row>
    <row r="5282" spans="1:10" customHeight="0">
      <c r="A5282" s="0">
        <f>HYPERLINK("https://dl.dropboxusercontent.com/scl/fi/5ixyt2el0lzapcecsdzr5/img10262.jpg?rlkey=fcsobtzd6iq5i0w6lipsqonta&amp;dl=0","Click to download Image")</f>
      </c>
      <c r="B5282" s="0">
        <f>HYPERLINK("https://dl.dropboxusercontent.com/scl/fi/iqvi8q0582vf6kkjzxkkk/womens-size-chartsrosalynn.jpg?rlkey=gk8ovm1lfrt41aroabg8colqu&amp;dl=0","Click to download SizeChart")</f>
      </c>
      <c r="C5282" s="0" t="inlineStr">
        <is>
          <t>Rosalynn Women's Poly Shell Jacket</t>
        </is>
      </c>
      <c r="D5282" s="0" t="inlineStr">
        <is>
          <t>'106781</t>
        </is>
      </c>
      <c r="E5282" s="0" t="inlineStr">
        <is>
          <t>IA ROSALYNN:106781F-3XL</t>
        </is>
      </c>
      <c r="F5282" s="0" t="inlineStr">
        <is>
          <t>'800106781069</t>
        </is>
      </c>
      <c r="G5282" s="0" t="inlineStr">
        <is>
          <t>WOMENS</t>
        </is>
      </c>
      <c r="H5282" s="0" t="inlineStr">
        <is>
          <t>3XL</t>
        </is>
      </c>
      <c r="I5282" s="0">
        <v>91.99</v>
      </c>
      <c r="J5282" s="0">
        <v>5</v>
      </c>
    </row>
    <row r="5283" spans="1:10" customHeight="0">
      <c r="A5283" s="0">
        <f>HYPERLINK("https://dl.dropboxusercontent.com/scl/fi/898hyewlpqguwhwzu3fzi/108932-af.jpg?rlkey=jikpaazx9w1rtk3s3rtqtpzw6&amp;dl=0","Click to download Image")</f>
      </c>
      <c r="B5283" s="0">
        <f>HYPERLINK("https://dl.dropboxusercontent.com/scl/fi/iqvi8q0582vf6kkjzxkkk/womens-size-chartsrosalynn.jpg?rlkey=gk8ovm1lfrt41aroabg8colqu&amp;dl=0","Click to download SizeChart")</f>
      </c>
      <c r="C5283" s="0" t="inlineStr">
        <is>
          <t>Rosalynn Women's Poly Shell Jacket</t>
        </is>
      </c>
      <c r="D5283" s="0" t="inlineStr">
        <is>
          <t>'108932</t>
        </is>
      </c>
      <c r="E5283" s="0" t="inlineStr">
        <is>
          <t>ISU ROSALYNN:108932A-S</t>
        </is>
      </c>
      <c r="F5283" s="0" t="inlineStr">
        <is>
          <t>'800108932018</t>
        </is>
      </c>
      <c r="G5283" s="0" t="inlineStr">
        <is>
          <t>WOMENS</t>
        </is>
      </c>
      <c r="H5283" s="0" t="inlineStr">
        <is>
          <t>S</t>
        </is>
      </c>
      <c r="I5283" s="0">
        <v>89.99</v>
      </c>
      <c r="J5283" s="0">
        <v>6</v>
      </c>
    </row>
    <row r="5284" spans="1:10" customHeight="0">
      <c r="A5284" s="0">
        <f>HYPERLINK("https://dl.dropboxusercontent.com/scl/fi/898hyewlpqguwhwzu3fzi/108932-af.jpg?rlkey=jikpaazx9w1rtk3s3rtqtpzw6&amp;dl=0","Click to download Image")</f>
      </c>
      <c r="B5284" s="0">
        <f>HYPERLINK("https://dl.dropboxusercontent.com/scl/fi/iqvi8q0582vf6kkjzxkkk/womens-size-chartsrosalynn.jpg?rlkey=gk8ovm1lfrt41aroabg8colqu&amp;dl=0","Click to download SizeChart")</f>
      </c>
      <c r="C5284" s="0" t="inlineStr">
        <is>
          <t>Rosalynn Women's Poly Shell Jacket</t>
        </is>
      </c>
      <c r="D5284" s="0" t="inlineStr">
        <is>
          <t>'108932</t>
        </is>
      </c>
      <c r="E5284" s="0" t="inlineStr">
        <is>
          <t>ISU ROSALYNN:108932B-M</t>
        </is>
      </c>
      <c r="F5284" s="0" t="inlineStr">
        <is>
          <t>'800108932025</t>
        </is>
      </c>
      <c r="G5284" s="0" t="inlineStr">
        <is>
          <t>WOMENS</t>
        </is>
      </c>
      <c r="H5284" s="0" t="inlineStr">
        <is>
          <t>M</t>
        </is>
      </c>
      <c r="I5284" s="0">
        <v>89.99</v>
      </c>
      <c r="J5284" s="0">
        <v>14</v>
      </c>
    </row>
    <row r="5285" spans="1:10" customHeight="0">
      <c r="A5285" s="0">
        <f>HYPERLINK("https://dl.dropboxusercontent.com/scl/fi/898hyewlpqguwhwzu3fzi/108932-af.jpg?rlkey=jikpaazx9w1rtk3s3rtqtpzw6&amp;dl=0","Click to download Image")</f>
      </c>
      <c r="B5285" s="0">
        <f>HYPERLINK("https://dl.dropboxusercontent.com/scl/fi/iqvi8q0582vf6kkjzxkkk/womens-size-chartsrosalynn.jpg?rlkey=gk8ovm1lfrt41aroabg8colqu&amp;dl=0","Click to download SizeChart")</f>
      </c>
      <c r="C5285" s="0" t="inlineStr">
        <is>
          <t>Rosalynn Women's Poly Shell Jacket</t>
        </is>
      </c>
      <c r="D5285" s="0" t="inlineStr">
        <is>
          <t>'108932</t>
        </is>
      </c>
      <c r="E5285" s="0" t="inlineStr">
        <is>
          <t>ISU ROSALYNN:108932C-L</t>
        </is>
      </c>
      <c r="F5285" s="0" t="inlineStr">
        <is>
          <t>'800108932032</t>
        </is>
      </c>
      <c r="G5285" s="0" t="inlineStr">
        <is>
          <t>WOMENS</t>
        </is>
      </c>
      <c r="H5285" s="0" t="inlineStr">
        <is>
          <t>L</t>
        </is>
      </c>
      <c r="I5285" s="0">
        <v>89.99</v>
      </c>
      <c r="J5285" s="0">
        <v>13</v>
      </c>
    </row>
    <row r="5286" spans="1:10" customHeight="0">
      <c r="A5286" s="0">
        <f>HYPERLINK("https://dl.dropboxusercontent.com/scl/fi/898hyewlpqguwhwzu3fzi/108932-af.jpg?rlkey=jikpaazx9w1rtk3s3rtqtpzw6&amp;dl=0","Click to download Image")</f>
      </c>
      <c r="B5286" s="0">
        <f>HYPERLINK("https://dl.dropboxusercontent.com/scl/fi/iqvi8q0582vf6kkjzxkkk/womens-size-chartsrosalynn.jpg?rlkey=gk8ovm1lfrt41aroabg8colqu&amp;dl=0","Click to download SizeChart")</f>
      </c>
      <c r="C5286" s="0" t="inlineStr">
        <is>
          <t>Rosalynn Women's Poly Shell Jacket</t>
        </is>
      </c>
      <c r="D5286" s="0" t="inlineStr">
        <is>
          <t>'108932</t>
        </is>
      </c>
      <c r="E5286" s="0" t="inlineStr">
        <is>
          <t>ISU ROSALYNN:108932D-XL</t>
        </is>
      </c>
      <c r="F5286" s="0" t="inlineStr">
        <is>
          <t>'800108932049</t>
        </is>
      </c>
      <c r="G5286" s="0" t="inlineStr">
        <is>
          <t>WOMENS</t>
        </is>
      </c>
      <c r="H5286" s="0" t="inlineStr">
        <is>
          <t>XL</t>
        </is>
      </c>
      <c r="I5286" s="0">
        <v>89.99</v>
      </c>
      <c r="J5286" s="0">
        <v>1</v>
      </c>
    </row>
    <row r="5287" spans="1:10" customHeight="0">
      <c r="A5287" s="0">
        <f>HYPERLINK("https://dl.dropboxusercontent.com/scl/fi/898hyewlpqguwhwzu3fzi/108932-af.jpg?rlkey=jikpaazx9w1rtk3s3rtqtpzw6&amp;dl=0","Click to download Image")</f>
      </c>
      <c r="B5287" s="0">
        <f>HYPERLINK("https://dl.dropboxusercontent.com/scl/fi/iqvi8q0582vf6kkjzxkkk/womens-size-chartsrosalynn.jpg?rlkey=gk8ovm1lfrt41aroabg8colqu&amp;dl=0","Click to download SizeChart")</f>
      </c>
      <c r="C5287" s="0" t="inlineStr">
        <is>
          <t>Rosalynn Women's Poly Shell Jacket</t>
        </is>
      </c>
      <c r="D5287" s="0" t="inlineStr">
        <is>
          <t>'108932</t>
        </is>
      </c>
      <c r="E5287" s="0" t="inlineStr">
        <is>
          <t>ISU ROSALYNN:108932E-2XL</t>
        </is>
      </c>
      <c r="F5287" s="0" t="inlineStr">
        <is>
          <t>'800108932056</t>
        </is>
      </c>
      <c r="G5287" s="0" t="inlineStr">
        <is>
          <t>WOMENS</t>
        </is>
      </c>
      <c r="H5287" s="0" t="inlineStr">
        <is>
          <t>2XL</t>
        </is>
      </c>
      <c r="I5287" s="0">
        <v>91.99</v>
      </c>
      <c r="J5287" s="0">
        <v>1</v>
      </c>
    </row>
    <row r="5288" spans="1:10" customHeight="0">
      <c r="A5288" s="0">
        <f>HYPERLINK("https://dl.dropboxusercontent.com/scl/fi/898hyewlpqguwhwzu3fzi/108932-af.jpg?rlkey=jikpaazx9w1rtk3s3rtqtpzw6&amp;dl=0","Click to download Image")</f>
      </c>
      <c r="B5288" s="0">
        <f>HYPERLINK("https://dl.dropboxusercontent.com/scl/fi/iqvi8q0582vf6kkjzxkkk/womens-size-chartsrosalynn.jpg?rlkey=gk8ovm1lfrt41aroabg8colqu&amp;dl=0","Click to download SizeChart")</f>
      </c>
      <c r="C5288" s="0" t="inlineStr">
        <is>
          <t>Rosalynn Women's Poly Shell Jacket</t>
        </is>
      </c>
      <c r="D5288" s="0" t="inlineStr">
        <is>
          <t>'108932</t>
        </is>
      </c>
      <c r="E5288" s="0" t="inlineStr">
        <is>
          <t>ISU ROSALYNN:108932F-3XL</t>
        </is>
      </c>
      <c r="F5288" s="0" t="inlineStr">
        <is>
          <t>'800108932063</t>
        </is>
      </c>
      <c r="G5288" s="0" t="inlineStr">
        <is>
          <t>WOMENS</t>
        </is>
      </c>
      <c r="H5288" s="0" t="inlineStr">
        <is>
          <t>3XL</t>
        </is>
      </c>
      <c r="I5288" s="0">
        <v>91.99</v>
      </c>
      <c r="J5288" s="0">
        <v>3</v>
      </c>
    </row>
    <row r="5289" spans="1:10" customHeight="0">
      <c r="A5289" s="0">
        <f>HYPERLINK("https://dl.dropboxusercontent.com/scl/fi/rzkt6wdadezpiuxjdwsut/108934-af.jpg?rlkey=sjzl902fo9dkl992s5pbedkp7&amp;dl=0","Click to download Image")</f>
      </c>
      <c r="B5289" s="0">
        <f>HYPERLINK("https://dl.dropboxusercontent.com/scl/fi/iqvi8q0582vf6kkjzxkkk/womens-size-chartsrosalynn.jpg?rlkey=gk8ovm1lfrt41aroabg8colqu&amp;dl=0","Click to download SizeChart")</f>
      </c>
      <c r="C5289" s="0" t="inlineStr">
        <is>
          <t>Rosalynn Women's Poly Shell Jacket</t>
        </is>
      </c>
      <c r="D5289" s="0" t="inlineStr">
        <is>
          <t>'108934</t>
        </is>
      </c>
      <c r="E5289" s="0" t="inlineStr">
        <is>
          <t>UNI ROSALYNN:108934A-S</t>
        </is>
      </c>
      <c r="F5289" s="0" t="inlineStr">
        <is>
          <t>'800108934012</t>
        </is>
      </c>
      <c r="G5289" s="0" t="inlineStr">
        <is>
          <t>WOMENS</t>
        </is>
      </c>
      <c r="H5289" s="0" t="inlineStr">
        <is>
          <t>S</t>
        </is>
      </c>
      <c r="I5289" s="0">
        <v>89.99</v>
      </c>
      <c r="J5289" s="0">
        <v>2</v>
      </c>
    </row>
    <row r="5290" spans="1:10" customHeight="0">
      <c r="A5290" s="0">
        <f>HYPERLINK("https://dl.dropboxusercontent.com/scl/fi/rzkt6wdadezpiuxjdwsut/108934-af.jpg?rlkey=sjzl902fo9dkl992s5pbedkp7&amp;dl=0","Click to download Image")</f>
      </c>
      <c r="B5290" s="0">
        <f>HYPERLINK("https://dl.dropboxusercontent.com/scl/fi/iqvi8q0582vf6kkjzxkkk/womens-size-chartsrosalynn.jpg?rlkey=gk8ovm1lfrt41aroabg8colqu&amp;dl=0","Click to download SizeChart")</f>
      </c>
      <c r="C5290" s="0" t="inlineStr">
        <is>
          <t>Rosalynn Women's Poly Shell Jacket</t>
        </is>
      </c>
      <c r="D5290" s="0" t="inlineStr">
        <is>
          <t>'108934</t>
        </is>
      </c>
      <c r="E5290" s="0" t="inlineStr">
        <is>
          <t>UNI ROSALYNN:108934B-M</t>
        </is>
      </c>
      <c r="F5290" s="0" t="inlineStr">
        <is>
          <t>'800108934029</t>
        </is>
      </c>
      <c r="G5290" s="0" t="inlineStr">
        <is>
          <t>WOMENS</t>
        </is>
      </c>
      <c r="H5290" s="0" t="inlineStr">
        <is>
          <t>M</t>
        </is>
      </c>
      <c r="I5290" s="0">
        <v>89.99</v>
      </c>
      <c r="J5290" s="0">
        <v>11</v>
      </c>
    </row>
    <row r="5291" spans="1:10" customHeight="0">
      <c r="A5291" s="0">
        <f>HYPERLINK("https://dl.dropboxusercontent.com/scl/fi/rzkt6wdadezpiuxjdwsut/108934-af.jpg?rlkey=sjzl902fo9dkl992s5pbedkp7&amp;dl=0","Click to download Image")</f>
      </c>
      <c r="B5291" s="0">
        <f>HYPERLINK("https://dl.dropboxusercontent.com/scl/fi/iqvi8q0582vf6kkjzxkkk/womens-size-chartsrosalynn.jpg?rlkey=gk8ovm1lfrt41aroabg8colqu&amp;dl=0","Click to download SizeChart")</f>
      </c>
      <c r="C5291" s="0" t="inlineStr">
        <is>
          <t>Rosalynn Women's Poly Shell Jacket</t>
        </is>
      </c>
      <c r="D5291" s="0" t="inlineStr">
        <is>
          <t>'108934</t>
        </is>
      </c>
      <c r="E5291" s="0" t="inlineStr">
        <is>
          <t>UNI ROSALYNN:108934C-L</t>
        </is>
      </c>
      <c r="F5291" s="0" t="inlineStr">
        <is>
          <t>'800108934036</t>
        </is>
      </c>
      <c r="G5291" s="0" t="inlineStr">
        <is>
          <t>WOMENS</t>
        </is>
      </c>
      <c r="H5291" s="0" t="inlineStr">
        <is>
          <t>L</t>
        </is>
      </c>
      <c r="I5291" s="0">
        <v>89.99</v>
      </c>
      <c r="J5291" s="0">
        <v>9</v>
      </c>
    </row>
    <row r="5292" spans="1:10" customHeight="0">
      <c r="A5292" s="0">
        <f>HYPERLINK("https://dl.dropboxusercontent.com/scl/fi/rzkt6wdadezpiuxjdwsut/108934-af.jpg?rlkey=sjzl902fo9dkl992s5pbedkp7&amp;dl=0","Click to download Image")</f>
      </c>
      <c r="B5292" s="0">
        <f>HYPERLINK("https://dl.dropboxusercontent.com/scl/fi/iqvi8q0582vf6kkjzxkkk/womens-size-chartsrosalynn.jpg?rlkey=gk8ovm1lfrt41aroabg8colqu&amp;dl=0","Click to download SizeChart")</f>
      </c>
      <c r="C5292" s="0" t="inlineStr">
        <is>
          <t>Rosalynn Women's Poly Shell Jacket</t>
        </is>
      </c>
      <c r="D5292" s="0" t="inlineStr">
        <is>
          <t>'108934</t>
        </is>
      </c>
      <c r="E5292" s="0" t="inlineStr">
        <is>
          <t>UNI ROSALYNN:108934D-XL</t>
        </is>
      </c>
      <c r="F5292" s="0" t="inlineStr">
        <is>
          <t>'800108934043</t>
        </is>
      </c>
      <c r="G5292" s="0" t="inlineStr">
        <is>
          <t>WOMENS</t>
        </is>
      </c>
      <c r="H5292" s="0" t="inlineStr">
        <is>
          <t>XL</t>
        </is>
      </c>
      <c r="I5292" s="0">
        <v>89.99</v>
      </c>
      <c r="J5292" s="0">
        <v>5</v>
      </c>
    </row>
    <row r="5293" spans="1:10" customHeight="0">
      <c r="A5293" s="0">
        <f>HYPERLINK("https://dl.dropboxusercontent.com/scl/fi/rzkt6wdadezpiuxjdwsut/108934-af.jpg?rlkey=sjzl902fo9dkl992s5pbedkp7&amp;dl=0","Click to download Image")</f>
      </c>
      <c r="B5293" s="0">
        <f>HYPERLINK("https://dl.dropboxusercontent.com/scl/fi/iqvi8q0582vf6kkjzxkkk/womens-size-chartsrosalynn.jpg?rlkey=gk8ovm1lfrt41aroabg8colqu&amp;dl=0","Click to download SizeChart")</f>
      </c>
      <c r="C5293" s="0" t="inlineStr">
        <is>
          <t>Rosalynn Women's Poly Shell Jacket</t>
        </is>
      </c>
      <c r="D5293" s="0" t="inlineStr">
        <is>
          <t>'108934</t>
        </is>
      </c>
      <c r="E5293" s="0" t="inlineStr">
        <is>
          <t>UNI ROSALYNN:108934E-2XL</t>
        </is>
      </c>
      <c r="F5293" s="0" t="inlineStr">
        <is>
          <t>'800108934050</t>
        </is>
      </c>
      <c r="G5293" s="0" t="inlineStr">
        <is>
          <t>WOMENS</t>
        </is>
      </c>
      <c r="H5293" s="0" t="inlineStr">
        <is>
          <t>2XL</t>
        </is>
      </c>
      <c r="I5293" s="0">
        <v>91.99</v>
      </c>
      <c r="J5293" s="0">
        <v>0</v>
      </c>
    </row>
    <row r="5294" spans="1:10" customHeight="0">
      <c r="A5294" s="0">
        <f>HYPERLINK("https://dl.dropboxusercontent.com/scl/fi/rzkt6wdadezpiuxjdwsut/108934-af.jpg?rlkey=sjzl902fo9dkl992s5pbedkp7&amp;dl=0","Click to download Image")</f>
      </c>
      <c r="B5294" s="0">
        <f>HYPERLINK("https://dl.dropboxusercontent.com/scl/fi/iqvi8q0582vf6kkjzxkkk/womens-size-chartsrosalynn.jpg?rlkey=gk8ovm1lfrt41aroabg8colqu&amp;dl=0","Click to download SizeChart")</f>
      </c>
      <c r="C5294" s="0" t="inlineStr">
        <is>
          <t>Rosalynn Women's Poly Shell Jacket</t>
        </is>
      </c>
      <c r="D5294" s="0" t="inlineStr">
        <is>
          <t>'108934</t>
        </is>
      </c>
      <c r="E5294" s="0" t="inlineStr">
        <is>
          <t>UNI ROSALYNN:108934F-3XL</t>
        </is>
      </c>
      <c r="F5294" s="0" t="inlineStr">
        <is>
          <t>'800108934067</t>
        </is>
      </c>
      <c r="G5294" s="0" t="inlineStr">
        <is>
          <t>WOMENS</t>
        </is>
      </c>
      <c r="H5294" s="0" t="inlineStr">
        <is>
          <t>3XL</t>
        </is>
      </c>
      <c r="I5294" s="0">
        <v>91.99</v>
      </c>
      <c r="J5294" s="0">
        <v>2</v>
      </c>
    </row>
    <row r="5295" spans="1:10" customHeight="0">
      <c r="A5295" s="0">
        <f>HYPERLINK("https://dl.dropboxusercontent.com/scl/fi/clayub95nc9wwvh3pbb8i/109021-af.jpg?rlkey=4u8vcgnizrbx97eizs6at4hr1&amp;dl=0","Click to download Image")</f>
      </c>
      <c r="B5295" s="0">
        <f>HYPERLINK("https://dl.dropboxusercontent.com/scl/fi/iqvi8q0582vf6kkjzxkkk/womens-size-chartsrosalynn.jpg?rlkey=gk8ovm1lfrt41aroabg8colqu&amp;dl=0","Click to download SizeChart")</f>
      </c>
      <c r="C5295" s="0" t="inlineStr">
        <is>
          <t>Rosalynn Women's Poly Shell Jacket</t>
        </is>
      </c>
      <c r="D5295" s="0" t="inlineStr">
        <is>
          <t>'109021</t>
        </is>
      </c>
      <c r="E5295" s="0" t="inlineStr">
        <is>
          <t>PURDUE ROSALYNN:109021A-S</t>
        </is>
      </c>
      <c r="F5295" s="0" t="inlineStr">
        <is>
          <t>'800109021018</t>
        </is>
      </c>
      <c r="G5295" s="0" t="inlineStr">
        <is>
          <t>WOMENS</t>
        </is>
      </c>
      <c r="H5295" s="0" t="inlineStr">
        <is>
          <t>S</t>
        </is>
      </c>
      <c r="I5295" s="0">
        <v>89.99</v>
      </c>
      <c r="J5295" s="0">
        <v>8</v>
      </c>
    </row>
    <row r="5296" spans="1:10" customHeight="0">
      <c r="A5296" s="0">
        <f>HYPERLINK("https://dl.dropboxusercontent.com/scl/fi/clayub95nc9wwvh3pbb8i/109021-af.jpg?rlkey=4u8vcgnizrbx97eizs6at4hr1&amp;dl=0","Click to download Image")</f>
      </c>
      <c r="B5296" s="0">
        <f>HYPERLINK("https://dl.dropboxusercontent.com/scl/fi/iqvi8q0582vf6kkjzxkkk/womens-size-chartsrosalynn.jpg?rlkey=gk8ovm1lfrt41aroabg8colqu&amp;dl=0","Click to download SizeChart")</f>
      </c>
      <c r="C5296" s="0" t="inlineStr">
        <is>
          <t>Rosalynn Women's Poly Shell Jacket</t>
        </is>
      </c>
      <c r="D5296" s="0" t="inlineStr">
        <is>
          <t>'109021</t>
        </is>
      </c>
      <c r="E5296" s="0" t="inlineStr">
        <is>
          <t>PURDUE ROSALYNN:109021B-M</t>
        </is>
      </c>
      <c r="F5296" s="0" t="inlineStr">
        <is>
          <t>'800109021025</t>
        </is>
      </c>
      <c r="G5296" s="0" t="inlineStr">
        <is>
          <t>WOMENS</t>
        </is>
      </c>
      <c r="H5296" s="0" t="inlineStr">
        <is>
          <t>M</t>
        </is>
      </c>
      <c r="I5296" s="0">
        <v>89.99</v>
      </c>
      <c r="J5296" s="0">
        <v>14</v>
      </c>
    </row>
    <row r="5297" spans="1:10" customHeight="0">
      <c r="A5297" s="0">
        <f>HYPERLINK("https://dl.dropboxusercontent.com/scl/fi/clayub95nc9wwvh3pbb8i/109021-af.jpg?rlkey=4u8vcgnizrbx97eizs6at4hr1&amp;dl=0","Click to download Image")</f>
      </c>
      <c r="B5297" s="0">
        <f>HYPERLINK("https://dl.dropboxusercontent.com/scl/fi/iqvi8q0582vf6kkjzxkkk/womens-size-chartsrosalynn.jpg?rlkey=gk8ovm1lfrt41aroabg8colqu&amp;dl=0","Click to download SizeChart")</f>
      </c>
      <c r="C5297" s="0" t="inlineStr">
        <is>
          <t>Rosalynn Women's Poly Shell Jacket</t>
        </is>
      </c>
      <c r="D5297" s="0" t="inlineStr">
        <is>
          <t>'109021</t>
        </is>
      </c>
      <c r="E5297" s="0" t="inlineStr">
        <is>
          <t>PURDUE ROSALYNN:109021C-L</t>
        </is>
      </c>
      <c r="F5297" s="0" t="inlineStr">
        <is>
          <t>'800109021032</t>
        </is>
      </c>
      <c r="G5297" s="0" t="inlineStr">
        <is>
          <t>WOMENS</t>
        </is>
      </c>
      <c r="H5297" s="0" t="inlineStr">
        <is>
          <t>L</t>
        </is>
      </c>
      <c r="I5297" s="0">
        <v>89.99</v>
      </c>
      <c r="J5297" s="0">
        <v>12</v>
      </c>
    </row>
    <row r="5298" spans="1:10" customHeight="0">
      <c r="A5298" s="0">
        <f>HYPERLINK("https://dl.dropboxusercontent.com/scl/fi/clayub95nc9wwvh3pbb8i/109021-af.jpg?rlkey=4u8vcgnizrbx97eizs6at4hr1&amp;dl=0","Click to download Image")</f>
      </c>
      <c r="B5298" s="0">
        <f>HYPERLINK("https://dl.dropboxusercontent.com/scl/fi/iqvi8q0582vf6kkjzxkkk/womens-size-chartsrosalynn.jpg?rlkey=gk8ovm1lfrt41aroabg8colqu&amp;dl=0","Click to download SizeChart")</f>
      </c>
      <c r="C5298" s="0" t="inlineStr">
        <is>
          <t>Rosalynn Women's Poly Shell Jacket</t>
        </is>
      </c>
      <c r="D5298" s="0" t="inlineStr">
        <is>
          <t>'109021</t>
        </is>
      </c>
      <c r="E5298" s="0" t="inlineStr">
        <is>
          <t>PURDUE ROSALYNN:109021D-XL</t>
        </is>
      </c>
      <c r="F5298" s="0" t="inlineStr">
        <is>
          <t>'800109021049</t>
        </is>
      </c>
      <c r="G5298" s="0" t="inlineStr">
        <is>
          <t>WOMENS</t>
        </is>
      </c>
      <c r="H5298" s="0" t="inlineStr">
        <is>
          <t>XL</t>
        </is>
      </c>
      <c r="I5298" s="0">
        <v>89.99</v>
      </c>
      <c r="J5298" s="0">
        <v>8</v>
      </c>
    </row>
    <row r="5299" spans="1:10" customHeight="0">
      <c r="A5299" s="0">
        <f>HYPERLINK("https://dl.dropboxusercontent.com/scl/fi/clayub95nc9wwvh3pbb8i/109021-af.jpg?rlkey=4u8vcgnizrbx97eizs6at4hr1&amp;dl=0","Click to download Image")</f>
      </c>
      <c r="B5299" s="0">
        <f>HYPERLINK("https://dl.dropboxusercontent.com/scl/fi/iqvi8q0582vf6kkjzxkkk/womens-size-chartsrosalynn.jpg?rlkey=gk8ovm1lfrt41aroabg8colqu&amp;dl=0","Click to download SizeChart")</f>
      </c>
      <c r="C5299" s="0" t="inlineStr">
        <is>
          <t>Rosalynn Women's Poly Shell Jacket</t>
        </is>
      </c>
      <c r="D5299" s="0" t="inlineStr">
        <is>
          <t>'109021</t>
        </is>
      </c>
      <c r="E5299" s="0" t="inlineStr">
        <is>
          <t>PURDUE ROSALYNN:109021E-2XL</t>
        </is>
      </c>
      <c r="F5299" s="0" t="inlineStr">
        <is>
          <t>'800109021056</t>
        </is>
      </c>
      <c r="G5299" s="0" t="inlineStr">
        <is>
          <t>WOMENS</t>
        </is>
      </c>
      <c r="H5299" s="0" t="inlineStr">
        <is>
          <t>2XL</t>
        </is>
      </c>
      <c r="I5299" s="0">
        <v>91.99</v>
      </c>
      <c r="J5299" s="0">
        <v>2</v>
      </c>
    </row>
    <row r="5300" spans="1:10" customHeight="0">
      <c r="A5300" s="0">
        <f>HYPERLINK("https://dl.dropboxusercontent.com/scl/fi/clayub95nc9wwvh3pbb8i/109021-af.jpg?rlkey=4u8vcgnizrbx97eizs6at4hr1&amp;dl=0","Click to download Image")</f>
      </c>
      <c r="B5300" s="0">
        <f>HYPERLINK("https://dl.dropboxusercontent.com/scl/fi/iqvi8q0582vf6kkjzxkkk/womens-size-chartsrosalynn.jpg?rlkey=gk8ovm1lfrt41aroabg8colqu&amp;dl=0","Click to download SizeChart")</f>
      </c>
      <c r="C5300" s="0" t="inlineStr">
        <is>
          <t>Rosalynn Women's Poly Shell Jacket</t>
        </is>
      </c>
      <c r="D5300" s="0" t="inlineStr">
        <is>
          <t>'109021</t>
        </is>
      </c>
      <c r="E5300" s="0" t="inlineStr">
        <is>
          <t>PURDUE ROSALYNN:109021F-3XL</t>
        </is>
      </c>
      <c r="F5300" s="0" t="inlineStr">
        <is>
          <t>'800109021063</t>
        </is>
      </c>
      <c r="G5300" s="0" t="inlineStr">
        <is>
          <t>WOMENS</t>
        </is>
      </c>
      <c r="H5300" s="0" t="inlineStr">
        <is>
          <t>3XL</t>
        </is>
      </c>
      <c r="I5300" s="0">
        <v>91.99</v>
      </c>
      <c r="J5300" s="0">
        <v>2</v>
      </c>
    </row>
    <row r="5301" spans="1:10" customHeight="0">
      <c r="A5301" s="0">
        <f>HYPERLINK("https://dl.dropboxusercontent.com/scl/fi/cgcch7essme2tw5xflmrm/109021-af.jpg?rlkey=l38w1mpcs946o4qex3tey0zl5&amp;dl=0","Click to download Image")</f>
      </c>
      <c r="B5301" s="0">
        <f>HYPERLINK("https://dl.dropboxusercontent.com/scl/fi/iqvi8q0582vf6kkjzxkkk/womens-size-chartsrosalynn.jpg?rlkey=gk8ovm1lfrt41aroabg8colqu&amp;dl=0","Click to download SizeChart")</f>
      </c>
      <c r="C5301" s="0" t="inlineStr">
        <is>
          <t>Rosalynn Women's Poly Shell Jacket</t>
        </is>
      </c>
      <c r="D5301" s="0" t="inlineStr">
        <is>
          <t>'109022</t>
        </is>
      </c>
      <c r="E5301" s="0" t="inlineStr">
        <is>
          <t>KSU ROSALYNN:109022A-S</t>
        </is>
      </c>
      <c r="F5301" s="0" t="inlineStr">
        <is>
          <t>'800109022015</t>
        </is>
      </c>
      <c r="G5301" s="0" t="inlineStr">
        <is>
          <t>WOMENS</t>
        </is>
      </c>
      <c r="H5301" s="0" t="inlineStr">
        <is>
          <t>S</t>
        </is>
      </c>
      <c r="I5301" s="0">
        <v>89.99</v>
      </c>
      <c r="J5301" s="0">
        <v>8</v>
      </c>
    </row>
    <row r="5302" spans="1:10" customHeight="0">
      <c r="A5302" s="0">
        <f>HYPERLINK("https://dl.dropboxusercontent.com/scl/fi/cgcch7essme2tw5xflmrm/109021-af.jpg?rlkey=l38w1mpcs946o4qex3tey0zl5&amp;dl=0","Click to download Image")</f>
      </c>
      <c r="B5302" s="0">
        <f>HYPERLINK("https://dl.dropboxusercontent.com/scl/fi/iqvi8q0582vf6kkjzxkkk/womens-size-chartsrosalynn.jpg?rlkey=gk8ovm1lfrt41aroabg8colqu&amp;dl=0","Click to download SizeChart")</f>
      </c>
      <c r="C5302" s="0" t="inlineStr">
        <is>
          <t>Rosalynn Women's Poly Shell Jacket</t>
        </is>
      </c>
      <c r="D5302" s="0" t="inlineStr">
        <is>
          <t>'109022</t>
        </is>
      </c>
      <c r="E5302" s="0" t="inlineStr">
        <is>
          <t>KSU ROSALYNN:109022B-M</t>
        </is>
      </c>
      <c r="F5302" s="0" t="inlineStr">
        <is>
          <t>'800109022022</t>
        </is>
      </c>
      <c r="G5302" s="0" t="inlineStr">
        <is>
          <t>WOMENS</t>
        </is>
      </c>
      <c r="H5302" s="0" t="inlineStr">
        <is>
          <t>M</t>
        </is>
      </c>
      <c r="I5302" s="0">
        <v>89.99</v>
      </c>
      <c r="J5302" s="0">
        <v>16</v>
      </c>
    </row>
    <row r="5303" spans="1:10" customHeight="0">
      <c r="A5303" s="0">
        <f>HYPERLINK("https://dl.dropboxusercontent.com/scl/fi/cgcch7essme2tw5xflmrm/109021-af.jpg?rlkey=l38w1mpcs946o4qex3tey0zl5&amp;dl=0","Click to download Image")</f>
      </c>
      <c r="B5303" s="0">
        <f>HYPERLINK("https://dl.dropboxusercontent.com/scl/fi/iqvi8q0582vf6kkjzxkkk/womens-size-chartsrosalynn.jpg?rlkey=gk8ovm1lfrt41aroabg8colqu&amp;dl=0","Click to download SizeChart")</f>
      </c>
      <c r="C5303" s="0" t="inlineStr">
        <is>
          <t>Rosalynn Women's Poly Shell Jacket</t>
        </is>
      </c>
      <c r="D5303" s="0" t="inlineStr">
        <is>
          <t>'109022</t>
        </is>
      </c>
      <c r="E5303" s="0" t="inlineStr">
        <is>
          <t>KSU ROSALYNN:109022C-L</t>
        </is>
      </c>
      <c r="F5303" s="0" t="inlineStr">
        <is>
          <t>'800109022039</t>
        </is>
      </c>
      <c r="G5303" s="0" t="inlineStr">
        <is>
          <t>WOMENS</t>
        </is>
      </c>
      <c r="H5303" s="0" t="inlineStr">
        <is>
          <t>L</t>
        </is>
      </c>
      <c r="I5303" s="0">
        <v>89.99</v>
      </c>
      <c r="J5303" s="0">
        <v>15</v>
      </c>
    </row>
    <row r="5304" spans="1:10" customHeight="0">
      <c r="A5304" s="0">
        <f>HYPERLINK("https://dl.dropboxusercontent.com/scl/fi/cgcch7essme2tw5xflmrm/109021-af.jpg?rlkey=l38w1mpcs946o4qex3tey0zl5&amp;dl=0","Click to download Image")</f>
      </c>
      <c r="B5304" s="0">
        <f>HYPERLINK("https://dl.dropboxusercontent.com/scl/fi/iqvi8q0582vf6kkjzxkkk/womens-size-chartsrosalynn.jpg?rlkey=gk8ovm1lfrt41aroabg8colqu&amp;dl=0","Click to download SizeChart")</f>
      </c>
      <c r="C5304" s="0" t="inlineStr">
        <is>
          <t>Rosalynn Women's Poly Shell Jacket</t>
        </is>
      </c>
      <c r="D5304" s="0" t="inlineStr">
        <is>
          <t>'109022</t>
        </is>
      </c>
      <c r="E5304" s="0" t="inlineStr">
        <is>
          <t>KSU ROSALYNN:109022D-XL</t>
        </is>
      </c>
      <c r="F5304" s="0" t="inlineStr">
        <is>
          <t>'800109022046</t>
        </is>
      </c>
      <c r="G5304" s="0" t="inlineStr">
        <is>
          <t>WOMENS</t>
        </is>
      </c>
      <c r="H5304" s="0" t="inlineStr">
        <is>
          <t>XL</t>
        </is>
      </c>
      <c r="I5304" s="0">
        <v>89.99</v>
      </c>
      <c r="J5304" s="0">
        <v>8</v>
      </c>
    </row>
    <row r="5305" spans="1:10" customHeight="0">
      <c r="A5305" s="0">
        <f>HYPERLINK("https://dl.dropboxusercontent.com/scl/fi/cgcch7essme2tw5xflmrm/109021-af.jpg?rlkey=l38w1mpcs946o4qex3tey0zl5&amp;dl=0","Click to download Image")</f>
      </c>
      <c r="B5305" s="0">
        <f>HYPERLINK("https://dl.dropboxusercontent.com/scl/fi/iqvi8q0582vf6kkjzxkkk/womens-size-chartsrosalynn.jpg?rlkey=gk8ovm1lfrt41aroabg8colqu&amp;dl=0","Click to download SizeChart")</f>
      </c>
      <c r="C5305" s="0" t="inlineStr">
        <is>
          <t>Rosalynn Women's Poly Shell Jacket</t>
        </is>
      </c>
      <c r="D5305" s="0" t="inlineStr">
        <is>
          <t>'109022</t>
        </is>
      </c>
      <c r="E5305" s="0" t="inlineStr">
        <is>
          <t>KSU ROSALYNN:109022E-2XL</t>
        </is>
      </c>
      <c r="F5305" s="0" t="inlineStr">
        <is>
          <t>'800109022053</t>
        </is>
      </c>
      <c r="G5305" s="0" t="inlineStr">
        <is>
          <t>WOMENS</t>
        </is>
      </c>
      <c r="H5305" s="0" t="inlineStr">
        <is>
          <t>2XL</t>
        </is>
      </c>
      <c r="I5305" s="0">
        <v>91.99</v>
      </c>
      <c r="J5305" s="0">
        <v>2</v>
      </c>
    </row>
    <row r="5306" spans="1:10" customHeight="0">
      <c r="A5306" s="0">
        <f>HYPERLINK("https://dl.dropboxusercontent.com/scl/fi/cgcch7essme2tw5xflmrm/109021-af.jpg?rlkey=l38w1mpcs946o4qex3tey0zl5&amp;dl=0","Click to download Image")</f>
      </c>
      <c r="B5306" s="0">
        <f>HYPERLINK("https://dl.dropboxusercontent.com/scl/fi/iqvi8q0582vf6kkjzxkkk/womens-size-chartsrosalynn.jpg?rlkey=gk8ovm1lfrt41aroabg8colqu&amp;dl=0","Click to download SizeChart")</f>
      </c>
      <c r="C5306" s="0" t="inlineStr">
        <is>
          <t>Rosalynn Women's Poly Shell Jacket</t>
        </is>
      </c>
      <c r="D5306" s="0" t="inlineStr">
        <is>
          <t>'109022</t>
        </is>
      </c>
      <c r="E5306" s="0" t="inlineStr">
        <is>
          <t>KSU ROSALYNN:109022F-3XL</t>
        </is>
      </c>
      <c r="F5306" s="0" t="inlineStr">
        <is>
          <t>'800109022060</t>
        </is>
      </c>
      <c r="G5306" s="0" t="inlineStr">
        <is>
          <t>WOMENS</t>
        </is>
      </c>
      <c r="H5306" s="0" t="inlineStr">
        <is>
          <t>3XL</t>
        </is>
      </c>
      <c r="I5306" s="0">
        <v>91.99</v>
      </c>
      <c r="J5306" s="0">
        <v>2</v>
      </c>
    </row>
    <row r="5307" spans="1:10" customHeight="0">
      <c r="A5307" s="0">
        <f>HYPERLINK("https://dl.dropboxusercontent.com/scl/fi/iiilosgrw24diltgaurwu/rosalynn.jpg?rlkey=kc3qpkz3k9ggh8zen5dj9j12t&amp;dl=0","Click to download Image")</f>
      </c>
      <c r="B5307" s="0">
        <f>HYPERLINK("https://dl.dropboxusercontent.com/scl/fi/iqvi8q0582vf6kkjzxkkk/womens-size-chartsrosalynn.jpg?rlkey=gk8ovm1lfrt41aroabg8colqu&amp;dl=0","Click to download SizeChart")</f>
      </c>
      <c r="C5307" s="0" t="inlineStr">
        <is>
          <t>Rosalynn Women's Poly Shell Jacket</t>
        </is>
      </c>
      <c r="D5307" s="0" t="inlineStr">
        <is>
          <t>'128800</t>
        </is>
      </c>
      <c r="E5307" s="0" t="inlineStr">
        <is>
          <t>DRK ROSALY W BK:128800A-S</t>
        </is>
      </c>
      <c r="F5307" s="0" t="inlineStr">
        <is>
          <t>'817128800043</t>
        </is>
      </c>
      <c r="G5307" s="0" t="inlineStr">
        <is>
          <t>WOMENS</t>
        </is>
      </c>
      <c r="H5307" s="0" t="inlineStr">
        <is>
          <t>S</t>
        </is>
      </c>
      <c r="I5307" s="0">
        <v>89.99</v>
      </c>
      <c r="J5307" s="0">
        <v>4</v>
      </c>
    </row>
    <row r="5308" spans="1:10" customHeight="0">
      <c r="A5308" s="0">
        <f>HYPERLINK("https://dl.dropboxusercontent.com/scl/fi/iiilosgrw24diltgaurwu/rosalynn.jpg?rlkey=kc3qpkz3k9ggh8zen5dj9j12t&amp;dl=0","Click to download Image")</f>
      </c>
      <c r="B5308" s="0">
        <f>HYPERLINK("https://dl.dropboxusercontent.com/scl/fi/iqvi8q0582vf6kkjzxkkk/womens-size-chartsrosalynn.jpg?rlkey=gk8ovm1lfrt41aroabg8colqu&amp;dl=0","Click to download SizeChart")</f>
      </c>
      <c r="C5308" s="0" t="inlineStr">
        <is>
          <t>Rosalynn Women's Poly Shell Jacket</t>
        </is>
      </c>
      <c r="D5308" s="0" t="inlineStr">
        <is>
          <t>'128800</t>
        </is>
      </c>
      <c r="E5308" s="0" t="inlineStr">
        <is>
          <t>DRK ROSALY W BK:128800B-M</t>
        </is>
      </c>
      <c r="F5308" s="0" t="inlineStr">
        <is>
          <t>'817128800050</t>
        </is>
      </c>
      <c r="G5308" s="0" t="inlineStr">
        <is>
          <t>WOMENS</t>
        </is>
      </c>
      <c r="H5308" s="0" t="inlineStr">
        <is>
          <t>M</t>
        </is>
      </c>
      <c r="I5308" s="0">
        <v>89.99</v>
      </c>
      <c r="J5308" s="0">
        <v>7</v>
      </c>
    </row>
    <row r="5309" spans="1:10" customHeight="0">
      <c r="A5309" s="0">
        <f>HYPERLINK("https://dl.dropboxusercontent.com/scl/fi/iiilosgrw24diltgaurwu/rosalynn.jpg?rlkey=kc3qpkz3k9ggh8zen5dj9j12t&amp;dl=0","Click to download Image")</f>
      </c>
      <c r="B5309" s="0">
        <f>HYPERLINK("https://dl.dropboxusercontent.com/scl/fi/iqvi8q0582vf6kkjzxkkk/womens-size-chartsrosalynn.jpg?rlkey=gk8ovm1lfrt41aroabg8colqu&amp;dl=0","Click to download SizeChart")</f>
      </c>
      <c r="C5309" s="0" t="inlineStr">
        <is>
          <t>Rosalynn Women's Poly Shell Jacket</t>
        </is>
      </c>
      <c r="D5309" s="0" t="inlineStr">
        <is>
          <t>'128800</t>
        </is>
      </c>
      <c r="E5309" s="0" t="inlineStr">
        <is>
          <t>DRK ROSALY W BK:128800C-L</t>
        </is>
      </c>
      <c r="F5309" s="0" t="inlineStr">
        <is>
          <t>'817128800067</t>
        </is>
      </c>
      <c r="G5309" s="0" t="inlineStr">
        <is>
          <t>WOMENS</t>
        </is>
      </c>
      <c r="H5309" s="0" t="inlineStr">
        <is>
          <t>L</t>
        </is>
      </c>
      <c r="I5309" s="0">
        <v>89.99</v>
      </c>
      <c r="J5309" s="0">
        <v>8</v>
      </c>
    </row>
    <row r="5310" spans="1:10" customHeight="0">
      <c r="A5310" s="0">
        <f>HYPERLINK("https://dl.dropboxusercontent.com/scl/fi/iiilosgrw24diltgaurwu/rosalynn.jpg?rlkey=kc3qpkz3k9ggh8zen5dj9j12t&amp;dl=0","Click to download Image")</f>
      </c>
      <c r="B5310" s="0">
        <f>HYPERLINK("https://dl.dropboxusercontent.com/scl/fi/iqvi8q0582vf6kkjzxkkk/womens-size-chartsrosalynn.jpg?rlkey=gk8ovm1lfrt41aroabg8colqu&amp;dl=0","Click to download SizeChart")</f>
      </c>
      <c r="C5310" s="0" t="inlineStr">
        <is>
          <t>Rosalynn Women's Poly Shell Jacket</t>
        </is>
      </c>
      <c r="D5310" s="0" t="inlineStr">
        <is>
          <t>'128800</t>
        </is>
      </c>
      <c r="E5310" s="0" t="inlineStr">
        <is>
          <t>DRK ROSALY W BK:128800D-XL</t>
        </is>
      </c>
      <c r="F5310" s="0" t="inlineStr">
        <is>
          <t>'817128800074</t>
        </is>
      </c>
      <c r="G5310" s="0" t="inlineStr">
        <is>
          <t>WOMENS</t>
        </is>
      </c>
      <c r="H5310" s="0" t="inlineStr">
        <is>
          <t>XL</t>
        </is>
      </c>
      <c r="I5310" s="0">
        <v>89.99</v>
      </c>
      <c r="J5310" s="0">
        <v>3</v>
      </c>
    </row>
    <row r="5311" spans="1:10" customHeight="0">
      <c r="A5311" s="0">
        <f>HYPERLINK("https://dl.dropboxusercontent.com/scl/fi/iiilosgrw24diltgaurwu/rosalynn.jpg?rlkey=kc3qpkz3k9ggh8zen5dj9j12t&amp;dl=0","Click to download Image")</f>
      </c>
      <c r="B5311" s="0">
        <f>HYPERLINK("https://dl.dropboxusercontent.com/scl/fi/iqvi8q0582vf6kkjzxkkk/womens-size-chartsrosalynn.jpg?rlkey=gk8ovm1lfrt41aroabg8colqu&amp;dl=0","Click to download SizeChart")</f>
      </c>
      <c r="C5311" s="0" t="inlineStr">
        <is>
          <t>Rosalynn Women's Poly Shell Jacket</t>
        </is>
      </c>
      <c r="D5311" s="0" t="inlineStr">
        <is>
          <t>'128800</t>
        </is>
      </c>
      <c r="E5311" s="0" t="inlineStr">
        <is>
          <t>DRK ROSALY W BK:128800E-2XL</t>
        </is>
      </c>
      <c r="F5311" s="0" t="inlineStr">
        <is>
          <t>'817128800081</t>
        </is>
      </c>
      <c r="G5311" s="0" t="inlineStr">
        <is>
          <t>WOMENS</t>
        </is>
      </c>
      <c r="H5311" s="0" t="inlineStr">
        <is>
          <t>2XL</t>
        </is>
      </c>
      <c r="I5311" s="0">
        <v>91.99</v>
      </c>
      <c r="J5311" s="0">
        <v>2</v>
      </c>
    </row>
    <row r="5312" spans="1:10" customHeight="0">
      <c r="A5312" s="0">
        <f>HYPERLINK("https://dl.dropboxusercontent.com/scl/fi/iiilosgrw24diltgaurwu/rosalynn.jpg?rlkey=kc3qpkz3k9ggh8zen5dj9j12t&amp;dl=0","Click to download Image")</f>
      </c>
      <c r="B5312" s="0">
        <f>HYPERLINK("https://dl.dropboxusercontent.com/scl/fi/iqvi8q0582vf6kkjzxkkk/womens-size-chartsrosalynn.jpg?rlkey=gk8ovm1lfrt41aroabg8colqu&amp;dl=0","Click to download SizeChart")</f>
      </c>
      <c r="C5312" s="0" t="inlineStr">
        <is>
          <t>Rosalynn Women's Poly Shell Jacket</t>
        </is>
      </c>
      <c r="D5312" s="0" t="inlineStr">
        <is>
          <t>'128800</t>
        </is>
      </c>
      <c r="E5312" s="0" t="inlineStr">
        <is>
          <t>DRK ROSALY W BK:128800F-3XL</t>
        </is>
      </c>
      <c r="F5312" s="0" t="inlineStr">
        <is>
          <t>'817128800098</t>
        </is>
      </c>
      <c r="G5312" s="0" t="inlineStr">
        <is>
          <t>WOMENS</t>
        </is>
      </c>
      <c r="H5312" s="0" t="inlineStr">
        <is>
          <t>3XL</t>
        </is>
      </c>
      <c r="I5312" s="0">
        <v>91.99</v>
      </c>
      <c r="J5312" s="0">
        <v>1</v>
      </c>
    </row>
    <row r="5313" spans="1:10" customHeight="0">
      <c r="A5313" s="0">
        <f>HYPERLINK("https://dl.dropboxusercontent.com/scl/fi/znd6fxxyp3ekwma8orhbs/100201af34014.jpg?rlkey=p79pao4jpp72gin4pz9dgwfhc&amp;dl=0","Click to download Image")</f>
      </c>
      <c r="C5313" s="0" t="inlineStr">
        <is>
          <t>Kayden Pom Beanie</t>
        </is>
      </c>
      <c r="D5313" s="0" t="inlineStr">
        <is>
          <t>'100201</t>
        </is>
      </c>
      <c r="E5313" s="0" t="inlineStr">
        <is>
          <t>KAYDEN:100201</t>
        </is>
      </c>
      <c r="F5313" s="0" t="inlineStr">
        <is>
          <t>'070010020101</t>
        </is>
      </c>
      <c r="G5313" s="0" t="inlineStr">
        <is>
          <t>MENS</t>
        </is>
      </c>
      <c r="H5313" s="0" t="inlineStr">
        <is>
          <t>STANDARD MENS</t>
        </is>
      </c>
      <c r="I5313" s="0">
        <v>19.99</v>
      </c>
      <c r="J5313" s="0">
        <v>33</v>
      </c>
    </row>
    <row r="5314" spans="1:10" customHeight="0">
      <c r="A5314" s="0">
        <f>HYPERLINK("https://dl.dropboxusercontent.com/scl/fi/375m32weqeh42oq799q66/toni.jpg?rlkey=r2tk8c1gad8wxfept6oslng4u&amp;dl=0","Click to download Image")</f>
      </c>
      <c r="B5314" s="0">
        <f>HYPERLINK("https://dl.dropboxusercontent.com/scl/fi/shd2rqtf75ch7nt7i49ni/mens-e.jpg?rlkey=xfke5eg0oofsmvfc9m1cm5okg&amp;dl=0","Click to download SizeChart")</f>
      </c>
      <c r="C5314" s="0" t="inlineStr">
        <is>
          <t>Toni Women's Tank Top</t>
        </is>
      </c>
      <c r="D5314" s="0" t="inlineStr">
        <is>
          <t>'94184</t>
        </is>
      </c>
      <c r="E5314" s="0" t="inlineStr">
        <is>
          <t>TONI TANK:94184A-S</t>
        </is>
      </c>
      <c r="F5314" s="0" t="inlineStr">
        <is>
          <t>'000000000000</t>
        </is>
      </c>
      <c r="G5314" s="0" t="inlineStr">
        <is>
          <t>WOMENS</t>
        </is>
      </c>
      <c r="H5314" s="0" t="inlineStr">
        <is>
          <t>S</t>
        </is>
      </c>
      <c r="I5314" s="0">
        <v>39.99</v>
      </c>
      <c r="J5314" s="0">
        <v>0</v>
      </c>
    </row>
    <row r="5315" spans="1:10" customHeight="0">
      <c r="A5315" s="0">
        <f>HYPERLINK("https://dl.dropboxusercontent.com/scl/fi/375m32weqeh42oq799q66/toni.jpg?rlkey=r2tk8c1gad8wxfept6oslng4u&amp;dl=0","Click to download Image")</f>
      </c>
      <c r="B5315" s="0">
        <f>HYPERLINK("https://dl.dropboxusercontent.com/scl/fi/shd2rqtf75ch7nt7i49ni/mens-e.jpg?rlkey=xfke5eg0oofsmvfc9m1cm5okg&amp;dl=0","Click to download SizeChart")</f>
      </c>
      <c r="C5315" s="0" t="inlineStr">
        <is>
          <t>Toni Women's Tank Top</t>
        </is>
      </c>
      <c r="D5315" s="0" t="inlineStr">
        <is>
          <t>'94184</t>
        </is>
      </c>
      <c r="E5315" s="0" t="inlineStr">
        <is>
          <t>TONI TANK:94184B-M</t>
        </is>
      </c>
      <c r="F5315" s="0" t="inlineStr">
        <is>
          <t>'000000000000</t>
        </is>
      </c>
      <c r="G5315" s="0" t="inlineStr">
        <is>
          <t>WOMENS</t>
        </is>
      </c>
      <c r="H5315" s="0" t="inlineStr">
        <is>
          <t>M</t>
        </is>
      </c>
      <c r="I5315" s="0">
        <v>39.99</v>
      </c>
      <c r="J5315" s="0">
        <v>9</v>
      </c>
    </row>
    <row r="5316" spans="1:10" customHeight="0">
      <c r="A5316" s="0">
        <f>HYPERLINK("https://dl.dropboxusercontent.com/scl/fi/375m32weqeh42oq799q66/toni.jpg?rlkey=r2tk8c1gad8wxfept6oslng4u&amp;dl=0","Click to download Image")</f>
      </c>
      <c r="B5316" s="0">
        <f>HYPERLINK("https://dl.dropboxusercontent.com/scl/fi/shd2rqtf75ch7nt7i49ni/mens-e.jpg?rlkey=xfke5eg0oofsmvfc9m1cm5okg&amp;dl=0","Click to download SizeChart")</f>
      </c>
      <c r="C5316" s="0" t="inlineStr">
        <is>
          <t>Toni Women's Tank Top</t>
        </is>
      </c>
      <c r="D5316" s="0" t="inlineStr">
        <is>
          <t>'94184</t>
        </is>
      </c>
      <c r="E5316" s="0" t="inlineStr">
        <is>
          <t>TONI TANK:94184C-L</t>
        </is>
      </c>
      <c r="F5316" s="0" t="inlineStr">
        <is>
          <t>'000000000000</t>
        </is>
      </c>
      <c r="G5316" s="0" t="inlineStr">
        <is>
          <t>WOMENS</t>
        </is>
      </c>
      <c r="H5316" s="0" t="inlineStr">
        <is>
          <t>L</t>
        </is>
      </c>
      <c r="I5316" s="0">
        <v>39.99</v>
      </c>
      <c r="J5316" s="0">
        <v>75</v>
      </c>
    </row>
    <row r="5317" spans="1:10" customHeight="0">
      <c r="A5317" s="0">
        <f>HYPERLINK("https://dl.dropboxusercontent.com/scl/fi/375m32weqeh42oq799q66/toni.jpg?rlkey=r2tk8c1gad8wxfept6oslng4u&amp;dl=0","Click to download Image")</f>
      </c>
      <c r="B5317" s="0">
        <f>HYPERLINK("https://dl.dropboxusercontent.com/scl/fi/shd2rqtf75ch7nt7i49ni/mens-e.jpg?rlkey=xfke5eg0oofsmvfc9m1cm5okg&amp;dl=0","Click to download SizeChart")</f>
      </c>
      <c r="C5317" s="0" t="inlineStr">
        <is>
          <t>Toni Women's Tank Top</t>
        </is>
      </c>
      <c r="D5317" s="0" t="inlineStr">
        <is>
          <t>'94184</t>
        </is>
      </c>
      <c r="E5317" s="0" t="inlineStr">
        <is>
          <t>TONI TANK:94184D-XL</t>
        </is>
      </c>
      <c r="F5317" s="0" t="inlineStr">
        <is>
          <t>'000000000000</t>
        </is>
      </c>
      <c r="G5317" s="0" t="inlineStr">
        <is>
          <t>WOMENS</t>
        </is>
      </c>
      <c r="H5317" s="0" t="inlineStr">
        <is>
          <t>XL</t>
        </is>
      </c>
      <c r="I5317" s="0">
        <v>39.99</v>
      </c>
      <c r="J5317" s="0">
        <v>81</v>
      </c>
    </row>
    <row r="5318" spans="1:10" customHeight="0">
      <c r="A5318" s="0">
        <f>HYPERLINK("https://dl.dropboxusercontent.com/scl/fi/375m32weqeh42oq799q66/toni.jpg?rlkey=r2tk8c1gad8wxfept6oslng4u&amp;dl=0","Click to download Image")</f>
      </c>
      <c r="B5318" s="0">
        <f>HYPERLINK("https://dl.dropboxusercontent.com/scl/fi/shd2rqtf75ch7nt7i49ni/mens-e.jpg?rlkey=xfke5eg0oofsmvfc9m1cm5okg&amp;dl=0","Click to download SizeChart")</f>
      </c>
      <c r="C5318" s="0" t="inlineStr">
        <is>
          <t>Toni Women's Tank Top</t>
        </is>
      </c>
      <c r="D5318" s="0" t="inlineStr">
        <is>
          <t>'94184</t>
        </is>
      </c>
      <c r="E5318" s="0" t="inlineStr">
        <is>
          <t>TONI TANK:94184E-2XL</t>
        </is>
      </c>
      <c r="F5318" s="0" t="inlineStr">
        <is>
          <t>'000000000000</t>
        </is>
      </c>
      <c r="G5318" s="0" t="inlineStr">
        <is>
          <t>WOMENS</t>
        </is>
      </c>
      <c r="H5318" s="0" t="inlineStr">
        <is>
          <t>2XL</t>
        </is>
      </c>
      <c r="I5318" s="0">
        <v>39.99</v>
      </c>
      <c r="J5318" s="0">
        <v>30</v>
      </c>
    </row>
    <row r="5319" spans="1:10" customHeight="0">
      <c r="A5319" s="0">
        <f>HYPERLINK("https://dl.dropboxusercontent.com/scl/fi/so88hlgpgc9s0pasy7bln/reversi.jpg?rlkey=m9npsaq5drshiphrobuv5uo0r&amp;dl=0","Click to download Image")</f>
      </c>
      <c r="C5319" s="0" t="inlineStr">
        <is>
          <t>Ian Reversible Men's Beanie</t>
        </is>
      </c>
      <c r="D5319" s="0" t="inlineStr">
        <is>
          <t>'100210</t>
        </is>
      </c>
      <c r="E5319" s="0" t="inlineStr">
        <is>
          <t>IAN:100210</t>
        </is>
      </c>
      <c r="F5319" s="0" t="inlineStr">
        <is>
          <t>'070010021001</t>
        </is>
      </c>
      <c r="G5319" s="0" t="inlineStr">
        <is>
          <t>MENS</t>
        </is>
      </c>
      <c r="H5319" s="0" t="inlineStr">
        <is>
          <t>STANDARD MENS</t>
        </is>
      </c>
      <c r="I5319" s="0">
        <v>15.99</v>
      </c>
      <c r="J5319" s="0">
        <v>101</v>
      </c>
    </row>
    <row r="5320" spans="1:10" customHeight="0">
      <c r="A5320" s="0">
        <f>HYPERLINK("https://dl.dropboxusercontent.com/scl/fi/xn24lb7dvrhlfgbbil2ke/107134af97273.jpg?rlkey=nhwwwxy8xhunknoi379pl7hl9&amp;dl=0","Click to download Image")</f>
      </c>
      <c r="B5320" s="0">
        <f>HYPERLINK("https://dl.dropboxusercontent.com/scl/fi/01yuqyuniut861zr9jkz1/8-19-youth.jpg?rlkey=6n0ehyjr8odd7jey72u01jjwq&amp;dl=0","Click to download SizeChart")</f>
      </c>
      <c r="C5320" s="0" t="inlineStr">
        <is>
          <t>Dixon Youth Long Sleeve</t>
        </is>
      </c>
      <c r="D5320" s="0" t="inlineStr">
        <is>
          <t>'107134</t>
        </is>
      </c>
      <c r="E5320" s="0" t="inlineStr">
        <is>
          <t>IA DIXON:107134B-YS</t>
        </is>
      </c>
      <c r="F5320" s="0" t="inlineStr">
        <is>
          <t>'800107134017</t>
        </is>
      </c>
      <c r="G5320" s="0" t="inlineStr">
        <is>
          <t>YOUTH</t>
        </is>
      </c>
      <c r="H5320" s="0" t="inlineStr">
        <is>
          <t>YS</t>
        </is>
      </c>
      <c r="I5320" s="0">
        <v>29.99</v>
      </c>
      <c r="J5320" s="0">
        <v>14</v>
      </c>
    </row>
    <row r="5321" spans="1:10" customHeight="0">
      <c r="A5321" s="0">
        <f>HYPERLINK("https://dl.dropboxusercontent.com/scl/fi/xn24lb7dvrhlfgbbil2ke/107134af97273.jpg?rlkey=nhwwwxy8xhunknoi379pl7hl9&amp;dl=0","Click to download Image")</f>
      </c>
      <c r="B5321" s="0">
        <f>HYPERLINK("https://dl.dropboxusercontent.com/scl/fi/01yuqyuniut861zr9jkz1/8-19-youth.jpg?rlkey=6n0ehyjr8odd7jey72u01jjwq&amp;dl=0","Click to download SizeChart")</f>
      </c>
      <c r="C5321" s="0" t="inlineStr">
        <is>
          <t>Dixon Youth Long Sleeve</t>
        </is>
      </c>
      <c r="D5321" s="0" t="inlineStr">
        <is>
          <t>'107134</t>
        </is>
      </c>
      <c r="E5321" s="0" t="inlineStr">
        <is>
          <t>IA DIXON:107134C-YM</t>
        </is>
      </c>
      <c r="F5321" s="0" t="inlineStr">
        <is>
          <t>'800107134024</t>
        </is>
      </c>
      <c r="G5321" s="0" t="inlineStr">
        <is>
          <t>YOUTH</t>
        </is>
      </c>
      <c r="H5321" s="0" t="inlineStr">
        <is>
          <t>YM</t>
        </is>
      </c>
      <c r="I5321" s="0">
        <v>29.99</v>
      </c>
      <c r="J5321" s="0">
        <v>13</v>
      </c>
    </row>
    <row r="5322" spans="1:10" customHeight="0">
      <c r="A5322" s="0">
        <f>HYPERLINK("https://dl.dropboxusercontent.com/scl/fi/xn24lb7dvrhlfgbbil2ke/107134af97273.jpg?rlkey=nhwwwxy8xhunknoi379pl7hl9&amp;dl=0","Click to download Image")</f>
      </c>
      <c r="B5322" s="0">
        <f>HYPERLINK("https://dl.dropboxusercontent.com/scl/fi/01yuqyuniut861zr9jkz1/8-19-youth.jpg?rlkey=6n0ehyjr8odd7jey72u01jjwq&amp;dl=0","Click to download SizeChart")</f>
      </c>
      <c r="C5322" s="0" t="inlineStr">
        <is>
          <t>Dixon Youth Long Sleeve</t>
        </is>
      </c>
      <c r="D5322" s="0" t="inlineStr">
        <is>
          <t>'107134</t>
        </is>
      </c>
      <c r="E5322" s="0" t="inlineStr">
        <is>
          <t>IA DIXON:107134D-YL</t>
        </is>
      </c>
      <c r="F5322" s="0" t="inlineStr">
        <is>
          <t>'800107134031</t>
        </is>
      </c>
      <c r="G5322" s="0" t="inlineStr">
        <is>
          <t>YOUTH</t>
        </is>
      </c>
      <c r="H5322" s="0" t="inlineStr">
        <is>
          <t>YL</t>
        </is>
      </c>
      <c r="I5322" s="0">
        <v>29.99</v>
      </c>
      <c r="J5322" s="0">
        <v>16</v>
      </c>
    </row>
    <row r="5323" spans="1:10" customHeight="0">
      <c r="A5323" s="0">
        <f>HYPERLINK("https://dl.dropboxusercontent.com/scl/fi/xn24lb7dvrhlfgbbil2ke/107134af97273.jpg?rlkey=nhwwwxy8xhunknoi379pl7hl9&amp;dl=0","Click to download Image")</f>
      </c>
      <c r="B5323" s="0">
        <f>HYPERLINK("https://dl.dropboxusercontent.com/scl/fi/01yuqyuniut861zr9jkz1/8-19-youth.jpg?rlkey=6n0ehyjr8odd7jey72u01jjwq&amp;dl=0","Click to download SizeChart")</f>
      </c>
      <c r="C5323" s="0" t="inlineStr">
        <is>
          <t>Dixon Youth Long Sleeve</t>
        </is>
      </c>
      <c r="D5323" s="0" t="inlineStr">
        <is>
          <t>'107134</t>
        </is>
      </c>
      <c r="E5323" s="0" t="inlineStr">
        <is>
          <t>IA DIXON:107134E-YXL</t>
        </is>
      </c>
      <c r="F5323" s="0" t="inlineStr">
        <is>
          <t>'800107134048</t>
        </is>
      </c>
      <c r="G5323" s="0" t="inlineStr">
        <is>
          <t>YOUTH</t>
        </is>
      </c>
      <c r="H5323" s="0" t="inlineStr">
        <is>
          <t>YXL</t>
        </is>
      </c>
      <c r="I5323" s="0">
        <v>29.99</v>
      </c>
      <c r="J5323" s="0">
        <v>41</v>
      </c>
    </row>
    <row r="5324" spans="1:10" customHeight="0">
      <c r="A5324" s="0">
        <f>HYPERLINK("https://dl.dropboxusercontent.com/scl/fi/7pj53upjm3b94rmpe6lij/109260af35101.jpg?rlkey=ldmf3poo0xvqmrazqxkxdl4sk&amp;dl=0","Click to download Image")</f>
      </c>
      <c r="B5324" s="0">
        <f>HYPERLINK("https://dl.dropboxusercontent.com/scl/fi/01yuqyuniut861zr9jkz1/8-19-youth.jpg?rlkey=6n0ehyjr8odd7jey72u01jjwq&amp;dl=0","Click to download SizeChart")</f>
      </c>
      <c r="C5324" s="0" t="inlineStr">
        <is>
          <t>Dixon Youth Long Sleeve</t>
        </is>
      </c>
      <c r="D5324" s="0" t="inlineStr">
        <is>
          <t>'109260</t>
        </is>
      </c>
      <c r="E5324" s="0" t="inlineStr">
        <is>
          <t>UNI DIXON:109260B-YS</t>
        </is>
      </c>
      <c r="F5324" s="0" t="inlineStr">
        <is>
          <t>'800109260011</t>
        </is>
      </c>
      <c r="G5324" s="0" t="inlineStr">
        <is>
          <t>YOUTH</t>
        </is>
      </c>
      <c r="H5324" s="0" t="inlineStr">
        <is>
          <t>YS</t>
        </is>
      </c>
      <c r="I5324" s="0">
        <v>29.99</v>
      </c>
      <c r="J5324" s="0">
        <v>0</v>
      </c>
    </row>
    <row r="5325" spans="1:10" customHeight="0">
      <c r="A5325" s="0">
        <f>HYPERLINK("https://dl.dropboxusercontent.com/scl/fi/7pj53upjm3b94rmpe6lij/109260af35101.jpg?rlkey=ldmf3poo0xvqmrazqxkxdl4sk&amp;dl=0","Click to download Image")</f>
      </c>
      <c r="B5325" s="0">
        <f>HYPERLINK("https://dl.dropboxusercontent.com/scl/fi/01yuqyuniut861zr9jkz1/8-19-youth.jpg?rlkey=6n0ehyjr8odd7jey72u01jjwq&amp;dl=0","Click to download SizeChart")</f>
      </c>
      <c r="C5325" s="0" t="inlineStr">
        <is>
          <t>Dixon Youth Long Sleeve</t>
        </is>
      </c>
      <c r="D5325" s="0" t="inlineStr">
        <is>
          <t>'109260</t>
        </is>
      </c>
      <c r="E5325" s="0" t="inlineStr">
        <is>
          <t>UNI DIXON:109260C-YM</t>
        </is>
      </c>
      <c r="F5325" s="0" t="inlineStr">
        <is>
          <t>'800109260028</t>
        </is>
      </c>
      <c r="G5325" s="0" t="inlineStr">
        <is>
          <t>YOUTH</t>
        </is>
      </c>
      <c r="H5325" s="0" t="inlineStr">
        <is>
          <t>YM</t>
        </is>
      </c>
      <c r="I5325" s="0">
        <v>29.99</v>
      </c>
      <c r="J5325" s="0">
        <v>0</v>
      </c>
    </row>
    <row r="5326" spans="1:10" customHeight="0">
      <c r="A5326" s="0">
        <f>HYPERLINK("https://dl.dropboxusercontent.com/scl/fi/7pj53upjm3b94rmpe6lij/109260af35101.jpg?rlkey=ldmf3poo0xvqmrazqxkxdl4sk&amp;dl=0","Click to download Image")</f>
      </c>
      <c r="B5326" s="0">
        <f>HYPERLINK("https://dl.dropboxusercontent.com/scl/fi/01yuqyuniut861zr9jkz1/8-19-youth.jpg?rlkey=6n0ehyjr8odd7jey72u01jjwq&amp;dl=0","Click to download SizeChart")</f>
      </c>
      <c r="C5326" s="0" t="inlineStr">
        <is>
          <t>Dixon Youth Long Sleeve</t>
        </is>
      </c>
      <c r="D5326" s="0" t="inlineStr">
        <is>
          <t>'109260</t>
        </is>
      </c>
      <c r="E5326" s="0" t="inlineStr">
        <is>
          <t>UNI DIXON:109260D-YL</t>
        </is>
      </c>
      <c r="F5326" s="0" t="inlineStr">
        <is>
          <t>'800109260035</t>
        </is>
      </c>
      <c r="G5326" s="0" t="inlineStr">
        <is>
          <t>YOUTH</t>
        </is>
      </c>
      <c r="H5326" s="0" t="inlineStr">
        <is>
          <t>YL</t>
        </is>
      </c>
      <c r="I5326" s="0">
        <v>29.99</v>
      </c>
      <c r="J5326" s="0">
        <v>9</v>
      </c>
    </row>
    <row r="5327" spans="1:10" customHeight="0">
      <c r="A5327" s="0">
        <f>HYPERLINK("https://dl.dropboxusercontent.com/scl/fi/7pj53upjm3b94rmpe6lij/109260af35101.jpg?rlkey=ldmf3poo0xvqmrazqxkxdl4sk&amp;dl=0","Click to download Image")</f>
      </c>
      <c r="B5327" s="0">
        <f>HYPERLINK("https://dl.dropboxusercontent.com/scl/fi/01yuqyuniut861zr9jkz1/8-19-youth.jpg?rlkey=6n0ehyjr8odd7jey72u01jjwq&amp;dl=0","Click to download SizeChart")</f>
      </c>
      <c r="C5327" s="0" t="inlineStr">
        <is>
          <t>Dixon Youth Long Sleeve</t>
        </is>
      </c>
      <c r="D5327" s="0" t="inlineStr">
        <is>
          <t>'109260</t>
        </is>
      </c>
      <c r="E5327" s="0" t="inlineStr">
        <is>
          <t>UNI DIXON:109260E-YXL</t>
        </is>
      </c>
      <c r="F5327" s="0" t="inlineStr">
        <is>
          <t>'800109260042</t>
        </is>
      </c>
      <c r="G5327" s="0" t="inlineStr">
        <is>
          <t>YOUTH</t>
        </is>
      </c>
      <c r="H5327" s="0" t="inlineStr">
        <is>
          <t>YXL</t>
        </is>
      </c>
      <c r="I5327" s="0">
        <v>29.99</v>
      </c>
      <c r="J5327" s="0">
        <v>8</v>
      </c>
    </row>
    <row r="5328" spans="1:10" customHeight="0">
      <c r="A5328" s="0">
        <f>HYPERLINK("https://dl.dropboxusercontent.com/scl/fi/x238c6ldr6kkta6dqxlbe/taylin.jpg?rlkey=m0pdqt6xrrno4kqy0j3zxfpgn&amp;dl=0","Click to download Image")</f>
      </c>
      <c r="C5328" s="0" t="inlineStr">
        <is>
          <t>Taylin Ponytail Running Beanie</t>
        </is>
      </c>
      <c r="D5328" s="0" t="inlineStr">
        <is>
          <t>'95957</t>
        </is>
      </c>
      <c r="E5328" s="0" t="inlineStr">
        <is>
          <t>95957 TAYLIN</t>
        </is>
      </c>
      <c r="F5328" s="0" t="inlineStr">
        <is>
          <t>'000000000000</t>
        </is>
      </c>
      <c r="G5328" s="0" t="inlineStr">
        <is>
          <t>WOMENS</t>
        </is>
      </c>
      <c r="H5328" s="0" t="inlineStr">
        <is>
          <t>WOMENS</t>
        </is>
      </c>
      <c r="I5328" s="0">
        <v>21.99</v>
      </c>
      <c r="J5328" s="0">
        <v>32</v>
      </c>
    </row>
    <row r="5329" spans="1:10" customHeight="0">
      <c r="A5329" s="0">
        <f>HYPERLINK("https://dl.dropboxusercontent.com/scl/fi/x85mp1gqv5fv9nx7hmlc3/126068af89959.jpg?rlkey=okrr19zmv8sj75fzb71e00nxr&amp;dl=0","Click to download Image")</f>
      </c>
      <c r="C5329" s="0" t="inlineStr">
        <is>
          <t>Asher Men's Cap</t>
        </is>
      </c>
      <c r="D5329" s="0" t="inlineStr">
        <is>
          <t>'126068</t>
        </is>
      </c>
      <c r="E5329" s="0" t="inlineStr">
        <is>
          <t>MU ASHER A BK:126068</t>
        </is>
      </c>
      <c r="F5329" s="0" t="inlineStr">
        <is>
          <t>'703126068007</t>
        </is>
      </c>
      <c r="G5329" s="0" t="inlineStr">
        <is>
          <t>MENS</t>
        </is>
      </c>
      <c r="H5329" s="0" t="inlineStr">
        <is>
          <t>STANDARD MENS</t>
        </is>
      </c>
      <c r="I5329" s="0">
        <v>17.99</v>
      </c>
      <c r="J5329" s="0">
        <v>78</v>
      </c>
    </row>
    <row r="5330" spans="1:10" customHeight="0">
      <c r="A5330" s="0">
        <f>HYPERLINK("https://dl.dropboxusercontent.com/scl/fi/ezwzt4l40lb1hz6iau332/106653af33489.jpg?rlkey=6u2kkiq2cke2jyk62edjkn4nj&amp;dl=0","Click to download Image")</f>
      </c>
      <c r="C5330" s="0" t="inlineStr">
        <is>
          <t>Asher Men's Cap</t>
        </is>
      </c>
      <c r="D5330" s="0" t="inlineStr">
        <is>
          <t>'106653</t>
        </is>
      </c>
      <c r="E5330" s="0" t="inlineStr">
        <is>
          <t>UNI ASHER:106653STANDARD-58CM</t>
        </is>
      </c>
      <c r="F5330" s="0" t="inlineStr">
        <is>
          <t>'700106653017</t>
        </is>
      </c>
      <c r="G5330" s="0" t="inlineStr">
        <is>
          <t>MENS</t>
        </is>
      </c>
      <c r="H5330" s="0" t="inlineStr">
        <is>
          <t>STANDARD MENS</t>
        </is>
      </c>
      <c r="I5330" s="0">
        <v>17.99</v>
      </c>
      <c r="J5330" s="0">
        <v>22</v>
      </c>
    </row>
    <row r="5331" spans="1:10" customHeight="0">
      <c r="A5331" s="0">
        <f>HYPERLINK("https://dl.dropboxusercontent.com/scl/fi/6slmouqjxz8qj3k29tx4m/tanner.jpg?rlkey=71i7epxacwgzx3jork741bzl9&amp;dl=0","Click to download Image")</f>
      </c>
      <c r="B5331" s="0">
        <f>HYPERLINK("https://dl.dropboxusercontent.com/scl/fi/qmlxxgm1pvecmao2p1kd4/mens-c.jpg?rlkey=mu3egtvquurfoh9tryjcnomlv&amp;dl=0","Click to download SizeChart")</f>
      </c>
      <c r="C5331" s="0" t="inlineStr">
        <is>
          <t>Tanner Men's Tank Top</t>
        </is>
      </c>
      <c r="D5331" s="0" t="inlineStr">
        <is>
          <t>'94186</t>
        </is>
      </c>
      <c r="E5331" s="0" t="inlineStr">
        <is>
          <t>TANNER:94186A-S</t>
        </is>
      </c>
      <c r="F5331" s="0" t="inlineStr">
        <is>
          <t>'000000000000</t>
        </is>
      </c>
      <c r="G5331" s="0" t="inlineStr">
        <is>
          <t>MENS</t>
        </is>
      </c>
      <c r="H5331" s="0" t="inlineStr">
        <is>
          <t>S</t>
        </is>
      </c>
      <c r="I5331" s="0">
        <v>29.99</v>
      </c>
      <c r="J5331" s="0">
        <v>16</v>
      </c>
    </row>
    <row r="5332" spans="1:10" customHeight="0">
      <c r="A5332" s="0">
        <f>HYPERLINK("https://dl.dropboxusercontent.com/scl/fi/6slmouqjxz8qj3k29tx4m/tanner.jpg?rlkey=71i7epxacwgzx3jork741bzl9&amp;dl=0","Click to download Image")</f>
      </c>
      <c r="B5332" s="0">
        <f>HYPERLINK("https://dl.dropboxusercontent.com/scl/fi/qmlxxgm1pvecmao2p1kd4/mens-c.jpg?rlkey=mu3egtvquurfoh9tryjcnomlv&amp;dl=0","Click to download SizeChart")</f>
      </c>
      <c r="C5332" s="0" t="inlineStr">
        <is>
          <t>Tanner Men's Tank Top</t>
        </is>
      </c>
      <c r="D5332" s="0" t="inlineStr">
        <is>
          <t>'94186</t>
        </is>
      </c>
      <c r="E5332" s="0" t="inlineStr">
        <is>
          <t>TANNER:94186B-M</t>
        </is>
      </c>
      <c r="F5332" s="0" t="inlineStr">
        <is>
          <t>'000000000000</t>
        </is>
      </c>
      <c r="G5332" s="0" t="inlineStr">
        <is>
          <t>MENS</t>
        </is>
      </c>
      <c r="H5332" s="0" t="inlineStr">
        <is>
          <t>M</t>
        </is>
      </c>
      <c r="I5332" s="0">
        <v>29.99</v>
      </c>
      <c r="J5332" s="0">
        <v>41</v>
      </c>
    </row>
    <row r="5333" spans="1:10" customHeight="0">
      <c r="A5333" s="0">
        <f>HYPERLINK("https://dl.dropboxusercontent.com/scl/fi/6slmouqjxz8qj3k29tx4m/tanner.jpg?rlkey=71i7epxacwgzx3jork741bzl9&amp;dl=0","Click to download Image")</f>
      </c>
      <c r="B5333" s="0">
        <f>HYPERLINK("https://dl.dropboxusercontent.com/scl/fi/qmlxxgm1pvecmao2p1kd4/mens-c.jpg?rlkey=mu3egtvquurfoh9tryjcnomlv&amp;dl=0","Click to download SizeChart")</f>
      </c>
      <c r="C5333" s="0" t="inlineStr">
        <is>
          <t>Tanner Men's Tank Top</t>
        </is>
      </c>
      <c r="D5333" s="0" t="inlineStr">
        <is>
          <t>'94186</t>
        </is>
      </c>
      <c r="E5333" s="0" t="inlineStr">
        <is>
          <t>TANNER:94186C-L</t>
        </is>
      </c>
      <c r="F5333" s="0" t="inlineStr">
        <is>
          <t>'000000000000</t>
        </is>
      </c>
      <c r="G5333" s="0" t="inlineStr">
        <is>
          <t>MENS</t>
        </is>
      </c>
      <c r="H5333" s="0" t="inlineStr">
        <is>
          <t>L</t>
        </is>
      </c>
      <c r="I5333" s="0">
        <v>29.99</v>
      </c>
      <c r="J5333" s="0">
        <v>77</v>
      </c>
    </row>
    <row r="5334" spans="1:10" customHeight="0">
      <c r="A5334" s="0">
        <f>HYPERLINK("https://dl.dropboxusercontent.com/scl/fi/6slmouqjxz8qj3k29tx4m/tanner.jpg?rlkey=71i7epxacwgzx3jork741bzl9&amp;dl=0","Click to download Image")</f>
      </c>
      <c r="B5334" s="0">
        <f>HYPERLINK("https://dl.dropboxusercontent.com/scl/fi/qmlxxgm1pvecmao2p1kd4/mens-c.jpg?rlkey=mu3egtvquurfoh9tryjcnomlv&amp;dl=0","Click to download SizeChart")</f>
      </c>
      <c r="C5334" s="0" t="inlineStr">
        <is>
          <t>Tanner Men's Tank Top</t>
        </is>
      </c>
      <c r="D5334" s="0" t="inlineStr">
        <is>
          <t>'94186</t>
        </is>
      </c>
      <c r="E5334" s="0" t="inlineStr">
        <is>
          <t>TANNER:94186D-XL</t>
        </is>
      </c>
      <c r="F5334" s="0" t="inlineStr">
        <is>
          <t>'000000000000</t>
        </is>
      </c>
      <c r="G5334" s="0" t="inlineStr">
        <is>
          <t>MENS</t>
        </is>
      </c>
      <c r="H5334" s="0" t="inlineStr">
        <is>
          <t>XL</t>
        </is>
      </c>
      <c r="I5334" s="0">
        <v>29.99</v>
      </c>
      <c r="J5334" s="0">
        <v>83</v>
      </c>
    </row>
    <row r="5335" spans="1:10" customHeight="0">
      <c r="A5335" s="0">
        <f>HYPERLINK("https://dl.dropboxusercontent.com/scl/fi/6slmouqjxz8qj3k29tx4m/tanner.jpg?rlkey=71i7epxacwgzx3jork741bzl9&amp;dl=0","Click to download Image")</f>
      </c>
      <c r="B5335" s="0">
        <f>HYPERLINK("https://dl.dropboxusercontent.com/scl/fi/qmlxxgm1pvecmao2p1kd4/mens-c.jpg?rlkey=mu3egtvquurfoh9tryjcnomlv&amp;dl=0","Click to download SizeChart")</f>
      </c>
      <c r="C5335" s="0" t="inlineStr">
        <is>
          <t>Tanner Men's Tank Top</t>
        </is>
      </c>
      <c r="D5335" s="0" t="inlineStr">
        <is>
          <t>'94186</t>
        </is>
      </c>
      <c r="E5335" s="0" t="inlineStr">
        <is>
          <t>TANNER:94186E-2X</t>
        </is>
      </c>
      <c r="F5335" s="0" t="inlineStr">
        <is>
          <t>'000000000000</t>
        </is>
      </c>
      <c r="G5335" s="0" t="inlineStr">
        <is>
          <t>MENS</t>
        </is>
      </c>
      <c r="H5335" s="0" t="inlineStr">
        <is>
          <t>2XL</t>
        </is>
      </c>
      <c r="I5335" s="0">
        <v>31.99</v>
      </c>
      <c r="J5335" s="0">
        <v>47</v>
      </c>
    </row>
    <row r="5336" spans="1:10" customHeight="0">
      <c r="A5336" s="0">
        <f>HYPERLINK("https://dl.dropboxusercontent.com/scl/fi/6slmouqjxz8qj3k29tx4m/tanner.jpg?rlkey=71i7epxacwgzx3jork741bzl9&amp;dl=0","Click to download Image")</f>
      </c>
      <c r="B5336" s="0">
        <f>HYPERLINK("https://dl.dropboxusercontent.com/scl/fi/qmlxxgm1pvecmao2p1kd4/mens-c.jpg?rlkey=mu3egtvquurfoh9tryjcnomlv&amp;dl=0","Click to download SizeChart")</f>
      </c>
      <c r="C5336" s="0" t="inlineStr">
        <is>
          <t>Tanner Men's Tank Top</t>
        </is>
      </c>
      <c r="D5336" s="0" t="inlineStr">
        <is>
          <t>'94186</t>
        </is>
      </c>
      <c r="E5336" s="0" t="inlineStr">
        <is>
          <t>TANNER:94186F-3X</t>
        </is>
      </c>
      <c r="F5336" s="0" t="inlineStr">
        <is>
          <t>'000000000000</t>
        </is>
      </c>
      <c r="G5336" s="0" t="inlineStr">
        <is>
          <t>MENS</t>
        </is>
      </c>
      <c r="H5336" s="0" t="inlineStr">
        <is>
          <t>3XL</t>
        </is>
      </c>
      <c r="I5336" s="0">
        <v>31.99</v>
      </c>
      <c r="J5336" s="0">
        <v>29</v>
      </c>
    </row>
    <row r="5337" spans="1:10" customHeight="0">
      <c r="A5337" s="0">
        <f>HYPERLINK("https://dl.dropboxusercontent.com/scl/fi/k4t8xje6812yzr3be419k/tabby-02.jpg?rlkey=yyl9ljr4ai9wggu59kqi9p9cx&amp;dl=0","Click to download Image")</f>
      </c>
      <c r="B5337" s="0">
        <f>HYPERLINK("https://dl.dropboxusercontent.com/scl/fi/xeuhy1j3czu3vwzaxpj58/size-chartladies-g.jpg?rlkey=hf1v4kcuw96c0sn9yj7mkotxn&amp;dl=0","Click to download SizeChart")</f>
      </c>
      <c r="C5337" s="0" t="inlineStr">
        <is>
          <t>Tabby Women's Tank Top</t>
        </is>
      </c>
      <c r="D5337" s="0" t="inlineStr">
        <is>
          <t>'96419</t>
        </is>
      </c>
      <c r="E5337" s="0" t="inlineStr">
        <is>
          <t>TABBY:96419A-S</t>
        </is>
      </c>
      <c r="F5337" s="0" t="inlineStr">
        <is>
          <t>'000000000000</t>
        </is>
      </c>
      <c r="G5337" s="0" t="inlineStr">
        <is>
          <t>WOMENS</t>
        </is>
      </c>
      <c r="H5337" s="0" t="inlineStr">
        <is>
          <t>S</t>
        </is>
      </c>
      <c r="I5337" s="0">
        <v>39.99</v>
      </c>
      <c r="J5337" s="0">
        <v>18</v>
      </c>
    </row>
    <row r="5338" spans="1:10" customHeight="0">
      <c r="A5338" s="0">
        <f>HYPERLINK("https://dl.dropboxusercontent.com/scl/fi/k4t8xje6812yzr3be419k/tabby-02.jpg?rlkey=yyl9ljr4ai9wggu59kqi9p9cx&amp;dl=0","Click to download Image")</f>
      </c>
      <c r="B5338" s="0">
        <f>HYPERLINK("https://dl.dropboxusercontent.com/scl/fi/xeuhy1j3czu3vwzaxpj58/size-chartladies-g.jpg?rlkey=hf1v4kcuw96c0sn9yj7mkotxn&amp;dl=0","Click to download SizeChart")</f>
      </c>
      <c r="C5338" s="0" t="inlineStr">
        <is>
          <t>Tabby Women's Tank Top</t>
        </is>
      </c>
      <c r="D5338" s="0" t="inlineStr">
        <is>
          <t>'96419</t>
        </is>
      </c>
      <c r="E5338" s="0" t="inlineStr">
        <is>
          <t>TABBY:96419B-M</t>
        </is>
      </c>
      <c r="F5338" s="0" t="inlineStr">
        <is>
          <t>'000000000000</t>
        </is>
      </c>
      <c r="G5338" s="0" t="inlineStr">
        <is>
          <t>WOMENS</t>
        </is>
      </c>
      <c r="H5338" s="0" t="inlineStr">
        <is>
          <t>M</t>
        </is>
      </c>
      <c r="I5338" s="0">
        <v>39.99</v>
      </c>
      <c r="J5338" s="0">
        <v>16</v>
      </c>
    </row>
    <row r="5339" spans="1:10" customHeight="0">
      <c r="A5339" s="0">
        <f>HYPERLINK("https://dl.dropboxusercontent.com/scl/fi/k4t8xje6812yzr3be419k/tabby-02.jpg?rlkey=yyl9ljr4ai9wggu59kqi9p9cx&amp;dl=0","Click to download Image")</f>
      </c>
      <c r="B5339" s="0">
        <f>HYPERLINK("https://dl.dropboxusercontent.com/scl/fi/xeuhy1j3czu3vwzaxpj58/size-chartladies-g.jpg?rlkey=hf1v4kcuw96c0sn9yj7mkotxn&amp;dl=0","Click to download SizeChart")</f>
      </c>
      <c r="C5339" s="0" t="inlineStr">
        <is>
          <t>Tabby Women's Tank Top</t>
        </is>
      </c>
      <c r="D5339" s="0" t="inlineStr">
        <is>
          <t>'96419</t>
        </is>
      </c>
      <c r="E5339" s="0" t="inlineStr">
        <is>
          <t>TABBY:96419C-L</t>
        </is>
      </c>
      <c r="F5339" s="0" t="inlineStr">
        <is>
          <t>'000000000000</t>
        </is>
      </c>
      <c r="G5339" s="0" t="inlineStr">
        <is>
          <t>WOMENS</t>
        </is>
      </c>
      <c r="H5339" s="0" t="inlineStr">
        <is>
          <t>L</t>
        </is>
      </c>
      <c r="I5339" s="0">
        <v>39.99</v>
      </c>
      <c r="J5339" s="0">
        <v>55</v>
      </c>
    </row>
    <row r="5340" spans="1:10" customHeight="0">
      <c r="A5340" s="0">
        <f>HYPERLINK("https://dl.dropboxusercontent.com/scl/fi/k4t8xje6812yzr3be419k/tabby-02.jpg?rlkey=yyl9ljr4ai9wggu59kqi9p9cx&amp;dl=0","Click to download Image")</f>
      </c>
      <c r="B5340" s="0">
        <f>HYPERLINK("https://dl.dropboxusercontent.com/scl/fi/xeuhy1j3czu3vwzaxpj58/size-chartladies-g.jpg?rlkey=hf1v4kcuw96c0sn9yj7mkotxn&amp;dl=0","Click to download SizeChart")</f>
      </c>
      <c r="C5340" s="0" t="inlineStr">
        <is>
          <t>Tabby Women's Tank Top</t>
        </is>
      </c>
      <c r="D5340" s="0" t="inlineStr">
        <is>
          <t>'96419</t>
        </is>
      </c>
      <c r="E5340" s="0" t="inlineStr">
        <is>
          <t>TABBY:96419D-XL</t>
        </is>
      </c>
      <c r="F5340" s="0" t="inlineStr">
        <is>
          <t>'000000000000</t>
        </is>
      </c>
      <c r="G5340" s="0" t="inlineStr">
        <is>
          <t>WOMENS</t>
        </is>
      </c>
      <c r="H5340" s="0" t="inlineStr">
        <is>
          <t>XL</t>
        </is>
      </c>
      <c r="I5340" s="0">
        <v>39.99</v>
      </c>
      <c r="J5340" s="0">
        <v>69</v>
      </c>
    </row>
    <row r="5341" spans="1:10" customHeight="0">
      <c r="A5341" s="0">
        <f>HYPERLINK("https://dl.dropboxusercontent.com/scl/fi/k4t8xje6812yzr3be419k/tabby-02.jpg?rlkey=yyl9ljr4ai9wggu59kqi9p9cx&amp;dl=0","Click to download Image")</f>
      </c>
      <c r="B5341" s="0">
        <f>HYPERLINK("https://dl.dropboxusercontent.com/scl/fi/xeuhy1j3czu3vwzaxpj58/size-chartladies-g.jpg?rlkey=hf1v4kcuw96c0sn9yj7mkotxn&amp;dl=0","Click to download SizeChart")</f>
      </c>
      <c r="C5341" s="0" t="inlineStr">
        <is>
          <t>Tabby Women's Tank Top</t>
        </is>
      </c>
      <c r="D5341" s="0" t="inlineStr">
        <is>
          <t>'96419</t>
        </is>
      </c>
      <c r="E5341" s="0" t="inlineStr">
        <is>
          <t>TABBY:96419E-2XL</t>
        </is>
      </c>
      <c r="F5341" s="0" t="inlineStr">
        <is>
          <t>'000000000000</t>
        </is>
      </c>
      <c r="G5341" s="0" t="inlineStr">
        <is>
          <t>WOMENS</t>
        </is>
      </c>
      <c r="H5341" s="0" t="inlineStr">
        <is>
          <t>2XL</t>
        </is>
      </c>
      <c r="I5341" s="0">
        <v>39.99</v>
      </c>
      <c r="J5341" s="0">
        <v>21</v>
      </c>
    </row>
    <row r="5342" spans="1:10" customHeight="0">
      <c r="A5342" s="0">
        <f>HYPERLINK("https://dl.dropboxusercontent.com/scl/fi/nl9qklwuhpg721zttv3bu/tabby-03.jpg?rlkey=ykbyuvmhvdflbb9sjl8qvujw8&amp;dl=0","Click to download Image")</f>
      </c>
      <c r="B5342" s="0">
        <f>HYPERLINK("https://dl.dropboxusercontent.com/scl/fi/xeuhy1j3czu3vwzaxpj58/size-chartladies-g.jpg?rlkey=hf1v4kcuw96c0sn9yj7mkotxn&amp;dl=0","Click to download SizeChart")</f>
      </c>
      <c r="C5342" s="0" t="inlineStr">
        <is>
          <t>Tabby Women's Tank Top</t>
        </is>
      </c>
      <c r="D5342" s="0" t="inlineStr">
        <is>
          <t>'97264</t>
        </is>
      </c>
      <c r="E5342" s="0" t="inlineStr">
        <is>
          <t>TABBY:97264A-S</t>
        </is>
      </c>
      <c r="F5342" s="0" t="inlineStr">
        <is>
          <t>'000000000000</t>
        </is>
      </c>
      <c r="G5342" s="0" t="inlineStr">
        <is>
          <t>WOMENS</t>
        </is>
      </c>
      <c r="H5342" s="0" t="inlineStr">
        <is>
          <t>S</t>
        </is>
      </c>
      <c r="I5342" s="0">
        <v>39.99</v>
      </c>
      <c r="J5342" s="0">
        <v>19</v>
      </c>
    </row>
    <row r="5343" spans="1:10" customHeight="0">
      <c r="A5343" s="0">
        <f>HYPERLINK("https://dl.dropboxusercontent.com/scl/fi/nl9qklwuhpg721zttv3bu/tabby-03.jpg?rlkey=ykbyuvmhvdflbb9sjl8qvujw8&amp;dl=0","Click to download Image")</f>
      </c>
      <c r="B5343" s="0">
        <f>HYPERLINK("https://dl.dropboxusercontent.com/scl/fi/xeuhy1j3czu3vwzaxpj58/size-chartladies-g.jpg?rlkey=hf1v4kcuw96c0sn9yj7mkotxn&amp;dl=0","Click to download SizeChart")</f>
      </c>
      <c r="C5343" s="0" t="inlineStr">
        <is>
          <t>Tabby Women's Tank Top</t>
        </is>
      </c>
      <c r="D5343" s="0" t="inlineStr">
        <is>
          <t>'97264</t>
        </is>
      </c>
      <c r="E5343" s="0" t="inlineStr">
        <is>
          <t>TABBY:97264B-M</t>
        </is>
      </c>
      <c r="F5343" s="0" t="inlineStr">
        <is>
          <t>'000000000000</t>
        </is>
      </c>
      <c r="G5343" s="0" t="inlineStr">
        <is>
          <t>WOMENS</t>
        </is>
      </c>
      <c r="H5343" s="0" t="inlineStr">
        <is>
          <t>M</t>
        </is>
      </c>
      <c r="I5343" s="0">
        <v>39.99</v>
      </c>
      <c r="J5343" s="0">
        <v>4</v>
      </c>
    </row>
    <row r="5344" spans="1:10" customHeight="0">
      <c r="A5344" s="0">
        <f>HYPERLINK("https://dl.dropboxusercontent.com/scl/fi/nl9qklwuhpg721zttv3bu/tabby-03.jpg?rlkey=ykbyuvmhvdflbb9sjl8qvujw8&amp;dl=0","Click to download Image")</f>
      </c>
      <c r="B5344" s="0">
        <f>HYPERLINK("https://dl.dropboxusercontent.com/scl/fi/xeuhy1j3czu3vwzaxpj58/size-chartladies-g.jpg?rlkey=hf1v4kcuw96c0sn9yj7mkotxn&amp;dl=0","Click to download SizeChart")</f>
      </c>
      <c r="C5344" s="0" t="inlineStr">
        <is>
          <t>Tabby Women's Tank Top</t>
        </is>
      </c>
      <c r="D5344" s="0" t="inlineStr">
        <is>
          <t>'97264</t>
        </is>
      </c>
      <c r="E5344" s="0" t="inlineStr">
        <is>
          <t>TABBY:97264C-L</t>
        </is>
      </c>
      <c r="F5344" s="0" t="inlineStr">
        <is>
          <t>'000000000000</t>
        </is>
      </c>
      <c r="G5344" s="0" t="inlineStr">
        <is>
          <t>WOMENS</t>
        </is>
      </c>
      <c r="H5344" s="0" t="inlineStr">
        <is>
          <t>L</t>
        </is>
      </c>
      <c r="I5344" s="0">
        <v>39.99</v>
      </c>
      <c r="J5344" s="0">
        <v>35</v>
      </c>
    </row>
    <row r="5345" spans="1:10" customHeight="0">
      <c r="A5345" s="0">
        <f>HYPERLINK("https://dl.dropboxusercontent.com/scl/fi/nl9qklwuhpg721zttv3bu/tabby-03.jpg?rlkey=ykbyuvmhvdflbb9sjl8qvujw8&amp;dl=0","Click to download Image")</f>
      </c>
      <c r="B5345" s="0">
        <f>HYPERLINK("https://dl.dropboxusercontent.com/scl/fi/xeuhy1j3czu3vwzaxpj58/size-chartladies-g.jpg?rlkey=hf1v4kcuw96c0sn9yj7mkotxn&amp;dl=0","Click to download SizeChart")</f>
      </c>
      <c r="C5345" s="0" t="inlineStr">
        <is>
          <t>Tabby Women's Tank Top</t>
        </is>
      </c>
      <c r="D5345" s="0" t="inlineStr">
        <is>
          <t>'97264</t>
        </is>
      </c>
      <c r="E5345" s="0" t="inlineStr">
        <is>
          <t>TABBY:97264D-XL</t>
        </is>
      </c>
      <c r="F5345" s="0" t="inlineStr">
        <is>
          <t>'000000000000</t>
        </is>
      </c>
      <c r="G5345" s="0" t="inlineStr">
        <is>
          <t>WOMENS</t>
        </is>
      </c>
      <c r="H5345" s="0" t="inlineStr">
        <is>
          <t>XL</t>
        </is>
      </c>
      <c r="I5345" s="0">
        <v>39.99</v>
      </c>
      <c r="J5345" s="0">
        <v>42</v>
      </c>
    </row>
    <row r="5346" spans="1:10" customHeight="0">
      <c r="A5346" s="0">
        <f>HYPERLINK("https://dl.dropboxusercontent.com/scl/fi/nl9qklwuhpg721zttv3bu/tabby-03.jpg?rlkey=ykbyuvmhvdflbb9sjl8qvujw8&amp;dl=0","Click to download Image")</f>
      </c>
      <c r="B5346" s="0">
        <f>HYPERLINK("https://dl.dropboxusercontent.com/scl/fi/xeuhy1j3czu3vwzaxpj58/size-chartladies-g.jpg?rlkey=hf1v4kcuw96c0sn9yj7mkotxn&amp;dl=0","Click to download SizeChart")</f>
      </c>
      <c r="C5346" s="0" t="inlineStr">
        <is>
          <t>Tabby Women's Tank Top</t>
        </is>
      </c>
      <c r="D5346" s="0" t="inlineStr">
        <is>
          <t>'97264</t>
        </is>
      </c>
      <c r="E5346" s="0" t="inlineStr">
        <is>
          <t>TABBY:97264E-2XL</t>
        </is>
      </c>
      <c r="F5346" s="0" t="inlineStr">
        <is>
          <t>'000000000000</t>
        </is>
      </c>
      <c r="G5346" s="0" t="inlineStr">
        <is>
          <t>WOMENS</t>
        </is>
      </c>
      <c r="H5346" s="0" t="inlineStr">
        <is>
          <t>2XL</t>
        </is>
      </c>
      <c r="I5346" s="0">
        <v>39.99</v>
      </c>
      <c r="J5346" s="0">
        <v>9</v>
      </c>
    </row>
    <row r="5347" spans="1:10" customHeight="0">
      <c r="A5347" s="0">
        <f>HYPERLINK("https://dl.dropboxusercontent.com/scl/fi/tnoc53qr6o60pncesivg0/dsc541911507.jpg?rlkey=ozholsuiwav8rs23cz568887z&amp;dl=0","Click to download Image")</f>
      </c>
      <c r="B5347" s="0">
        <f>HYPERLINK("https://dl.dropboxusercontent.com/scl/fi/fkctsygm3xvfz61agh0cp/womens-short-sleeve-size-chartspenny.jpg?rlkey=lvvvzhnzqqgmqj4trq0su5fmk&amp;dl=0","Click to download SizeChart")</f>
      </c>
      <c r="C5347" s="0" t="inlineStr">
        <is>
          <t>Penny Women's T-Shirt</t>
        </is>
      </c>
      <c r="D5347" s="0" t="inlineStr">
        <is>
          <t>'104570</t>
        </is>
      </c>
      <c r="E5347" s="0" t="inlineStr">
        <is>
          <t>PENNY:104570A-S</t>
        </is>
      </c>
      <c r="F5347" s="0" t="inlineStr">
        <is>
          <t>'080010457001</t>
        </is>
      </c>
      <c r="G5347" s="0" t="inlineStr">
        <is>
          <t>WOMENS</t>
        </is>
      </c>
      <c r="H5347" s="0" t="inlineStr">
        <is>
          <t>S</t>
        </is>
      </c>
      <c r="I5347" s="0">
        <v>31.99</v>
      </c>
      <c r="J5347" s="0">
        <v>51</v>
      </c>
    </row>
    <row r="5348" spans="1:10" customHeight="0">
      <c r="A5348" s="0">
        <f>HYPERLINK("https://dl.dropboxusercontent.com/scl/fi/tnoc53qr6o60pncesivg0/dsc541911507.jpg?rlkey=ozholsuiwav8rs23cz568887z&amp;dl=0","Click to download Image")</f>
      </c>
      <c r="B5348" s="0">
        <f>HYPERLINK("https://dl.dropboxusercontent.com/scl/fi/fkctsygm3xvfz61agh0cp/womens-short-sleeve-size-chartspenny.jpg?rlkey=lvvvzhnzqqgmqj4trq0su5fmk&amp;dl=0","Click to download SizeChart")</f>
      </c>
      <c r="C5348" s="0" t="inlineStr">
        <is>
          <t>Penny Women's T-Shirt</t>
        </is>
      </c>
      <c r="D5348" s="0" t="inlineStr">
        <is>
          <t>'104570</t>
        </is>
      </c>
      <c r="E5348" s="0" t="inlineStr">
        <is>
          <t>PENNY:104570B-M</t>
        </is>
      </c>
      <c r="F5348" s="0" t="inlineStr">
        <is>
          <t>'080010457002</t>
        </is>
      </c>
      <c r="G5348" s="0" t="inlineStr">
        <is>
          <t>WOMENS</t>
        </is>
      </c>
      <c r="H5348" s="0" t="inlineStr">
        <is>
          <t>M</t>
        </is>
      </c>
      <c r="I5348" s="0">
        <v>31.99</v>
      </c>
      <c r="J5348" s="0">
        <v>56</v>
      </c>
    </row>
    <row r="5349" spans="1:10" customHeight="0">
      <c r="A5349" s="0">
        <f>HYPERLINK("https://dl.dropboxusercontent.com/scl/fi/tnoc53qr6o60pncesivg0/dsc541911507.jpg?rlkey=ozholsuiwav8rs23cz568887z&amp;dl=0","Click to download Image")</f>
      </c>
      <c r="B5349" s="0">
        <f>HYPERLINK("https://dl.dropboxusercontent.com/scl/fi/fkctsygm3xvfz61agh0cp/womens-short-sleeve-size-chartspenny.jpg?rlkey=lvvvzhnzqqgmqj4trq0su5fmk&amp;dl=0","Click to download SizeChart")</f>
      </c>
      <c r="C5349" s="0" t="inlineStr">
        <is>
          <t>Penny Women's T-Shirt</t>
        </is>
      </c>
      <c r="D5349" s="0" t="inlineStr">
        <is>
          <t>'104570</t>
        </is>
      </c>
      <c r="E5349" s="0" t="inlineStr">
        <is>
          <t>PENNY:104570C-L</t>
        </is>
      </c>
      <c r="F5349" s="0" t="inlineStr">
        <is>
          <t>'080010457003</t>
        </is>
      </c>
      <c r="G5349" s="0" t="inlineStr">
        <is>
          <t>WOMENS</t>
        </is>
      </c>
      <c r="H5349" s="0" t="inlineStr">
        <is>
          <t>L</t>
        </is>
      </c>
      <c r="I5349" s="0">
        <v>31.99</v>
      </c>
      <c r="J5349" s="0">
        <v>68</v>
      </c>
    </row>
    <row r="5350" spans="1:10" customHeight="0">
      <c r="A5350" s="0">
        <f>HYPERLINK("https://dl.dropboxusercontent.com/scl/fi/tnoc53qr6o60pncesivg0/dsc541911507.jpg?rlkey=ozholsuiwav8rs23cz568887z&amp;dl=0","Click to download Image")</f>
      </c>
      <c r="B5350" s="0">
        <f>HYPERLINK("https://dl.dropboxusercontent.com/scl/fi/fkctsygm3xvfz61agh0cp/womens-short-sleeve-size-chartspenny.jpg?rlkey=lvvvzhnzqqgmqj4trq0su5fmk&amp;dl=0","Click to download SizeChart")</f>
      </c>
      <c r="C5350" s="0" t="inlineStr">
        <is>
          <t>Penny Women's T-Shirt</t>
        </is>
      </c>
      <c r="D5350" s="0" t="inlineStr">
        <is>
          <t>'104570</t>
        </is>
      </c>
      <c r="E5350" s="0" t="inlineStr">
        <is>
          <t>PENNY:104570D-XL</t>
        </is>
      </c>
      <c r="F5350" s="0" t="inlineStr">
        <is>
          <t>'080010457004</t>
        </is>
      </c>
      <c r="G5350" s="0" t="inlineStr">
        <is>
          <t>WOMENS</t>
        </is>
      </c>
      <c r="H5350" s="0" t="inlineStr">
        <is>
          <t>XL</t>
        </is>
      </c>
      <c r="I5350" s="0">
        <v>31.99</v>
      </c>
      <c r="J5350" s="0">
        <v>68</v>
      </c>
    </row>
    <row r="5351" spans="1:10" customHeight="0">
      <c r="A5351" s="0">
        <f>HYPERLINK("https://dl.dropboxusercontent.com/scl/fi/tnoc53qr6o60pncesivg0/dsc541911507.jpg?rlkey=ozholsuiwav8rs23cz568887z&amp;dl=0","Click to download Image")</f>
      </c>
      <c r="B5351" s="0">
        <f>HYPERLINK("https://dl.dropboxusercontent.com/scl/fi/fkctsygm3xvfz61agh0cp/womens-short-sleeve-size-chartspenny.jpg?rlkey=lvvvzhnzqqgmqj4trq0su5fmk&amp;dl=0","Click to download SizeChart")</f>
      </c>
      <c r="C5351" s="0" t="inlineStr">
        <is>
          <t>Penny Women's T-Shirt</t>
        </is>
      </c>
      <c r="D5351" s="0" t="inlineStr">
        <is>
          <t>'104570</t>
        </is>
      </c>
      <c r="E5351" s="0" t="inlineStr">
        <is>
          <t>PENNY:104570E-2XL</t>
        </is>
      </c>
      <c r="F5351" s="0" t="inlineStr">
        <is>
          <t>'080010457005</t>
        </is>
      </c>
      <c r="G5351" s="0" t="inlineStr">
        <is>
          <t>WOMENS</t>
        </is>
      </c>
      <c r="H5351" s="0" t="inlineStr">
        <is>
          <t>2XL</t>
        </is>
      </c>
      <c r="I5351" s="0">
        <v>33.99</v>
      </c>
      <c r="J5351" s="0">
        <v>48</v>
      </c>
    </row>
    <row r="5352" spans="1:10" customHeight="0">
      <c r="A5352" s="0">
        <f>HYPERLINK("https://dl.dropboxusercontent.com/scl/fi/tnoc53qr6o60pncesivg0/dsc541911507.jpg?rlkey=ozholsuiwav8rs23cz568887z&amp;dl=0","Click to download Image")</f>
      </c>
      <c r="B5352" s="0">
        <f>HYPERLINK("https://dl.dropboxusercontent.com/scl/fi/fkctsygm3xvfz61agh0cp/womens-short-sleeve-size-chartspenny.jpg?rlkey=lvvvzhnzqqgmqj4trq0su5fmk&amp;dl=0","Click to download SizeChart")</f>
      </c>
      <c r="C5352" s="0" t="inlineStr">
        <is>
          <t>Penny Women's T-Shirt</t>
        </is>
      </c>
      <c r="D5352" s="0" t="inlineStr">
        <is>
          <t>'104570</t>
        </is>
      </c>
      <c r="E5352" s="0" t="inlineStr">
        <is>
          <t>PENNY:104570F-3XL</t>
        </is>
      </c>
      <c r="F5352" s="0" t="inlineStr">
        <is>
          <t>'080010457006</t>
        </is>
      </c>
      <c r="G5352" s="0" t="inlineStr">
        <is>
          <t>WOMENS</t>
        </is>
      </c>
      <c r="H5352" s="0" t="inlineStr">
        <is>
          <t>3XL</t>
        </is>
      </c>
      <c r="I5352" s="0">
        <v>33.99</v>
      </c>
      <c r="J5352" s="0">
        <v>13</v>
      </c>
    </row>
    <row r="5353" spans="1:10" customHeight="0">
      <c r="A5353" s="0">
        <f>HYPERLINK("https://dl.dropboxusercontent.com/scl/fi/3tv3tnswl8nqukslr0626/104571af04932.jpg?rlkey=wio6m4er84vtsneo0u1xq31qg&amp;dl=0","Click to download Image")</f>
      </c>
      <c r="B5353" s="0">
        <f>HYPERLINK("https://dl.dropboxusercontent.com/scl/fi/fkctsygm3xvfz61agh0cp/womens-short-sleeve-size-chartspenny.jpg?rlkey=lvvvzhnzqqgmqj4trq0su5fmk&amp;dl=0","Click to download SizeChart")</f>
      </c>
      <c r="C5353" s="0" t="inlineStr">
        <is>
          <t>Penny Women's T-Shirt</t>
        </is>
      </c>
      <c r="D5353" s="0" t="inlineStr">
        <is>
          <t>'104571</t>
        </is>
      </c>
      <c r="E5353" s="0" t="inlineStr">
        <is>
          <t>PENNY:104571A-S</t>
        </is>
      </c>
      <c r="F5353" s="0" t="inlineStr">
        <is>
          <t>'080010457101</t>
        </is>
      </c>
      <c r="G5353" s="0" t="inlineStr">
        <is>
          <t>WOMENS</t>
        </is>
      </c>
      <c r="H5353" s="0" t="inlineStr">
        <is>
          <t>S</t>
        </is>
      </c>
      <c r="I5353" s="0">
        <v>31.99</v>
      </c>
      <c r="J5353" s="0">
        <v>9</v>
      </c>
    </row>
    <row r="5354" spans="1:10" customHeight="0">
      <c r="A5354" s="0">
        <f>HYPERLINK("https://dl.dropboxusercontent.com/scl/fi/3tv3tnswl8nqukslr0626/104571af04932.jpg?rlkey=wio6m4er84vtsneo0u1xq31qg&amp;dl=0","Click to download Image")</f>
      </c>
      <c r="B5354" s="0">
        <f>HYPERLINK("https://dl.dropboxusercontent.com/scl/fi/fkctsygm3xvfz61agh0cp/womens-short-sleeve-size-chartspenny.jpg?rlkey=lvvvzhnzqqgmqj4trq0su5fmk&amp;dl=0","Click to download SizeChart")</f>
      </c>
      <c r="C5354" s="0" t="inlineStr">
        <is>
          <t>Penny Women's T-Shirt</t>
        </is>
      </c>
      <c r="D5354" s="0" t="inlineStr">
        <is>
          <t>'104571</t>
        </is>
      </c>
      <c r="E5354" s="0" t="inlineStr">
        <is>
          <t>PENNY:104571B-M</t>
        </is>
      </c>
      <c r="F5354" s="0" t="inlineStr">
        <is>
          <t>'080010457102</t>
        </is>
      </c>
      <c r="G5354" s="0" t="inlineStr">
        <is>
          <t>WOMENS</t>
        </is>
      </c>
      <c r="H5354" s="0" t="inlineStr">
        <is>
          <t>M</t>
        </is>
      </c>
      <c r="I5354" s="0">
        <v>31.99</v>
      </c>
      <c r="J5354" s="0">
        <v>13</v>
      </c>
    </row>
    <row r="5355" spans="1:10" customHeight="0">
      <c r="A5355" s="0">
        <f>HYPERLINK("https://dl.dropboxusercontent.com/scl/fi/3tv3tnswl8nqukslr0626/104571af04932.jpg?rlkey=wio6m4er84vtsneo0u1xq31qg&amp;dl=0","Click to download Image")</f>
      </c>
      <c r="B5355" s="0">
        <f>HYPERLINK("https://dl.dropboxusercontent.com/scl/fi/fkctsygm3xvfz61agh0cp/womens-short-sleeve-size-chartspenny.jpg?rlkey=lvvvzhnzqqgmqj4trq0su5fmk&amp;dl=0","Click to download SizeChart")</f>
      </c>
      <c r="C5355" s="0" t="inlineStr">
        <is>
          <t>Penny Women's T-Shirt</t>
        </is>
      </c>
      <c r="D5355" s="0" t="inlineStr">
        <is>
          <t>'104571</t>
        </is>
      </c>
      <c r="E5355" s="0" t="inlineStr">
        <is>
          <t>PENNY:104571C-L</t>
        </is>
      </c>
      <c r="F5355" s="0" t="inlineStr">
        <is>
          <t>'080010457103</t>
        </is>
      </c>
      <c r="G5355" s="0" t="inlineStr">
        <is>
          <t>WOMENS</t>
        </is>
      </c>
      <c r="H5355" s="0" t="inlineStr">
        <is>
          <t>L</t>
        </is>
      </c>
      <c r="I5355" s="0">
        <v>31.99</v>
      </c>
      <c r="J5355" s="0">
        <v>22</v>
      </c>
    </row>
    <row r="5356" spans="1:10" customHeight="0">
      <c r="A5356" s="0">
        <f>HYPERLINK("https://dl.dropboxusercontent.com/scl/fi/3tv3tnswl8nqukslr0626/104571af04932.jpg?rlkey=wio6m4er84vtsneo0u1xq31qg&amp;dl=0","Click to download Image")</f>
      </c>
      <c r="B5356" s="0">
        <f>HYPERLINK("https://dl.dropboxusercontent.com/scl/fi/fkctsygm3xvfz61agh0cp/womens-short-sleeve-size-chartspenny.jpg?rlkey=lvvvzhnzqqgmqj4trq0su5fmk&amp;dl=0","Click to download SizeChart")</f>
      </c>
      <c r="C5356" s="0" t="inlineStr">
        <is>
          <t>Penny Women's T-Shirt</t>
        </is>
      </c>
      <c r="D5356" s="0" t="inlineStr">
        <is>
          <t>'104571</t>
        </is>
      </c>
      <c r="E5356" s="0" t="inlineStr">
        <is>
          <t>PENNY:104571D-XL</t>
        </is>
      </c>
      <c r="F5356" s="0" t="inlineStr">
        <is>
          <t>'080010457104</t>
        </is>
      </c>
      <c r="G5356" s="0" t="inlineStr">
        <is>
          <t>WOMENS</t>
        </is>
      </c>
      <c r="H5356" s="0" t="inlineStr">
        <is>
          <t>XL</t>
        </is>
      </c>
      <c r="I5356" s="0">
        <v>31.99</v>
      </c>
      <c r="J5356" s="0">
        <v>26</v>
      </c>
    </row>
    <row r="5357" spans="1:10" customHeight="0">
      <c r="A5357" s="0">
        <f>HYPERLINK("https://dl.dropboxusercontent.com/scl/fi/3tv3tnswl8nqukslr0626/104571af04932.jpg?rlkey=wio6m4er84vtsneo0u1xq31qg&amp;dl=0","Click to download Image")</f>
      </c>
      <c r="B5357" s="0">
        <f>HYPERLINK("https://dl.dropboxusercontent.com/scl/fi/fkctsygm3xvfz61agh0cp/womens-short-sleeve-size-chartspenny.jpg?rlkey=lvvvzhnzqqgmqj4trq0su5fmk&amp;dl=0","Click to download SizeChart")</f>
      </c>
      <c r="C5357" s="0" t="inlineStr">
        <is>
          <t>Penny Women's T-Shirt</t>
        </is>
      </c>
      <c r="D5357" s="0" t="inlineStr">
        <is>
          <t>'104571</t>
        </is>
      </c>
      <c r="E5357" s="0" t="inlineStr">
        <is>
          <t>PENNY:104571E-2XL</t>
        </is>
      </c>
      <c r="F5357" s="0" t="inlineStr">
        <is>
          <t>'080010457105</t>
        </is>
      </c>
      <c r="G5357" s="0" t="inlineStr">
        <is>
          <t>WOMENS</t>
        </is>
      </c>
      <c r="H5357" s="0" t="inlineStr">
        <is>
          <t>2XL</t>
        </is>
      </c>
      <c r="I5357" s="0">
        <v>33.99</v>
      </c>
      <c r="J5357" s="0">
        <v>4</v>
      </c>
    </row>
    <row r="5358" spans="1:10" customHeight="0">
      <c r="A5358" s="0">
        <f>HYPERLINK("https://dl.dropboxusercontent.com/scl/fi/3tv3tnswl8nqukslr0626/104571af04932.jpg?rlkey=wio6m4er84vtsneo0u1xq31qg&amp;dl=0","Click to download Image")</f>
      </c>
      <c r="B5358" s="0">
        <f>HYPERLINK("https://dl.dropboxusercontent.com/scl/fi/fkctsygm3xvfz61agh0cp/womens-short-sleeve-size-chartspenny.jpg?rlkey=lvvvzhnzqqgmqj4trq0su5fmk&amp;dl=0","Click to download SizeChart")</f>
      </c>
      <c r="C5358" s="0" t="inlineStr">
        <is>
          <t>Penny Women's T-Shirt</t>
        </is>
      </c>
      <c r="D5358" s="0" t="inlineStr">
        <is>
          <t>'104571</t>
        </is>
      </c>
      <c r="E5358" s="0" t="inlineStr">
        <is>
          <t>PENNY:104571F-3XL</t>
        </is>
      </c>
      <c r="F5358" s="0" t="inlineStr">
        <is>
          <t>'080010457106</t>
        </is>
      </c>
      <c r="G5358" s="0" t="inlineStr">
        <is>
          <t>WOMENS</t>
        </is>
      </c>
      <c r="H5358" s="0" t="inlineStr">
        <is>
          <t>3XL</t>
        </is>
      </c>
      <c r="I5358" s="0">
        <v>33.99</v>
      </c>
      <c r="J5358" s="0">
        <v>16</v>
      </c>
    </row>
    <row r="5359" spans="1:10" customHeight="0">
      <c r="A5359" s="0">
        <f>HYPERLINK("https://dl.dropboxusercontent.com/scl/fi/7gvci4d46qo976uh6rvxc/107076-af.jpg?rlkey=ijcn9cl7bmx3zuphy5mrexhmv&amp;dl=0","Click to download Image")</f>
      </c>
      <c r="B5359" s="0">
        <f>HYPERLINK("https://dl.dropboxusercontent.com/scl/fi/0dsor48tt9f1pgi53cx7a/womens-hoodie-and-sweatshirt-size-chartsmagnolia.jpg?rlkey=sf6tzhxh164ro3zr2jj4da109&amp;dl=0","Click to download SizeChart")</f>
      </c>
      <c r="C5359" s="0" t="inlineStr">
        <is>
          <t>Magnolia Women's French Terry Hoodie</t>
        </is>
      </c>
      <c r="D5359" s="0" t="inlineStr">
        <is>
          <t>'107076</t>
        </is>
      </c>
      <c r="E5359" s="0" t="inlineStr">
        <is>
          <t>UNI MAGNOLIA:107076A-S</t>
        </is>
      </c>
      <c r="F5359" s="0" t="inlineStr">
        <is>
          <t>'800107076010</t>
        </is>
      </c>
      <c r="G5359" s="0" t="inlineStr">
        <is>
          <t>WOMENS</t>
        </is>
      </c>
      <c r="H5359" s="0" t="inlineStr">
        <is>
          <t>S</t>
        </is>
      </c>
      <c r="I5359" s="0">
        <v>42.99</v>
      </c>
      <c r="J5359" s="0">
        <v>4</v>
      </c>
    </row>
    <row r="5360" spans="1:10" customHeight="0">
      <c r="A5360" s="0">
        <f>HYPERLINK("https://dl.dropboxusercontent.com/scl/fi/7gvci4d46qo976uh6rvxc/107076-af.jpg?rlkey=ijcn9cl7bmx3zuphy5mrexhmv&amp;dl=0","Click to download Image")</f>
      </c>
      <c r="B5360" s="0">
        <f>HYPERLINK("https://dl.dropboxusercontent.com/scl/fi/0dsor48tt9f1pgi53cx7a/womens-hoodie-and-sweatshirt-size-chartsmagnolia.jpg?rlkey=sf6tzhxh164ro3zr2jj4da109&amp;dl=0","Click to download SizeChart")</f>
      </c>
      <c r="C5360" s="0" t="inlineStr">
        <is>
          <t>Magnolia Women's French Terry Hoodie</t>
        </is>
      </c>
      <c r="D5360" s="0" t="inlineStr">
        <is>
          <t>'107076</t>
        </is>
      </c>
      <c r="E5360" s="0" t="inlineStr">
        <is>
          <t>UNI MAGNOLIA:107076B-M</t>
        </is>
      </c>
      <c r="F5360" s="0" t="inlineStr">
        <is>
          <t>'800107076027</t>
        </is>
      </c>
      <c r="G5360" s="0" t="inlineStr">
        <is>
          <t>WOMENS</t>
        </is>
      </c>
      <c r="H5360" s="0" t="inlineStr">
        <is>
          <t>M</t>
        </is>
      </c>
      <c r="I5360" s="0">
        <v>42.99</v>
      </c>
      <c r="J5360" s="0">
        <v>6</v>
      </c>
    </row>
    <row r="5361" spans="1:10" customHeight="0">
      <c r="A5361" s="0">
        <f>HYPERLINK("https://dl.dropboxusercontent.com/scl/fi/7gvci4d46qo976uh6rvxc/107076-af.jpg?rlkey=ijcn9cl7bmx3zuphy5mrexhmv&amp;dl=0","Click to download Image")</f>
      </c>
      <c r="B5361" s="0">
        <f>HYPERLINK("https://dl.dropboxusercontent.com/scl/fi/0dsor48tt9f1pgi53cx7a/womens-hoodie-and-sweatshirt-size-chartsmagnolia.jpg?rlkey=sf6tzhxh164ro3zr2jj4da109&amp;dl=0","Click to download SizeChart")</f>
      </c>
      <c r="C5361" s="0" t="inlineStr">
        <is>
          <t>Magnolia Women's French Terry Hoodie</t>
        </is>
      </c>
      <c r="D5361" s="0" t="inlineStr">
        <is>
          <t>'107076</t>
        </is>
      </c>
      <c r="E5361" s="0" t="inlineStr">
        <is>
          <t>UNI MAGNOLIA:107076C-L</t>
        </is>
      </c>
      <c r="F5361" s="0" t="inlineStr">
        <is>
          <t>'800107076034</t>
        </is>
      </c>
      <c r="G5361" s="0" t="inlineStr">
        <is>
          <t>WOMENS</t>
        </is>
      </c>
      <c r="H5361" s="0" t="inlineStr">
        <is>
          <t>L</t>
        </is>
      </c>
      <c r="I5361" s="0">
        <v>42.99</v>
      </c>
      <c r="J5361" s="0">
        <v>4</v>
      </c>
    </row>
    <row r="5362" spans="1:10" customHeight="0">
      <c r="A5362" s="0">
        <f>HYPERLINK("https://dl.dropboxusercontent.com/scl/fi/7gvci4d46qo976uh6rvxc/107076-af.jpg?rlkey=ijcn9cl7bmx3zuphy5mrexhmv&amp;dl=0","Click to download Image")</f>
      </c>
      <c r="B5362" s="0">
        <f>HYPERLINK("https://dl.dropboxusercontent.com/scl/fi/0dsor48tt9f1pgi53cx7a/womens-hoodie-and-sweatshirt-size-chartsmagnolia.jpg?rlkey=sf6tzhxh164ro3zr2jj4da109&amp;dl=0","Click to download SizeChart")</f>
      </c>
      <c r="C5362" s="0" t="inlineStr">
        <is>
          <t>Magnolia Women's French Terry Hoodie</t>
        </is>
      </c>
      <c r="D5362" s="0" t="inlineStr">
        <is>
          <t>'107076</t>
        </is>
      </c>
      <c r="E5362" s="0" t="inlineStr">
        <is>
          <t>UNI MAGNOLIA:107076D-XL</t>
        </is>
      </c>
      <c r="F5362" s="0" t="inlineStr">
        <is>
          <t>'800107076041</t>
        </is>
      </c>
      <c r="G5362" s="0" t="inlineStr">
        <is>
          <t>WOMENS</t>
        </is>
      </c>
      <c r="H5362" s="0" t="inlineStr">
        <is>
          <t>XL</t>
        </is>
      </c>
      <c r="I5362" s="0">
        <v>42.99</v>
      </c>
      <c r="J5362" s="0">
        <v>10</v>
      </c>
    </row>
    <row r="5363" spans="1:10" customHeight="0">
      <c r="A5363" s="0">
        <f>HYPERLINK("https://dl.dropboxusercontent.com/scl/fi/7gvci4d46qo976uh6rvxc/107076-af.jpg?rlkey=ijcn9cl7bmx3zuphy5mrexhmv&amp;dl=0","Click to download Image")</f>
      </c>
      <c r="B5363" s="0">
        <f>HYPERLINK("https://dl.dropboxusercontent.com/scl/fi/0dsor48tt9f1pgi53cx7a/womens-hoodie-and-sweatshirt-size-chartsmagnolia.jpg?rlkey=sf6tzhxh164ro3zr2jj4da109&amp;dl=0","Click to download SizeChart")</f>
      </c>
      <c r="C5363" s="0" t="inlineStr">
        <is>
          <t>Magnolia Women's French Terry Hoodie</t>
        </is>
      </c>
      <c r="D5363" s="0" t="inlineStr">
        <is>
          <t>'107076</t>
        </is>
      </c>
      <c r="E5363" s="0" t="inlineStr">
        <is>
          <t>UNI MAGNOLIA:107076E-2XL</t>
        </is>
      </c>
      <c r="F5363" s="0" t="inlineStr">
        <is>
          <t>'800107076058</t>
        </is>
      </c>
      <c r="G5363" s="0" t="inlineStr">
        <is>
          <t>WOMENS</t>
        </is>
      </c>
      <c r="H5363" s="0" t="inlineStr">
        <is>
          <t>2XL</t>
        </is>
      </c>
      <c r="I5363" s="0">
        <v>44.99</v>
      </c>
      <c r="J5363" s="0">
        <v>0</v>
      </c>
    </row>
    <row r="5364" spans="1:10" customHeight="0">
      <c r="A5364" s="0">
        <f>HYPERLINK("https://dl.dropboxusercontent.com/scl/fi/7gvci4d46qo976uh6rvxc/107076-af.jpg?rlkey=ijcn9cl7bmx3zuphy5mrexhmv&amp;dl=0","Click to download Image")</f>
      </c>
      <c r="B5364" s="0">
        <f>HYPERLINK("https://dl.dropboxusercontent.com/scl/fi/0dsor48tt9f1pgi53cx7a/womens-hoodie-and-sweatshirt-size-chartsmagnolia.jpg?rlkey=sf6tzhxh164ro3zr2jj4da109&amp;dl=0","Click to download SizeChart")</f>
      </c>
      <c r="C5364" s="0" t="inlineStr">
        <is>
          <t>Magnolia Women's French Terry Hoodie</t>
        </is>
      </c>
      <c r="D5364" s="0" t="inlineStr">
        <is>
          <t>'107076</t>
        </is>
      </c>
      <c r="E5364" s="0" t="inlineStr">
        <is>
          <t>UNI MAGNOLIA:107076F-3XL</t>
        </is>
      </c>
      <c r="F5364" s="0" t="inlineStr">
        <is>
          <t>'800107076065</t>
        </is>
      </c>
      <c r="G5364" s="0" t="inlineStr">
        <is>
          <t>WOMENS</t>
        </is>
      </c>
      <c r="H5364" s="0" t="inlineStr">
        <is>
          <t>3XL</t>
        </is>
      </c>
      <c r="I5364" s="0">
        <v>44.99</v>
      </c>
      <c r="J5364" s="0">
        <v>2</v>
      </c>
    </row>
    <row r="5365" spans="1:10" customHeight="0">
      <c r="A5365" s="0">
        <f>HYPERLINK("https://dl.dropboxusercontent.com/scl/fi/13ystmsal7okawt2jvtir/isumurphy90769.jpg?rlkey=b4sy4ec4c5sw47b49v8bmu5bl&amp;dl=0","Click to download Image")</f>
      </c>
      <c r="C5365" s="0" t="inlineStr">
        <is>
          <t>Murphy Scarf OSFM</t>
        </is>
      </c>
      <c r="D5365" s="0" t="inlineStr">
        <is>
          <t>'109227</t>
        </is>
      </c>
      <c r="E5365" s="0" t="inlineStr">
        <is>
          <t>ISU MURPHY:109227</t>
        </is>
      </c>
      <c r="F5365" s="0" t="inlineStr">
        <is>
          <t>'900109227011</t>
        </is>
      </c>
      <c r="I5365" s="0">
        <v>23.99</v>
      </c>
      <c r="J5365" s="0">
        <v>118</v>
      </c>
    </row>
    <row r="5366" spans="1:10" customHeight="0">
      <c r="A5366" s="0">
        <f>HYPERLINK("https://dl.dropboxusercontent.com/scl/fi/ubsinxfzyir3x1kv7o250/109228af87285.jpg?rlkey=z0eqm6vvo52p4l93pi1itgp10&amp;dl=0","Click to download Image")</f>
      </c>
      <c r="C5366" s="0" t="inlineStr">
        <is>
          <t>Murphy Scarf OSFM</t>
        </is>
      </c>
      <c r="D5366" s="0" t="inlineStr">
        <is>
          <t>'109228</t>
        </is>
      </c>
      <c r="E5366" s="0" t="inlineStr">
        <is>
          <t>UNI MURPHY:109228</t>
        </is>
      </c>
      <c r="F5366" s="0" t="inlineStr">
        <is>
          <t>'900109228018</t>
        </is>
      </c>
      <c r="I5366" s="0">
        <v>23.99</v>
      </c>
      <c r="J5366" s="0">
        <v>67</v>
      </c>
    </row>
    <row r="5367" spans="1:10" customHeight="0">
      <c r="A5367" s="0">
        <f>HYPERLINK("https://dl.dropboxusercontent.com/scl/fi/8pnuh0ri91xlcrwwzyss8/106983af37012.jpg?rlkey=qy38dqjkqs9e5r3eqgs2yxcnf&amp;dl=0","Click to download Image")</f>
      </c>
      <c r="C5367" s="0" t="inlineStr">
        <is>
          <t>Murphy Scarf OSFM</t>
        </is>
      </c>
      <c r="D5367" s="0" t="inlineStr">
        <is>
          <t>'106983</t>
        </is>
      </c>
      <c r="E5367" s="0" t="inlineStr">
        <is>
          <t>IA MURPHY:106983</t>
        </is>
      </c>
      <c r="F5367" s="0" t="inlineStr">
        <is>
          <t>'900106983019</t>
        </is>
      </c>
      <c r="I5367" s="0">
        <v>23.99</v>
      </c>
      <c r="J5367" s="0">
        <v>214</v>
      </c>
    </row>
    <row r="5368" spans="1:10" customHeight="0">
      <c r="A5368" s="0">
        <f>HYPERLINK("https://dl.dropboxusercontent.com/scl/fi/m4rg4lzr2mz34s4uovb2k/swarm.jpg?rlkey=3lsh8csj55b4wfqhiku1s9ns0&amp;dl=0","Click to download Image")</f>
      </c>
      <c r="C5368" s="0" t="inlineStr">
        <is>
          <t>Swarm Men's Hip Hop Cap</t>
        </is>
      </c>
      <c r="D5368" s="0" t="inlineStr">
        <is>
          <t>'93783</t>
        </is>
      </c>
      <c r="E5368" s="0" t="inlineStr">
        <is>
          <t>SWARM:93783</t>
        </is>
      </c>
      <c r="F5368" s="0" t="inlineStr">
        <is>
          <t>'000000000000</t>
        </is>
      </c>
      <c r="G5368" s="0" t="inlineStr">
        <is>
          <t>MENS</t>
        </is>
      </c>
      <c r="H5368" s="0" t="inlineStr">
        <is>
          <t>STANDARD MENS</t>
        </is>
      </c>
      <c r="I5368" s="0">
        <v>24.99</v>
      </c>
      <c r="J5368" s="0">
        <v>20</v>
      </c>
    </row>
    <row r="5369" spans="1:10" customHeight="0">
      <c r="A5369" s="0">
        <f>HYPERLINK("https://dl.dropboxusercontent.com/scl/fi/v5m6jl9bik15a3qswx0v4/109180af.jpg?rlkey=r1ny059u9o4glat80mc8yjuis&amp;dl=0","Click to download Image")</f>
      </c>
      <c r="B5369" s="0">
        <f>HYPERLINK("https://dl.dropboxusercontent.com/scl/fi/6l8v0to0x4tfmwms2n69a/womens-hoodie-and-sweatshirt-size-chartslittleton.jpg?rlkey=h4o3nxv0i68aprg82v3i5zwye&amp;dl=0","Click to download SizeChart")</f>
      </c>
      <c r="C5369" s="0" t="inlineStr">
        <is>
          <t>Littleton Women's Cowl Neck Pullover</t>
        </is>
      </c>
      <c r="D5369" s="0" t="inlineStr">
        <is>
          <t>'109180</t>
        </is>
      </c>
      <c r="E5369" s="0" t="inlineStr">
        <is>
          <t>IOWA GOLD LITTLETON:109180A-S</t>
        </is>
      </c>
      <c r="F5369" s="0" t="inlineStr">
        <is>
          <t>'800109180012</t>
        </is>
      </c>
      <c r="G5369" s="0" t="inlineStr">
        <is>
          <t>WOMENS</t>
        </is>
      </c>
      <c r="H5369" s="0" t="inlineStr">
        <is>
          <t>S</t>
        </is>
      </c>
      <c r="I5369" s="0">
        <v>39.99</v>
      </c>
      <c r="J5369" s="0">
        <v>4</v>
      </c>
    </row>
    <row r="5370" spans="1:10" customHeight="0">
      <c r="A5370" s="0">
        <f>HYPERLINK("https://dl.dropboxusercontent.com/scl/fi/v5m6jl9bik15a3qswx0v4/109180af.jpg?rlkey=r1ny059u9o4glat80mc8yjuis&amp;dl=0","Click to download Image")</f>
      </c>
      <c r="B5370" s="0">
        <f>HYPERLINK("https://dl.dropboxusercontent.com/scl/fi/6l8v0to0x4tfmwms2n69a/womens-hoodie-and-sweatshirt-size-chartslittleton.jpg?rlkey=h4o3nxv0i68aprg82v3i5zwye&amp;dl=0","Click to download SizeChart")</f>
      </c>
      <c r="C5370" s="0" t="inlineStr">
        <is>
          <t>Littleton Women's Cowl Neck Pullover</t>
        </is>
      </c>
      <c r="D5370" s="0" t="inlineStr">
        <is>
          <t>'109180</t>
        </is>
      </c>
      <c r="E5370" s="0" t="inlineStr">
        <is>
          <t>IOWA GOLD LITTLETON:109180B-M</t>
        </is>
      </c>
      <c r="F5370" s="0" t="inlineStr">
        <is>
          <t>'800109180029</t>
        </is>
      </c>
      <c r="G5370" s="0" t="inlineStr">
        <is>
          <t>WOMENS</t>
        </is>
      </c>
      <c r="H5370" s="0" t="inlineStr">
        <is>
          <t>M</t>
        </is>
      </c>
      <c r="I5370" s="0">
        <v>39.99</v>
      </c>
      <c r="J5370" s="0">
        <v>8</v>
      </c>
    </row>
    <row r="5371" spans="1:10" customHeight="0">
      <c r="A5371" s="0">
        <f>HYPERLINK("https://dl.dropboxusercontent.com/scl/fi/v5m6jl9bik15a3qswx0v4/109180af.jpg?rlkey=r1ny059u9o4glat80mc8yjuis&amp;dl=0","Click to download Image")</f>
      </c>
      <c r="B5371" s="0">
        <f>HYPERLINK("https://dl.dropboxusercontent.com/scl/fi/6l8v0to0x4tfmwms2n69a/womens-hoodie-and-sweatshirt-size-chartslittleton.jpg?rlkey=h4o3nxv0i68aprg82v3i5zwye&amp;dl=0","Click to download SizeChart")</f>
      </c>
      <c r="C5371" s="0" t="inlineStr">
        <is>
          <t>Littleton Women's Cowl Neck Pullover</t>
        </is>
      </c>
      <c r="D5371" s="0" t="inlineStr">
        <is>
          <t>'109180</t>
        </is>
      </c>
      <c r="E5371" s="0" t="inlineStr">
        <is>
          <t>IOWA GOLD LITTLETON:109180C-L</t>
        </is>
      </c>
      <c r="F5371" s="0" t="inlineStr">
        <is>
          <t>'800109180036</t>
        </is>
      </c>
      <c r="G5371" s="0" t="inlineStr">
        <is>
          <t>WOMENS</t>
        </is>
      </c>
      <c r="H5371" s="0" t="inlineStr">
        <is>
          <t>L</t>
        </is>
      </c>
      <c r="I5371" s="0">
        <v>39.99</v>
      </c>
      <c r="J5371" s="0">
        <v>8</v>
      </c>
    </row>
    <row r="5372" spans="1:10" customHeight="0">
      <c r="A5372" s="0">
        <f>HYPERLINK("https://dl.dropboxusercontent.com/scl/fi/v5m6jl9bik15a3qswx0v4/109180af.jpg?rlkey=r1ny059u9o4glat80mc8yjuis&amp;dl=0","Click to download Image")</f>
      </c>
      <c r="B5372" s="0">
        <f>HYPERLINK("https://dl.dropboxusercontent.com/scl/fi/6l8v0to0x4tfmwms2n69a/womens-hoodie-and-sweatshirt-size-chartslittleton.jpg?rlkey=h4o3nxv0i68aprg82v3i5zwye&amp;dl=0","Click to download SizeChart")</f>
      </c>
      <c r="C5372" s="0" t="inlineStr">
        <is>
          <t>Littleton Women's Cowl Neck Pullover</t>
        </is>
      </c>
      <c r="D5372" s="0" t="inlineStr">
        <is>
          <t>'109180</t>
        </is>
      </c>
      <c r="E5372" s="0" t="inlineStr">
        <is>
          <t>IOWA GOLD LITTLETON:109180D-XL</t>
        </is>
      </c>
      <c r="F5372" s="0" t="inlineStr">
        <is>
          <t>'800109180043</t>
        </is>
      </c>
      <c r="G5372" s="0" t="inlineStr">
        <is>
          <t>WOMENS</t>
        </is>
      </c>
      <c r="H5372" s="0" t="inlineStr">
        <is>
          <t>XL</t>
        </is>
      </c>
      <c r="I5372" s="0">
        <v>39.99</v>
      </c>
      <c r="J5372" s="0">
        <v>3</v>
      </c>
    </row>
    <row r="5373" spans="1:10" customHeight="0">
      <c r="A5373" s="0">
        <f>HYPERLINK("https://dl.dropboxusercontent.com/scl/fi/v5m6jl9bik15a3qswx0v4/109180af.jpg?rlkey=r1ny059u9o4glat80mc8yjuis&amp;dl=0","Click to download Image")</f>
      </c>
      <c r="B5373" s="0">
        <f>HYPERLINK("https://dl.dropboxusercontent.com/scl/fi/6l8v0to0x4tfmwms2n69a/womens-hoodie-and-sweatshirt-size-chartslittleton.jpg?rlkey=h4o3nxv0i68aprg82v3i5zwye&amp;dl=0","Click to download SizeChart")</f>
      </c>
      <c r="C5373" s="0" t="inlineStr">
        <is>
          <t>Littleton Women's Cowl Neck Pullover</t>
        </is>
      </c>
      <c r="D5373" s="0" t="inlineStr">
        <is>
          <t>'109180</t>
        </is>
      </c>
      <c r="E5373" s="0" t="inlineStr">
        <is>
          <t>IOWA GOLD LITTLETON:109180E-2XL</t>
        </is>
      </c>
      <c r="F5373" s="0" t="inlineStr">
        <is>
          <t>'800109180050</t>
        </is>
      </c>
      <c r="G5373" s="0" t="inlineStr">
        <is>
          <t>WOMENS</t>
        </is>
      </c>
      <c r="H5373" s="0" t="inlineStr">
        <is>
          <t>2XL</t>
        </is>
      </c>
      <c r="I5373" s="0">
        <v>41.99</v>
      </c>
      <c r="J5373" s="0">
        <v>1</v>
      </c>
    </row>
    <row r="5374" spans="1:10" customHeight="0">
      <c r="A5374" s="0">
        <f>HYPERLINK("https://dl.dropboxusercontent.com/scl/fi/v5m6jl9bik15a3qswx0v4/109180af.jpg?rlkey=r1ny059u9o4glat80mc8yjuis&amp;dl=0","Click to download Image")</f>
      </c>
      <c r="B5374" s="0">
        <f>HYPERLINK("https://dl.dropboxusercontent.com/scl/fi/6l8v0to0x4tfmwms2n69a/womens-hoodie-and-sweatshirt-size-chartslittleton.jpg?rlkey=h4o3nxv0i68aprg82v3i5zwye&amp;dl=0","Click to download SizeChart")</f>
      </c>
      <c r="C5374" s="0" t="inlineStr">
        <is>
          <t>Littleton Women's Cowl Neck Pullover</t>
        </is>
      </c>
      <c r="D5374" s="0" t="inlineStr">
        <is>
          <t>'109180</t>
        </is>
      </c>
      <c r="E5374" s="0" t="inlineStr">
        <is>
          <t>IOWA GOLD LITTLETON:109180F-3XL</t>
        </is>
      </c>
      <c r="F5374" s="0" t="inlineStr">
        <is>
          <t>'800109180067</t>
        </is>
      </c>
      <c r="G5374" s="0" t="inlineStr">
        <is>
          <t>WOMENS</t>
        </is>
      </c>
      <c r="H5374" s="0" t="inlineStr">
        <is>
          <t>3XL</t>
        </is>
      </c>
      <c r="I5374" s="0">
        <v>41.99</v>
      </c>
      <c r="J5374" s="0">
        <v>4</v>
      </c>
    </row>
    <row r="5375" spans="1:10" customHeight="0">
      <c r="A5375" s="0">
        <f>HYPERLINK("https://dl.dropboxusercontent.com/scl/fi/io63kdknm99jvuyevqvjc/109177af.jpg?rlkey=hyehj9uhbiea774jlz02vpeut&amp;dl=0","Click to download Image")</f>
      </c>
      <c r="B5375" s="0">
        <f>HYPERLINK("https://dl.dropboxusercontent.com/scl/fi/6l8v0to0x4tfmwms2n69a/womens-hoodie-and-sweatshirt-size-chartslittleton.jpg?rlkey=h4o3nxv0i68aprg82v3i5zwye&amp;dl=0","Click to download SizeChart")</f>
      </c>
      <c r="C5375" s="0" t="inlineStr">
        <is>
          <t>Littleton Women's Cowl Neck Pullover</t>
        </is>
      </c>
      <c r="D5375" s="0" t="inlineStr">
        <is>
          <t>'109177</t>
        </is>
      </c>
      <c r="E5375" s="0" t="inlineStr">
        <is>
          <t>IOWA WHITE LITTLETON:109177A-S</t>
        </is>
      </c>
      <c r="F5375" s="0" t="inlineStr">
        <is>
          <t>'800109177012</t>
        </is>
      </c>
      <c r="G5375" s="0" t="inlineStr">
        <is>
          <t>WOMENS</t>
        </is>
      </c>
      <c r="H5375" s="0" t="inlineStr">
        <is>
          <t>S</t>
        </is>
      </c>
      <c r="I5375" s="0">
        <v>39.99</v>
      </c>
      <c r="J5375" s="0">
        <v>10</v>
      </c>
    </row>
    <row r="5376" spans="1:10" customHeight="0">
      <c r="A5376" s="0">
        <f>HYPERLINK("https://dl.dropboxusercontent.com/scl/fi/io63kdknm99jvuyevqvjc/109177af.jpg?rlkey=hyehj9uhbiea774jlz02vpeut&amp;dl=0","Click to download Image")</f>
      </c>
      <c r="B5376" s="0">
        <f>HYPERLINK("https://dl.dropboxusercontent.com/scl/fi/6l8v0to0x4tfmwms2n69a/womens-hoodie-and-sweatshirt-size-chartslittleton.jpg?rlkey=h4o3nxv0i68aprg82v3i5zwye&amp;dl=0","Click to download SizeChart")</f>
      </c>
      <c r="C5376" s="0" t="inlineStr">
        <is>
          <t>Littleton Women's Cowl Neck Pullover</t>
        </is>
      </c>
      <c r="D5376" s="0" t="inlineStr">
        <is>
          <t>'109177</t>
        </is>
      </c>
      <c r="E5376" s="0" t="inlineStr">
        <is>
          <t>IOWA WHITE LITTLETON:109177B-M</t>
        </is>
      </c>
      <c r="F5376" s="0" t="inlineStr">
        <is>
          <t>'800109177029</t>
        </is>
      </c>
      <c r="G5376" s="0" t="inlineStr">
        <is>
          <t>WOMENS</t>
        </is>
      </c>
      <c r="H5376" s="0" t="inlineStr">
        <is>
          <t>M</t>
        </is>
      </c>
      <c r="I5376" s="0">
        <v>39.99</v>
      </c>
      <c r="J5376" s="0">
        <v>21</v>
      </c>
    </row>
    <row r="5377" spans="1:10" customHeight="0">
      <c r="A5377" s="0">
        <f>HYPERLINK("https://dl.dropboxusercontent.com/scl/fi/io63kdknm99jvuyevqvjc/109177af.jpg?rlkey=hyehj9uhbiea774jlz02vpeut&amp;dl=0","Click to download Image")</f>
      </c>
      <c r="B5377" s="0">
        <f>HYPERLINK("https://dl.dropboxusercontent.com/scl/fi/6l8v0to0x4tfmwms2n69a/womens-hoodie-and-sweatshirt-size-chartslittleton.jpg?rlkey=h4o3nxv0i68aprg82v3i5zwye&amp;dl=0","Click to download SizeChart")</f>
      </c>
      <c r="C5377" s="0" t="inlineStr">
        <is>
          <t>Littleton Women's Cowl Neck Pullover</t>
        </is>
      </c>
      <c r="D5377" s="0" t="inlineStr">
        <is>
          <t>'109177</t>
        </is>
      </c>
      <c r="E5377" s="0" t="inlineStr">
        <is>
          <t>IOWA WHITE LITTLETON:109177C-L</t>
        </is>
      </c>
      <c r="F5377" s="0" t="inlineStr">
        <is>
          <t>'800109177036</t>
        </is>
      </c>
      <c r="G5377" s="0" t="inlineStr">
        <is>
          <t>WOMENS</t>
        </is>
      </c>
      <c r="H5377" s="0" t="inlineStr">
        <is>
          <t>L</t>
        </is>
      </c>
      <c r="I5377" s="0">
        <v>39.99</v>
      </c>
      <c r="J5377" s="0">
        <v>18</v>
      </c>
    </row>
    <row r="5378" spans="1:10" customHeight="0">
      <c r="A5378" s="0">
        <f>HYPERLINK("https://dl.dropboxusercontent.com/scl/fi/io63kdknm99jvuyevqvjc/109177af.jpg?rlkey=hyehj9uhbiea774jlz02vpeut&amp;dl=0","Click to download Image")</f>
      </c>
      <c r="B5378" s="0">
        <f>HYPERLINK("https://dl.dropboxusercontent.com/scl/fi/6l8v0to0x4tfmwms2n69a/womens-hoodie-and-sweatshirt-size-chartslittleton.jpg?rlkey=h4o3nxv0i68aprg82v3i5zwye&amp;dl=0","Click to download SizeChart")</f>
      </c>
      <c r="C5378" s="0" t="inlineStr">
        <is>
          <t>Littleton Women's Cowl Neck Pullover</t>
        </is>
      </c>
      <c r="D5378" s="0" t="inlineStr">
        <is>
          <t>'109177</t>
        </is>
      </c>
      <c r="E5378" s="0" t="inlineStr">
        <is>
          <t>IOWA WHITE LITTLETON:109177D-XL</t>
        </is>
      </c>
      <c r="F5378" s="0" t="inlineStr">
        <is>
          <t>'800109177043</t>
        </is>
      </c>
      <c r="G5378" s="0" t="inlineStr">
        <is>
          <t>WOMENS</t>
        </is>
      </c>
      <c r="H5378" s="0" t="inlineStr">
        <is>
          <t>XL</t>
        </is>
      </c>
      <c r="I5378" s="0">
        <v>39.99</v>
      </c>
      <c r="J5378" s="0">
        <v>8</v>
      </c>
    </row>
    <row r="5379" spans="1:10" customHeight="0">
      <c r="A5379" s="0">
        <f>HYPERLINK("https://dl.dropboxusercontent.com/scl/fi/io63kdknm99jvuyevqvjc/109177af.jpg?rlkey=hyehj9uhbiea774jlz02vpeut&amp;dl=0","Click to download Image")</f>
      </c>
      <c r="B5379" s="0">
        <f>HYPERLINK("https://dl.dropboxusercontent.com/scl/fi/6l8v0to0x4tfmwms2n69a/womens-hoodie-and-sweatshirt-size-chartslittleton.jpg?rlkey=h4o3nxv0i68aprg82v3i5zwye&amp;dl=0","Click to download SizeChart")</f>
      </c>
      <c r="C5379" s="0" t="inlineStr">
        <is>
          <t>Littleton Women's Cowl Neck Pullover</t>
        </is>
      </c>
      <c r="D5379" s="0" t="inlineStr">
        <is>
          <t>'109177</t>
        </is>
      </c>
      <c r="E5379" s="0" t="inlineStr">
        <is>
          <t>IOWA WHITE LITTLETON:109177E-2XL</t>
        </is>
      </c>
      <c r="F5379" s="0" t="inlineStr">
        <is>
          <t>'800109177050</t>
        </is>
      </c>
      <c r="G5379" s="0" t="inlineStr">
        <is>
          <t>WOMENS</t>
        </is>
      </c>
      <c r="H5379" s="0" t="inlineStr">
        <is>
          <t>2XL</t>
        </is>
      </c>
      <c r="I5379" s="0">
        <v>41.99</v>
      </c>
      <c r="J5379" s="0">
        <v>0</v>
      </c>
    </row>
    <row r="5380" spans="1:10" customHeight="0">
      <c r="A5380" s="0">
        <f>HYPERLINK("https://dl.dropboxusercontent.com/scl/fi/io63kdknm99jvuyevqvjc/109177af.jpg?rlkey=hyehj9uhbiea774jlz02vpeut&amp;dl=0","Click to download Image")</f>
      </c>
      <c r="B5380" s="0">
        <f>HYPERLINK("https://dl.dropboxusercontent.com/scl/fi/6l8v0to0x4tfmwms2n69a/womens-hoodie-and-sweatshirt-size-chartslittleton.jpg?rlkey=h4o3nxv0i68aprg82v3i5zwye&amp;dl=0","Click to download SizeChart")</f>
      </c>
      <c r="C5380" s="0" t="inlineStr">
        <is>
          <t>Littleton Women's Cowl Neck Pullover</t>
        </is>
      </c>
      <c r="D5380" s="0" t="inlineStr">
        <is>
          <t>'109177</t>
        </is>
      </c>
      <c r="E5380" s="0" t="inlineStr">
        <is>
          <t>IOWA WHITE LITTLETON:109177F-3XL</t>
        </is>
      </c>
      <c r="F5380" s="0" t="inlineStr">
        <is>
          <t>'800109177067</t>
        </is>
      </c>
      <c r="G5380" s="0" t="inlineStr">
        <is>
          <t>WOMENS</t>
        </is>
      </c>
      <c r="H5380" s="0" t="inlineStr">
        <is>
          <t>3XL</t>
        </is>
      </c>
      <c r="I5380" s="0">
        <v>41.99</v>
      </c>
      <c r="J5380" s="0">
        <v>2</v>
      </c>
    </row>
    <row r="5381" spans="1:10" customHeight="0">
      <c r="A5381" s="0">
        <f>HYPERLINK("https://dl.dropboxusercontent.com/scl/fi/cc1ib3ltzl59pd8mpap4j/sundress-02.jpg?rlkey=9ec957pvfvh1itomkbu3780l8&amp;dl=0","Click to download Image")</f>
      </c>
      <c r="B5381" s="0">
        <f>HYPERLINK("https://dl.dropboxusercontent.com/scl/fi/dh7qe7ninovt1vuuvhhk4/size-chartsinfant-sundress-b.jpg?rlkey=be1mtgd7ovy9ek4uc7n4x5zm2&amp;dl=0","Click to download SizeChart")</f>
      </c>
      <c r="C5381" s="0" t="inlineStr">
        <is>
          <t>Ruffle Sundress Toddler</t>
        </is>
      </c>
      <c r="D5381" s="0" t="inlineStr">
        <is>
          <t>'95617</t>
        </is>
      </c>
      <c r="E5381" s="0" t="inlineStr">
        <is>
          <t>SUN DRESS:95617E-3T</t>
        </is>
      </c>
      <c r="F5381" s="0" t="inlineStr">
        <is>
          <t>'000000000000</t>
        </is>
      </c>
      <c r="G5381" s="0" t="inlineStr">
        <is>
          <t>TODDLER</t>
        </is>
      </c>
      <c r="H5381" s="0" t="inlineStr">
        <is>
          <t>3T</t>
        </is>
      </c>
      <c r="I5381" s="0">
        <v>29.99</v>
      </c>
      <c r="J5381" s="0">
        <v>12</v>
      </c>
    </row>
    <row r="5382" spans="1:10" customHeight="0">
      <c r="A5382" s="0">
        <f>HYPERLINK("https://dl.dropboxusercontent.com/scl/fi/cc1ib3ltzl59pd8mpap4j/sundress-02.jpg?rlkey=9ec957pvfvh1itomkbu3780l8&amp;dl=0","Click to download Image")</f>
      </c>
      <c r="B5382" s="0">
        <f>HYPERLINK("https://dl.dropboxusercontent.com/scl/fi/dh7qe7ninovt1vuuvhhk4/size-chartsinfant-sundress-b.jpg?rlkey=be1mtgd7ovy9ek4uc7n4x5zm2&amp;dl=0","Click to download SizeChart")</f>
      </c>
      <c r="C5382" s="0" t="inlineStr">
        <is>
          <t>Ruffle Sundress Toddler</t>
        </is>
      </c>
      <c r="D5382" s="0" t="inlineStr">
        <is>
          <t>'95617</t>
        </is>
      </c>
      <c r="E5382" s="0" t="inlineStr">
        <is>
          <t>SUN DRESS:95617F-4T</t>
        </is>
      </c>
      <c r="F5382" s="0" t="inlineStr">
        <is>
          <t>'000000000000</t>
        </is>
      </c>
      <c r="G5382" s="0" t="inlineStr">
        <is>
          <t>TODDLER</t>
        </is>
      </c>
      <c r="H5382" s="0" t="inlineStr">
        <is>
          <t>4T</t>
        </is>
      </c>
      <c r="I5382" s="0">
        <v>29.99</v>
      </c>
      <c r="J5382" s="0">
        <v>10</v>
      </c>
    </row>
    <row r="5383" spans="1:10" customHeight="0">
      <c r="A5383" s="0">
        <f>HYPERLINK("https://dl.dropboxusercontent.com/scl/fi/cc1ib3ltzl59pd8mpap4j/sundress-02.jpg?rlkey=9ec957pvfvh1itomkbu3780l8&amp;dl=0","Click to download Image")</f>
      </c>
      <c r="B5383" s="0">
        <f>HYPERLINK("https://dl.dropboxusercontent.com/scl/fi/dh7qe7ninovt1vuuvhhk4/size-chartsinfant-sundress-b.jpg?rlkey=be1mtgd7ovy9ek4uc7n4x5zm2&amp;dl=0","Click to download SizeChart")</f>
      </c>
      <c r="C5383" s="0" t="inlineStr">
        <is>
          <t>Ruffle Sundress Toddler</t>
        </is>
      </c>
      <c r="D5383" s="0" t="inlineStr">
        <is>
          <t>'95617</t>
        </is>
      </c>
      <c r="E5383" s="0" t="inlineStr">
        <is>
          <t>SUN DRESS:95617G-5/6</t>
        </is>
      </c>
      <c r="F5383" s="0" t="inlineStr">
        <is>
          <t>'000000000000</t>
        </is>
      </c>
      <c r="G5383" s="0" t="inlineStr">
        <is>
          <t>TODDLER</t>
        </is>
      </c>
      <c r="H5383" s="0" t="inlineStr">
        <is>
          <t>5/6</t>
        </is>
      </c>
      <c r="I5383" s="0">
        <v>29.99</v>
      </c>
      <c r="J5383" s="0">
        <v>1</v>
      </c>
    </row>
    <row r="5384" spans="1:10" customHeight="0">
      <c r="A5384" s="0">
        <f>HYPERLINK("https://dl.dropboxusercontent.com/scl/fi/cc1ib3ltzl59pd8mpap4j/sundress-02.jpg?rlkey=9ec957pvfvh1itomkbu3780l8&amp;dl=0","Click to download Image")</f>
      </c>
      <c r="B5384" s="0">
        <f>HYPERLINK("https://dl.dropboxusercontent.com/scl/fi/dh7qe7ninovt1vuuvhhk4/size-chartsinfant-sundress-b.jpg?rlkey=be1mtgd7ovy9ek4uc7n4x5zm2&amp;dl=0","Click to download SizeChart")</f>
      </c>
      <c r="C5384" s="0" t="inlineStr">
        <is>
          <t>Ruffle Sundress Toddler</t>
        </is>
      </c>
      <c r="D5384" s="0" t="inlineStr">
        <is>
          <t>'95617</t>
        </is>
      </c>
      <c r="E5384" s="0" t="inlineStr">
        <is>
          <t>SUN DRESS:95617H-6X</t>
        </is>
      </c>
      <c r="F5384" s="0" t="inlineStr">
        <is>
          <t>'000000000000</t>
        </is>
      </c>
      <c r="G5384" s="0" t="inlineStr">
        <is>
          <t>TODDLER</t>
        </is>
      </c>
      <c r="H5384" s="0" t="inlineStr">
        <is>
          <t>6X</t>
        </is>
      </c>
      <c r="I5384" s="0">
        <v>29.99</v>
      </c>
      <c r="J5384" s="0">
        <v>7</v>
      </c>
    </row>
    <row r="5385" spans="1:10" customHeight="0">
      <c r="A5385" s="0">
        <f>HYPERLINK("https://dl.dropboxusercontent.com/scl/fi/1qnnuz5vimpafok6jrcpq/sundress-03.jpg?rlkey=7rjcdpzp4pgnhs4ue7jxusx9v&amp;dl=0","Click to download Image")</f>
      </c>
      <c r="B5385" s="0">
        <f>HYPERLINK("https://dl.dropboxusercontent.com/scl/fi/dh7qe7ninovt1vuuvhhk4/size-chartsinfant-sundress-b.jpg?rlkey=be1mtgd7ovy9ek4uc7n4x5zm2&amp;dl=0","Click to download SizeChart")</f>
      </c>
      <c r="C5385" s="0" t="inlineStr">
        <is>
          <t>Ruffle Sundress Toddler</t>
        </is>
      </c>
      <c r="D5385" s="0" t="inlineStr">
        <is>
          <t>'95616</t>
        </is>
      </c>
      <c r="E5385" s="0" t="inlineStr">
        <is>
          <t>SUN DRESS:95616E-3T</t>
        </is>
      </c>
      <c r="F5385" s="0" t="inlineStr">
        <is>
          <t>'000000000000</t>
        </is>
      </c>
      <c r="G5385" s="0" t="inlineStr">
        <is>
          <t>TODDLER</t>
        </is>
      </c>
      <c r="H5385" s="0" t="inlineStr">
        <is>
          <t>3T</t>
        </is>
      </c>
      <c r="I5385" s="0">
        <v>29.99</v>
      </c>
      <c r="J5385" s="0">
        <v>33</v>
      </c>
    </row>
    <row r="5386" spans="1:10" customHeight="0">
      <c r="A5386" s="0">
        <f>HYPERLINK("https://dl.dropboxusercontent.com/scl/fi/1qnnuz5vimpafok6jrcpq/sundress-03.jpg?rlkey=7rjcdpzp4pgnhs4ue7jxusx9v&amp;dl=0","Click to download Image")</f>
      </c>
      <c r="B5386" s="0">
        <f>HYPERLINK("https://dl.dropboxusercontent.com/scl/fi/dh7qe7ninovt1vuuvhhk4/size-chartsinfant-sundress-b.jpg?rlkey=be1mtgd7ovy9ek4uc7n4x5zm2&amp;dl=0","Click to download SizeChart")</f>
      </c>
      <c r="C5386" s="0" t="inlineStr">
        <is>
          <t>Ruffle Sundress Toddler</t>
        </is>
      </c>
      <c r="D5386" s="0" t="inlineStr">
        <is>
          <t>'95616</t>
        </is>
      </c>
      <c r="E5386" s="0" t="inlineStr">
        <is>
          <t>SUN DRESS:95616F-4T</t>
        </is>
      </c>
      <c r="F5386" s="0" t="inlineStr">
        <is>
          <t>'000000000000</t>
        </is>
      </c>
      <c r="G5386" s="0" t="inlineStr">
        <is>
          <t>TODDLER</t>
        </is>
      </c>
      <c r="H5386" s="0" t="inlineStr">
        <is>
          <t>4T</t>
        </is>
      </c>
      <c r="I5386" s="0">
        <v>29.99</v>
      </c>
      <c r="J5386" s="0">
        <v>18</v>
      </c>
    </row>
    <row r="5387" spans="1:10" customHeight="0">
      <c r="A5387" s="0">
        <f>HYPERLINK("https://dl.dropboxusercontent.com/scl/fi/1qnnuz5vimpafok6jrcpq/sundress-03.jpg?rlkey=7rjcdpzp4pgnhs4ue7jxusx9v&amp;dl=0","Click to download Image")</f>
      </c>
      <c r="B5387" s="0">
        <f>HYPERLINK("https://dl.dropboxusercontent.com/scl/fi/dh7qe7ninovt1vuuvhhk4/size-chartsinfant-sundress-b.jpg?rlkey=be1mtgd7ovy9ek4uc7n4x5zm2&amp;dl=0","Click to download SizeChart")</f>
      </c>
      <c r="C5387" s="0" t="inlineStr">
        <is>
          <t>Ruffle Sundress Toddler</t>
        </is>
      </c>
      <c r="D5387" s="0" t="inlineStr">
        <is>
          <t>'95616</t>
        </is>
      </c>
      <c r="E5387" s="0" t="inlineStr">
        <is>
          <t>SUN DRESS:95616G-5/6</t>
        </is>
      </c>
      <c r="F5387" s="0" t="inlineStr">
        <is>
          <t>'000000000000</t>
        </is>
      </c>
      <c r="G5387" s="0" t="inlineStr">
        <is>
          <t>TODDLER</t>
        </is>
      </c>
      <c r="H5387" s="0" t="inlineStr">
        <is>
          <t>5/6</t>
        </is>
      </c>
      <c r="I5387" s="0">
        <v>29.99</v>
      </c>
      <c r="J5387" s="0">
        <v>5</v>
      </c>
    </row>
    <row r="5388" spans="1:10" customHeight="0">
      <c r="A5388" s="0">
        <f>HYPERLINK("https://dl.dropboxusercontent.com/scl/fi/1qnnuz5vimpafok6jrcpq/sundress-03.jpg?rlkey=7rjcdpzp4pgnhs4ue7jxusx9v&amp;dl=0","Click to download Image")</f>
      </c>
      <c r="B5388" s="0">
        <f>HYPERLINK("https://dl.dropboxusercontent.com/scl/fi/dh7qe7ninovt1vuuvhhk4/size-chartsinfant-sundress-b.jpg?rlkey=be1mtgd7ovy9ek4uc7n4x5zm2&amp;dl=0","Click to download SizeChart")</f>
      </c>
      <c r="C5388" s="0" t="inlineStr">
        <is>
          <t>Ruffle Sundress Toddler</t>
        </is>
      </c>
      <c r="D5388" s="0" t="inlineStr">
        <is>
          <t>'95616</t>
        </is>
      </c>
      <c r="E5388" s="0" t="inlineStr">
        <is>
          <t>SUN DRESS:95616H-6X</t>
        </is>
      </c>
      <c r="F5388" s="0" t="inlineStr">
        <is>
          <t>'000000000000</t>
        </is>
      </c>
      <c r="G5388" s="0" t="inlineStr">
        <is>
          <t>TODDLER</t>
        </is>
      </c>
      <c r="H5388" s="0" t="inlineStr">
        <is>
          <t>6X</t>
        </is>
      </c>
      <c r="I5388" s="0">
        <v>29.99</v>
      </c>
      <c r="J5388" s="0">
        <v>17</v>
      </c>
    </row>
    <row r="5389" spans="1:10" customHeight="0">
      <c r="A5389" s="0">
        <f>HYPERLINK("https://dl.dropboxusercontent.com/scl/fi/y27rc9vcbivatiu8t06hr/sundress-02.jpg?rlkey=57gk9xnqdz42nbzh5d5r8it9f&amp;dl=0","Click to download Image")</f>
      </c>
      <c r="B5389" s="0">
        <f>HYPERLINK("https://dl.dropboxusercontent.com/scl/fi/86gf00bdjbzdfifmb9a0c/size-chartsinfant-sundress-b.jpg?rlkey=wvjfs1ozllu9ieim8h4cfw2ax&amp;dl=0","Click to download SizeChart")</f>
      </c>
      <c r="C5389" s="0" t="inlineStr">
        <is>
          <t>Ruffle Sundress Infant</t>
        </is>
      </c>
      <c r="D5389" s="0" t="inlineStr">
        <is>
          <t>'95617</t>
        </is>
      </c>
      <c r="E5389" s="0" t="inlineStr">
        <is>
          <t>SUN DRESS:95617A-6M</t>
        </is>
      </c>
      <c r="F5389" s="0" t="inlineStr">
        <is>
          <t>'000000000000</t>
        </is>
      </c>
      <c r="G5389" s="0" t="inlineStr">
        <is>
          <t>INFANT</t>
        </is>
      </c>
      <c r="H5389" s="0" t="inlineStr">
        <is>
          <t>6M</t>
        </is>
      </c>
      <c r="I5389" s="0">
        <v>29.99</v>
      </c>
      <c r="J5389" s="0">
        <v>29</v>
      </c>
    </row>
    <row r="5390" spans="1:10" customHeight="0">
      <c r="A5390" s="0">
        <f>HYPERLINK("https://dl.dropboxusercontent.com/scl/fi/y27rc9vcbivatiu8t06hr/sundress-02.jpg?rlkey=57gk9xnqdz42nbzh5d5r8it9f&amp;dl=0","Click to download Image")</f>
      </c>
      <c r="B5390" s="0">
        <f>HYPERLINK("https://dl.dropboxusercontent.com/scl/fi/86gf00bdjbzdfifmb9a0c/size-chartsinfant-sundress-b.jpg?rlkey=wvjfs1ozllu9ieim8h4cfw2ax&amp;dl=0","Click to download SizeChart")</f>
      </c>
      <c r="C5390" s="0" t="inlineStr">
        <is>
          <t>Ruffle Sundress Infant</t>
        </is>
      </c>
      <c r="D5390" s="0" t="inlineStr">
        <is>
          <t>'95617</t>
        </is>
      </c>
      <c r="E5390" s="0" t="inlineStr">
        <is>
          <t>SUN DRESS:95617B-12M</t>
        </is>
      </c>
      <c r="F5390" s="0" t="inlineStr">
        <is>
          <t>'000000000000</t>
        </is>
      </c>
      <c r="G5390" s="0" t="inlineStr">
        <is>
          <t>INFANT</t>
        </is>
      </c>
      <c r="H5390" s="0" t="inlineStr">
        <is>
          <t>12M</t>
        </is>
      </c>
      <c r="I5390" s="0">
        <v>29.99</v>
      </c>
      <c r="J5390" s="0">
        <v>28</v>
      </c>
    </row>
    <row r="5391" spans="1:10" customHeight="0">
      <c r="A5391" s="0">
        <f>HYPERLINK("https://dl.dropboxusercontent.com/scl/fi/y27rc9vcbivatiu8t06hr/sundress-02.jpg?rlkey=57gk9xnqdz42nbzh5d5r8it9f&amp;dl=0","Click to download Image")</f>
      </c>
      <c r="B5391" s="0">
        <f>HYPERLINK("https://dl.dropboxusercontent.com/scl/fi/86gf00bdjbzdfifmb9a0c/size-chartsinfant-sundress-b.jpg?rlkey=wvjfs1ozllu9ieim8h4cfw2ax&amp;dl=0","Click to download SizeChart")</f>
      </c>
      <c r="C5391" s="0" t="inlineStr">
        <is>
          <t>Ruffle Sundress Infant</t>
        </is>
      </c>
      <c r="D5391" s="0" t="inlineStr">
        <is>
          <t>'95617</t>
        </is>
      </c>
      <c r="E5391" s="0" t="inlineStr">
        <is>
          <t>SUN DRESS:95617C-18M</t>
        </is>
      </c>
      <c r="F5391" s="0" t="inlineStr">
        <is>
          <t>'000000000000</t>
        </is>
      </c>
      <c r="G5391" s="0" t="inlineStr">
        <is>
          <t>INFANT</t>
        </is>
      </c>
      <c r="H5391" s="0" t="inlineStr">
        <is>
          <t>18M</t>
        </is>
      </c>
      <c r="I5391" s="0">
        <v>29.99</v>
      </c>
      <c r="J5391" s="0">
        <v>4</v>
      </c>
    </row>
    <row r="5392" spans="1:10" customHeight="0">
      <c r="A5392" s="0">
        <f>HYPERLINK("https://dl.dropboxusercontent.com/scl/fi/y27rc9vcbivatiu8t06hr/sundress-02.jpg?rlkey=57gk9xnqdz42nbzh5d5r8it9f&amp;dl=0","Click to download Image")</f>
      </c>
      <c r="B5392" s="0">
        <f>HYPERLINK("https://dl.dropboxusercontent.com/scl/fi/86gf00bdjbzdfifmb9a0c/size-chartsinfant-sundress-b.jpg?rlkey=wvjfs1ozllu9ieim8h4cfw2ax&amp;dl=0","Click to download SizeChart")</f>
      </c>
      <c r="C5392" s="0" t="inlineStr">
        <is>
          <t>Ruffle Sundress Infant</t>
        </is>
      </c>
      <c r="D5392" s="0" t="inlineStr">
        <is>
          <t>'95617</t>
        </is>
      </c>
      <c r="E5392" s="0" t="inlineStr">
        <is>
          <t>SUN DRESS:95617D-24M</t>
        </is>
      </c>
      <c r="F5392" s="0" t="inlineStr">
        <is>
          <t>'000000000000</t>
        </is>
      </c>
      <c r="G5392" s="0" t="inlineStr">
        <is>
          <t>INFANT</t>
        </is>
      </c>
      <c r="H5392" s="0" t="inlineStr">
        <is>
          <t>24M</t>
        </is>
      </c>
      <c r="I5392" s="0">
        <v>29.99</v>
      </c>
      <c r="J5392" s="0">
        <v>0</v>
      </c>
    </row>
    <row r="5393" spans="1:10" customHeight="0">
      <c r="A5393" s="0">
        <f>HYPERLINK("https://dl.dropboxusercontent.com/scl/fi/5zsxquiou5xu5b35q4vjl/sundress-03.jpg?rlkey=49ol9l4vdla65m1pewvc8g75t&amp;dl=0","Click to download Image")</f>
      </c>
      <c r="B5393" s="0">
        <f>HYPERLINK("https://dl.dropboxusercontent.com/scl/fi/86gf00bdjbzdfifmb9a0c/size-chartsinfant-sundress-b.jpg?rlkey=wvjfs1ozllu9ieim8h4cfw2ax&amp;dl=0","Click to download SizeChart")</f>
      </c>
      <c r="C5393" s="0" t="inlineStr">
        <is>
          <t>Ruffle Sundress Infant</t>
        </is>
      </c>
      <c r="D5393" s="0" t="inlineStr">
        <is>
          <t>'95616</t>
        </is>
      </c>
      <c r="E5393" s="0" t="inlineStr">
        <is>
          <t>SUN DRESS:95616A-6M</t>
        </is>
      </c>
      <c r="F5393" s="0" t="inlineStr">
        <is>
          <t>'000000000000</t>
        </is>
      </c>
      <c r="G5393" s="0" t="inlineStr">
        <is>
          <t>INFANT</t>
        </is>
      </c>
      <c r="H5393" s="0" t="inlineStr">
        <is>
          <t>6M</t>
        </is>
      </c>
      <c r="I5393" s="0">
        <v>29.99</v>
      </c>
      <c r="J5393" s="0">
        <v>24</v>
      </c>
    </row>
    <row r="5394" spans="1:10" customHeight="0">
      <c r="A5394" s="0">
        <f>HYPERLINK("https://dl.dropboxusercontent.com/scl/fi/5zsxquiou5xu5b35q4vjl/sundress-03.jpg?rlkey=49ol9l4vdla65m1pewvc8g75t&amp;dl=0","Click to download Image")</f>
      </c>
      <c r="B5394" s="0">
        <f>HYPERLINK("https://dl.dropboxusercontent.com/scl/fi/86gf00bdjbzdfifmb9a0c/size-chartsinfant-sundress-b.jpg?rlkey=wvjfs1ozllu9ieim8h4cfw2ax&amp;dl=0","Click to download SizeChart")</f>
      </c>
      <c r="C5394" s="0" t="inlineStr">
        <is>
          <t>Ruffle Sundress Infant</t>
        </is>
      </c>
      <c r="D5394" s="0" t="inlineStr">
        <is>
          <t>'95616</t>
        </is>
      </c>
      <c r="E5394" s="0" t="inlineStr">
        <is>
          <t>SUN DRESS:95616B-12M</t>
        </is>
      </c>
      <c r="F5394" s="0" t="inlineStr">
        <is>
          <t>'000000000000</t>
        </is>
      </c>
      <c r="G5394" s="0" t="inlineStr">
        <is>
          <t>INFANT</t>
        </is>
      </c>
      <c r="H5394" s="0" t="inlineStr">
        <is>
          <t>12M</t>
        </is>
      </c>
      <c r="I5394" s="0">
        <v>29.99</v>
      </c>
      <c r="J5394" s="0">
        <v>19</v>
      </c>
    </row>
    <row r="5395" spans="1:10" customHeight="0">
      <c r="A5395" s="0">
        <f>HYPERLINK("https://dl.dropboxusercontent.com/scl/fi/5zsxquiou5xu5b35q4vjl/sundress-03.jpg?rlkey=49ol9l4vdla65m1pewvc8g75t&amp;dl=0","Click to download Image")</f>
      </c>
      <c r="B5395" s="0">
        <f>HYPERLINK("https://dl.dropboxusercontent.com/scl/fi/86gf00bdjbzdfifmb9a0c/size-chartsinfant-sundress-b.jpg?rlkey=wvjfs1ozllu9ieim8h4cfw2ax&amp;dl=0","Click to download SizeChart")</f>
      </c>
      <c r="C5395" s="0" t="inlineStr">
        <is>
          <t>Ruffle Sundress Infant</t>
        </is>
      </c>
      <c r="D5395" s="0" t="inlineStr">
        <is>
          <t>'95616</t>
        </is>
      </c>
      <c r="E5395" s="0" t="inlineStr">
        <is>
          <t>SUN DRESS:95616C-18M</t>
        </is>
      </c>
      <c r="F5395" s="0" t="inlineStr">
        <is>
          <t>'000000000000</t>
        </is>
      </c>
      <c r="G5395" s="0" t="inlineStr">
        <is>
          <t>INFANT</t>
        </is>
      </c>
      <c r="H5395" s="0" t="inlineStr">
        <is>
          <t>18M</t>
        </is>
      </c>
      <c r="I5395" s="0">
        <v>29.99</v>
      </c>
      <c r="J5395" s="0">
        <v>7</v>
      </c>
    </row>
    <row r="5396" spans="1:10" customHeight="0">
      <c r="A5396" s="0">
        <f>HYPERLINK("https://dl.dropboxusercontent.com/scl/fi/5zsxquiou5xu5b35q4vjl/sundress-03.jpg?rlkey=49ol9l4vdla65m1pewvc8g75t&amp;dl=0","Click to download Image")</f>
      </c>
      <c r="B5396" s="0">
        <f>HYPERLINK("https://dl.dropboxusercontent.com/scl/fi/86gf00bdjbzdfifmb9a0c/size-chartsinfant-sundress-b.jpg?rlkey=wvjfs1ozllu9ieim8h4cfw2ax&amp;dl=0","Click to download SizeChart")</f>
      </c>
      <c r="C5396" s="0" t="inlineStr">
        <is>
          <t>Ruffle Sundress Infant</t>
        </is>
      </c>
      <c r="D5396" s="0" t="inlineStr">
        <is>
          <t>'95616</t>
        </is>
      </c>
      <c r="E5396" s="0" t="inlineStr">
        <is>
          <t>SUN DRESS:95616D-24M</t>
        </is>
      </c>
      <c r="F5396" s="0" t="inlineStr">
        <is>
          <t>'000000000000</t>
        </is>
      </c>
      <c r="G5396" s="0" t="inlineStr">
        <is>
          <t>INFANT</t>
        </is>
      </c>
      <c r="H5396" s="0" t="inlineStr">
        <is>
          <t>24M</t>
        </is>
      </c>
      <c r="I5396" s="0">
        <v>29.99</v>
      </c>
      <c r="J5396" s="0">
        <v>7</v>
      </c>
    </row>
    <row r="5397" spans="1:10" customHeight="0">
      <c r="A5397" s="0">
        <f>HYPERLINK("https://dl.dropboxusercontent.com/scl/fi/6zj7qvnhllao6og8xi80m/104398-af.jpg?rlkey=yk9utb16j7s08e33jk5dkkddz&amp;dl=0","Click to download Image")</f>
      </c>
      <c r="C5397" s="0" t="inlineStr">
        <is>
          <t>Anabelle Women's Cap</t>
        </is>
      </c>
      <c r="D5397" s="0" t="inlineStr">
        <is>
          <t>'104398</t>
        </is>
      </c>
      <c r="E5397" s="0" t="inlineStr">
        <is>
          <t>ANNABELLE:104398</t>
        </is>
      </c>
      <c r="F5397" s="0" t="inlineStr">
        <is>
          <t>'000000000000</t>
        </is>
      </c>
      <c r="G5397" s="0" t="inlineStr">
        <is>
          <t>WOMENS</t>
        </is>
      </c>
      <c r="H5397" s="0" t="inlineStr">
        <is>
          <t>WOMENS</t>
        </is>
      </c>
      <c r="I5397" s="0">
        <v>18.99</v>
      </c>
      <c r="J5397" s="0">
        <v>117</v>
      </c>
    </row>
    <row r="5398" spans="1:10" customHeight="0">
      <c r="A5398" s="0">
        <f>HYPERLINK("https://dl.dropboxusercontent.com/scl/fi/ofbp01n8u6uuvxhehh8w5/104638-af.jpg?rlkey=hn0om65baqxk0ay51fjakfdii&amp;dl=0","Click to download Image")</f>
      </c>
      <c r="C5398" s="0" t="inlineStr">
        <is>
          <t>Anabelle Women's Cap</t>
        </is>
      </c>
      <c r="D5398" s="0" t="inlineStr">
        <is>
          <t>'104638</t>
        </is>
      </c>
      <c r="E5398" s="0" t="inlineStr">
        <is>
          <t>ANNABELLE:104638</t>
        </is>
      </c>
      <c r="F5398" s="0" t="inlineStr">
        <is>
          <t>'000000000000</t>
        </is>
      </c>
      <c r="G5398" s="0" t="inlineStr">
        <is>
          <t>WOMENS</t>
        </is>
      </c>
      <c r="H5398" s="0" t="inlineStr">
        <is>
          <t>WOMENS</t>
        </is>
      </c>
      <c r="I5398" s="0">
        <v>18.99</v>
      </c>
      <c r="J5398" s="0">
        <v>146</v>
      </c>
    </row>
    <row r="5399" spans="1:10" customHeight="0">
      <c r="A5399" s="0">
        <f>HYPERLINK("https://dl.dropboxusercontent.com/scl/fi/w2cakf53qaufkx0z3r1tr/untitled-1.jpg?rlkey=t8xp53ejv3pjqya4o1x96j103&amp;dl=0","Click to download Image")</f>
      </c>
      <c r="C5399" s="0" t="inlineStr">
        <is>
          <t>Oaklyn Ombre Cap</t>
        </is>
      </c>
      <c r="D5399" s="0" t="inlineStr">
        <is>
          <t>'106834</t>
        </is>
      </c>
      <c r="E5399" s="0" t="inlineStr">
        <is>
          <t>OAKLYN:106834</t>
        </is>
      </c>
      <c r="F5399" s="0" t="inlineStr">
        <is>
          <t>'700106834010</t>
        </is>
      </c>
      <c r="G5399" s="0" t="inlineStr">
        <is>
          <t>WOMENS</t>
        </is>
      </c>
      <c r="H5399" s="0" t="inlineStr">
        <is>
          <t>WOMENS</t>
        </is>
      </c>
      <c r="I5399" s="0">
        <v>24.99</v>
      </c>
      <c r="J5399" s="0">
        <v>132</v>
      </c>
    </row>
    <row r="5400" spans="1:10" customHeight="0">
      <c r="A5400" s="0">
        <f>HYPERLINK("https://dl.dropboxusercontent.com/scl/fi/xze480djkeahpnk10e6j4/stitch.jpg?rlkey=14va6gscx6oddbjwvo15jxfkw&amp;dl=0","Click to download Image")</f>
      </c>
      <c r="C5400" s="0" t="inlineStr">
        <is>
          <t>Stitch Diaper Bag</t>
        </is>
      </c>
      <c r="D5400" s="0" t="inlineStr">
        <is>
          <t>'91208</t>
        </is>
      </c>
      <c r="E5400" s="0" t="inlineStr">
        <is>
          <t>STITCH:91208-DIA</t>
        </is>
      </c>
      <c r="F5400" s="0" t="inlineStr">
        <is>
          <t>'000000000000</t>
        </is>
      </c>
      <c r="I5400" s="0">
        <v>49.99</v>
      </c>
      <c r="J5400" s="0">
        <v>225</v>
      </c>
    </row>
    <row r="5401" spans="1:10" customHeight="0">
      <c r="A5401" s="0">
        <f>HYPERLINK("https://dl.dropboxusercontent.com/scl/fi/w5txh6xe4kcrmnadyrzzq/104378af14738.jpg?rlkey=g9d6d9c9362pwdsdroeef5pnq&amp;dl=0","Click to download Image")</f>
      </c>
      <c r="B5401" s="0">
        <f>HYPERLINK("https://dl.dropboxusercontent.com/scl/fi/ku8ddoccdt5vvdcbh2xku/size-charts-toddler-shirt-a-1.jpg?rlkey=yurf7uqocp2ksw6cro6dv32pm&amp;dl=0","Click to download SizeChart")</f>
      </c>
      <c r="C5401" s="0" t="inlineStr">
        <is>
          <t>Kaleigh Toddler Swimsuit</t>
        </is>
      </c>
      <c r="D5401" s="0" t="inlineStr">
        <is>
          <t>'104378</t>
        </is>
      </c>
      <c r="E5401" s="0" t="inlineStr">
        <is>
          <t>KALEIGH:104378- 2T</t>
        </is>
      </c>
      <c r="F5401" s="0" t="inlineStr">
        <is>
          <t>'080010437801</t>
        </is>
      </c>
      <c r="G5401" s="0" t="inlineStr">
        <is>
          <t>TODDLER</t>
        </is>
      </c>
      <c r="H5401" s="0" t="inlineStr">
        <is>
          <t>2T</t>
        </is>
      </c>
      <c r="I5401" s="0">
        <v>24.99</v>
      </c>
      <c r="J5401" s="0">
        <v>0</v>
      </c>
    </row>
    <row r="5402" spans="1:10" customHeight="0">
      <c r="A5402" s="0">
        <f>HYPERLINK("https://dl.dropboxusercontent.com/scl/fi/w5txh6xe4kcrmnadyrzzq/104378af14738.jpg?rlkey=g9d6d9c9362pwdsdroeef5pnq&amp;dl=0","Click to download Image")</f>
      </c>
      <c r="B5402" s="0">
        <f>HYPERLINK("https://dl.dropboxusercontent.com/scl/fi/ku8ddoccdt5vvdcbh2xku/size-charts-toddler-shirt-a-1.jpg?rlkey=yurf7uqocp2ksw6cro6dv32pm&amp;dl=0","Click to download SizeChart")</f>
      </c>
      <c r="C5402" s="0" t="inlineStr">
        <is>
          <t>Kaleigh Toddler Swimsuit</t>
        </is>
      </c>
      <c r="D5402" s="0" t="inlineStr">
        <is>
          <t>'104378</t>
        </is>
      </c>
      <c r="E5402" s="0" t="inlineStr">
        <is>
          <t>KALEIGH:104378- 3T</t>
        </is>
      </c>
      <c r="F5402" s="0" t="inlineStr">
        <is>
          <t>'080010437802</t>
        </is>
      </c>
      <c r="G5402" s="0" t="inlineStr">
        <is>
          <t>TODDLER</t>
        </is>
      </c>
      <c r="H5402" s="0" t="inlineStr">
        <is>
          <t>3T</t>
        </is>
      </c>
      <c r="I5402" s="0">
        <v>24.99</v>
      </c>
      <c r="J5402" s="0">
        <v>4</v>
      </c>
    </row>
    <row r="5403" spans="1:10" customHeight="0">
      <c r="A5403" s="0">
        <f>HYPERLINK("https://dl.dropboxusercontent.com/scl/fi/w5txh6xe4kcrmnadyrzzq/104378af14738.jpg?rlkey=g9d6d9c9362pwdsdroeef5pnq&amp;dl=0","Click to download Image")</f>
      </c>
      <c r="B5403" s="0">
        <f>HYPERLINK("https://dl.dropboxusercontent.com/scl/fi/ku8ddoccdt5vvdcbh2xku/size-charts-toddler-shirt-a-1.jpg?rlkey=yurf7uqocp2ksw6cro6dv32pm&amp;dl=0","Click to download SizeChart")</f>
      </c>
      <c r="C5403" s="0" t="inlineStr">
        <is>
          <t>Kaleigh Toddler Swimsuit</t>
        </is>
      </c>
      <c r="D5403" s="0" t="inlineStr">
        <is>
          <t>'104378</t>
        </is>
      </c>
      <c r="E5403" s="0" t="inlineStr">
        <is>
          <t>KALEIGH:104378 - 4T</t>
        </is>
      </c>
      <c r="F5403" s="0" t="inlineStr">
        <is>
          <t>'080010437803</t>
        </is>
      </c>
      <c r="G5403" s="0" t="inlineStr">
        <is>
          <t>TODDLER</t>
        </is>
      </c>
      <c r="H5403" s="0" t="inlineStr">
        <is>
          <t>4T</t>
        </is>
      </c>
      <c r="I5403" s="0">
        <v>24.99</v>
      </c>
      <c r="J5403" s="0">
        <v>6</v>
      </c>
    </row>
    <row r="5404" spans="1:10" customHeight="0">
      <c r="A5404" s="0">
        <f>HYPERLINK("https://dl.dropboxusercontent.com/scl/fi/w5txh6xe4kcrmnadyrzzq/104378af14738.jpg?rlkey=g9d6d9c9362pwdsdroeef5pnq&amp;dl=0","Click to download Image")</f>
      </c>
      <c r="B5404" s="0">
        <f>HYPERLINK("https://dl.dropboxusercontent.com/scl/fi/ku8ddoccdt5vvdcbh2xku/size-charts-toddler-shirt-a-1.jpg?rlkey=yurf7uqocp2ksw6cro6dv32pm&amp;dl=0","Click to download SizeChart")</f>
      </c>
      <c r="C5404" s="0" t="inlineStr">
        <is>
          <t>Kaleigh Toddler Swimsuit</t>
        </is>
      </c>
      <c r="D5404" s="0" t="inlineStr">
        <is>
          <t>'104378</t>
        </is>
      </c>
      <c r="E5404" s="0" t="inlineStr">
        <is>
          <t>KALEIGH:104378 - 5T</t>
        </is>
      </c>
      <c r="F5404" s="0" t="inlineStr">
        <is>
          <t>'080010437804</t>
        </is>
      </c>
      <c r="G5404" s="0" t="inlineStr">
        <is>
          <t>TODDLER</t>
        </is>
      </c>
      <c r="H5404" s="0" t="inlineStr">
        <is>
          <t>5T</t>
        </is>
      </c>
      <c r="I5404" s="0">
        <v>24.99</v>
      </c>
      <c r="J5404" s="0">
        <v>10</v>
      </c>
    </row>
    <row r="5405" spans="1:10" customHeight="0">
      <c r="A5405" s="0">
        <f>HYPERLINK("https://dl.dropboxusercontent.com/scl/fi/k3t826al3qq3tipzimm48/102944af74027.jpg?rlkey=gtiumar04v6uq080u9jqouiys&amp;dl=0","Click to download Image")</f>
      </c>
      <c r="B5405" s="0">
        <f>HYPERLINK("https://dl.dropboxusercontent.com/scl/fi/ku8ddoccdt5vvdcbh2xku/size-charts-toddler-shirt-a-1.jpg?rlkey=yurf7uqocp2ksw6cro6dv32pm&amp;dl=0","Click to download SizeChart")</f>
      </c>
      <c r="C5405" s="0" t="inlineStr">
        <is>
          <t>Kaleigh Toddler Swimsuit</t>
        </is>
      </c>
      <c r="D5405" s="0" t="inlineStr">
        <is>
          <t>'102944</t>
        </is>
      </c>
      <c r="E5405" s="0" t="inlineStr">
        <is>
          <t>KALEIGH:102944 - 2T</t>
        </is>
      </c>
      <c r="F5405" s="0" t="inlineStr">
        <is>
          <t>'080010294400</t>
        </is>
      </c>
      <c r="G5405" s="0" t="inlineStr">
        <is>
          <t>TODDLER</t>
        </is>
      </c>
      <c r="H5405" s="0" t="inlineStr">
        <is>
          <t>2T</t>
        </is>
      </c>
      <c r="I5405" s="0">
        <v>24.99</v>
      </c>
      <c r="J5405" s="0">
        <v>99</v>
      </c>
    </row>
    <row r="5406" spans="1:10" customHeight="0">
      <c r="A5406" s="0">
        <f>HYPERLINK("https://dl.dropboxusercontent.com/scl/fi/k3t826al3qq3tipzimm48/102944af74027.jpg?rlkey=gtiumar04v6uq080u9jqouiys&amp;dl=0","Click to download Image")</f>
      </c>
      <c r="B5406" s="0">
        <f>HYPERLINK("https://dl.dropboxusercontent.com/scl/fi/ku8ddoccdt5vvdcbh2xku/size-charts-toddler-shirt-a-1.jpg?rlkey=yurf7uqocp2ksw6cro6dv32pm&amp;dl=0","Click to download SizeChart")</f>
      </c>
      <c r="C5406" s="0" t="inlineStr">
        <is>
          <t>Kaleigh Toddler Swimsuit</t>
        </is>
      </c>
      <c r="D5406" s="0" t="inlineStr">
        <is>
          <t>'102944</t>
        </is>
      </c>
      <c r="E5406" s="0" t="inlineStr">
        <is>
          <t>KALEIGH:102944 - 3T</t>
        </is>
      </c>
      <c r="F5406" s="0" t="inlineStr">
        <is>
          <t>'080010294401</t>
        </is>
      </c>
      <c r="G5406" s="0" t="inlineStr">
        <is>
          <t>TODDLER</t>
        </is>
      </c>
      <c r="H5406" s="0" t="inlineStr">
        <is>
          <t>3T</t>
        </is>
      </c>
      <c r="I5406" s="0">
        <v>24.99</v>
      </c>
      <c r="J5406" s="0">
        <v>91</v>
      </c>
    </row>
    <row r="5407" spans="1:10" customHeight="0">
      <c r="A5407" s="0">
        <f>HYPERLINK("https://dl.dropboxusercontent.com/scl/fi/k3t826al3qq3tipzimm48/102944af74027.jpg?rlkey=gtiumar04v6uq080u9jqouiys&amp;dl=0","Click to download Image")</f>
      </c>
      <c r="B5407" s="0">
        <f>HYPERLINK("https://dl.dropboxusercontent.com/scl/fi/ku8ddoccdt5vvdcbh2xku/size-charts-toddler-shirt-a-1.jpg?rlkey=yurf7uqocp2ksw6cro6dv32pm&amp;dl=0","Click to download SizeChart")</f>
      </c>
      <c r="C5407" s="0" t="inlineStr">
        <is>
          <t>Kaleigh Toddler Swimsuit</t>
        </is>
      </c>
      <c r="D5407" s="0" t="inlineStr">
        <is>
          <t>'102944</t>
        </is>
      </c>
      <c r="E5407" s="0" t="inlineStr">
        <is>
          <t>KALEIGH:102944 - 4T</t>
        </is>
      </c>
      <c r="F5407" s="0" t="inlineStr">
        <is>
          <t>'080010294402</t>
        </is>
      </c>
      <c r="G5407" s="0" t="inlineStr">
        <is>
          <t>TODDLER</t>
        </is>
      </c>
      <c r="H5407" s="0" t="inlineStr">
        <is>
          <t>4T</t>
        </is>
      </c>
      <c r="I5407" s="0">
        <v>24.99</v>
      </c>
      <c r="J5407" s="0">
        <v>96</v>
      </c>
    </row>
    <row r="5408" spans="1:10" customHeight="0">
      <c r="A5408" s="0">
        <f>HYPERLINK("https://dl.dropboxusercontent.com/scl/fi/k3t826al3qq3tipzimm48/102944af74027.jpg?rlkey=gtiumar04v6uq080u9jqouiys&amp;dl=0","Click to download Image")</f>
      </c>
      <c r="B5408" s="0">
        <f>HYPERLINK("https://dl.dropboxusercontent.com/scl/fi/ku8ddoccdt5vvdcbh2xku/size-charts-toddler-shirt-a-1.jpg?rlkey=yurf7uqocp2ksw6cro6dv32pm&amp;dl=0","Click to download SizeChart")</f>
      </c>
      <c r="C5408" s="0" t="inlineStr">
        <is>
          <t>Kaleigh Toddler Swimsuit</t>
        </is>
      </c>
      <c r="D5408" s="0" t="inlineStr">
        <is>
          <t>'102944</t>
        </is>
      </c>
      <c r="E5408" s="0" t="inlineStr">
        <is>
          <t>KALEIGH:102944 - 5T</t>
        </is>
      </c>
      <c r="F5408" s="0" t="inlineStr">
        <is>
          <t>'080010294403</t>
        </is>
      </c>
      <c r="G5408" s="0" t="inlineStr">
        <is>
          <t>TODDLER</t>
        </is>
      </c>
      <c r="H5408" s="0" t="inlineStr">
        <is>
          <t>5T</t>
        </is>
      </c>
      <c r="I5408" s="0">
        <v>24.99</v>
      </c>
      <c r="J5408" s="0">
        <v>103</v>
      </c>
    </row>
    <row r="5409" spans="1:10" customHeight="0">
      <c r="A5409" s="0">
        <f>HYPERLINK("https://dl.dropboxusercontent.com/scl/fi/t7umc7w773te57w4rhcdf/steven-02.jpg?rlkey=ywf4hxecd3gusg5fr7y0p6b50&amp;dl=0","Click to download Image")</f>
      </c>
      <c r="B5409" s="0">
        <f>HYPERLINK("https://dl.dropboxusercontent.com/scl/fi/u6fqpw03yui58rdmorwtj/mens-d.jpg?rlkey=9cxe6tir3flxnuccowtymny9g&amp;dl=0","Click to download SizeChart")</f>
      </c>
      <c r="C5409" s="0" t="inlineStr">
        <is>
          <t>Steven Men's Shell Jacket</t>
        </is>
      </c>
      <c r="D5409" s="0" t="inlineStr">
        <is>
          <t>'95725</t>
        </is>
      </c>
      <c r="E5409" s="0" t="inlineStr">
        <is>
          <t>STEVEN:95725A-S</t>
        </is>
      </c>
      <c r="F5409" s="0" t="inlineStr">
        <is>
          <t>'000000000000</t>
        </is>
      </c>
      <c r="G5409" s="0" t="inlineStr">
        <is>
          <t>MENS</t>
        </is>
      </c>
      <c r="H5409" s="0" t="inlineStr">
        <is>
          <t>S</t>
        </is>
      </c>
      <c r="I5409" s="0">
        <v>89.99</v>
      </c>
      <c r="J5409" s="0">
        <v>23</v>
      </c>
    </row>
    <row r="5410" spans="1:10" customHeight="0">
      <c r="A5410" s="0">
        <f>HYPERLINK("https://dl.dropboxusercontent.com/scl/fi/t7umc7w773te57w4rhcdf/steven-02.jpg?rlkey=ywf4hxecd3gusg5fr7y0p6b50&amp;dl=0","Click to download Image")</f>
      </c>
      <c r="B5410" s="0">
        <f>HYPERLINK("https://dl.dropboxusercontent.com/scl/fi/u6fqpw03yui58rdmorwtj/mens-d.jpg?rlkey=9cxe6tir3flxnuccowtymny9g&amp;dl=0","Click to download SizeChart")</f>
      </c>
      <c r="C5410" s="0" t="inlineStr">
        <is>
          <t>Steven Men's Shell Jacket</t>
        </is>
      </c>
      <c r="D5410" s="0" t="inlineStr">
        <is>
          <t>'95725</t>
        </is>
      </c>
      <c r="E5410" s="0" t="inlineStr">
        <is>
          <t>STEVEN:95725B-M</t>
        </is>
      </c>
      <c r="F5410" s="0" t="inlineStr">
        <is>
          <t>'000000000000</t>
        </is>
      </c>
      <c r="G5410" s="0" t="inlineStr">
        <is>
          <t>MENS</t>
        </is>
      </c>
      <c r="H5410" s="0" t="inlineStr">
        <is>
          <t>M</t>
        </is>
      </c>
      <c r="I5410" s="0">
        <v>89.99</v>
      </c>
      <c r="J5410" s="0">
        <v>25</v>
      </c>
    </row>
    <row r="5411" spans="1:10" customHeight="0">
      <c r="A5411" s="0">
        <f>HYPERLINK("https://dl.dropboxusercontent.com/scl/fi/t7umc7w773te57w4rhcdf/steven-02.jpg?rlkey=ywf4hxecd3gusg5fr7y0p6b50&amp;dl=0","Click to download Image")</f>
      </c>
      <c r="B5411" s="0">
        <f>HYPERLINK("https://dl.dropboxusercontent.com/scl/fi/u6fqpw03yui58rdmorwtj/mens-d.jpg?rlkey=9cxe6tir3flxnuccowtymny9g&amp;dl=0","Click to download SizeChart")</f>
      </c>
      <c r="C5411" s="0" t="inlineStr">
        <is>
          <t>Steven Men's Shell Jacket</t>
        </is>
      </c>
      <c r="D5411" s="0" t="inlineStr">
        <is>
          <t>'95725</t>
        </is>
      </c>
      <c r="E5411" s="0" t="inlineStr">
        <is>
          <t>STEVEN:95725C-L</t>
        </is>
      </c>
      <c r="F5411" s="0" t="inlineStr">
        <is>
          <t>'000000000000</t>
        </is>
      </c>
      <c r="G5411" s="0" t="inlineStr">
        <is>
          <t>MENS</t>
        </is>
      </c>
      <c r="H5411" s="0" t="inlineStr">
        <is>
          <t>L</t>
        </is>
      </c>
      <c r="I5411" s="0">
        <v>89.99</v>
      </c>
      <c r="J5411" s="0">
        <v>77</v>
      </c>
    </row>
    <row r="5412" spans="1:10" customHeight="0">
      <c r="A5412" s="0">
        <f>HYPERLINK("https://dl.dropboxusercontent.com/scl/fi/t7umc7w773te57w4rhcdf/steven-02.jpg?rlkey=ywf4hxecd3gusg5fr7y0p6b50&amp;dl=0","Click to download Image")</f>
      </c>
      <c r="B5412" s="0">
        <f>HYPERLINK("https://dl.dropboxusercontent.com/scl/fi/u6fqpw03yui58rdmorwtj/mens-d.jpg?rlkey=9cxe6tir3flxnuccowtymny9g&amp;dl=0","Click to download SizeChart")</f>
      </c>
      <c r="C5412" s="0" t="inlineStr">
        <is>
          <t>Steven Men's Shell Jacket</t>
        </is>
      </c>
      <c r="D5412" s="0" t="inlineStr">
        <is>
          <t>'95725</t>
        </is>
      </c>
      <c r="E5412" s="0" t="inlineStr">
        <is>
          <t>STEVEN:95725D-XL</t>
        </is>
      </c>
      <c r="F5412" s="0" t="inlineStr">
        <is>
          <t>'000000000000</t>
        </is>
      </c>
      <c r="G5412" s="0" t="inlineStr">
        <is>
          <t>MENS</t>
        </is>
      </c>
      <c r="H5412" s="0" t="inlineStr">
        <is>
          <t>XL</t>
        </is>
      </c>
      <c r="I5412" s="0">
        <v>89.99</v>
      </c>
      <c r="J5412" s="0">
        <v>79</v>
      </c>
    </row>
    <row r="5413" spans="1:10" customHeight="0">
      <c r="A5413" s="0">
        <f>HYPERLINK("https://dl.dropboxusercontent.com/scl/fi/t7umc7w773te57w4rhcdf/steven-02.jpg?rlkey=ywf4hxecd3gusg5fr7y0p6b50&amp;dl=0","Click to download Image")</f>
      </c>
      <c r="B5413" s="0">
        <f>HYPERLINK("https://dl.dropboxusercontent.com/scl/fi/u6fqpw03yui58rdmorwtj/mens-d.jpg?rlkey=9cxe6tir3flxnuccowtymny9g&amp;dl=0","Click to download SizeChart")</f>
      </c>
      <c r="C5413" s="0" t="inlineStr">
        <is>
          <t>Steven Men's Shell Jacket</t>
        </is>
      </c>
      <c r="D5413" s="0" t="inlineStr">
        <is>
          <t>'95725</t>
        </is>
      </c>
      <c r="E5413" s="0" t="inlineStr">
        <is>
          <t>STEVEN:95725E-2X</t>
        </is>
      </c>
      <c r="F5413" s="0" t="inlineStr">
        <is>
          <t>'000000000000</t>
        </is>
      </c>
      <c r="G5413" s="0" t="inlineStr">
        <is>
          <t>MENS</t>
        </is>
      </c>
      <c r="H5413" s="0" t="inlineStr">
        <is>
          <t>2XL</t>
        </is>
      </c>
      <c r="I5413" s="0">
        <v>91.99</v>
      </c>
      <c r="J5413" s="0">
        <v>49</v>
      </c>
    </row>
    <row r="5414" spans="1:10" customHeight="0">
      <c r="A5414" s="0">
        <f>HYPERLINK("https://dl.dropboxusercontent.com/scl/fi/t7umc7w773te57w4rhcdf/steven-02.jpg?rlkey=ywf4hxecd3gusg5fr7y0p6b50&amp;dl=0","Click to download Image")</f>
      </c>
      <c r="B5414" s="0">
        <f>HYPERLINK("https://dl.dropboxusercontent.com/scl/fi/u6fqpw03yui58rdmorwtj/mens-d.jpg?rlkey=9cxe6tir3flxnuccowtymny9g&amp;dl=0","Click to download SizeChart")</f>
      </c>
      <c r="C5414" s="0" t="inlineStr">
        <is>
          <t>Steven Men's Shell Jacket</t>
        </is>
      </c>
      <c r="D5414" s="0" t="inlineStr">
        <is>
          <t>'95725</t>
        </is>
      </c>
      <c r="E5414" s="0" t="inlineStr">
        <is>
          <t>STEVEN:95725F-3X</t>
        </is>
      </c>
      <c r="F5414" s="0" t="inlineStr">
        <is>
          <t>'000000000000</t>
        </is>
      </c>
      <c r="G5414" s="0" t="inlineStr">
        <is>
          <t>MENS</t>
        </is>
      </c>
      <c r="H5414" s="0" t="inlineStr">
        <is>
          <t>3XL</t>
        </is>
      </c>
      <c r="I5414" s="0">
        <v>91.99</v>
      </c>
      <c r="J5414" s="0">
        <v>14</v>
      </c>
    </row>
    <row r="5415" spans="1:10" customHeight="0">
      <c r="A5415" s="0">
        <f>HYPERLINK("https://dl.dropboxusercontent.com/scl/fi/3hwxo8kfx9mpaei7vkf9s/isustevenf53692.jpg?rlkey=d1i0pyfnhztg5pjxdu1uvodml&amp;dl=0","Click to download Image")</f>
      </c>
      <c r="B5415" s="0">
        <f>HYPERLINK("https://dl.dropboxusercontent.com/scl/fi/u6fqpw03yui58rdmorwtj/mens-d.jpg?rlkey=9cxe6tir3flxnuccowtymny9g&amp;dl=0","Click to download SizeChart")</f>
      </c>
      <c r="C5415" s="0" t="inlineStr">
        <is>
          <t>Steven Men's Shell Jacket</t>
        </is>
      </c>
      <c r="D5415" s="0" t="inlineStr">
        <is>
          <t>'95943</t>
        </is>
      </c>
      <c r="E5415" s="0" t="inlineStr">
        <is>
          <t>STEVEN:95943A-S</t>
        </is>
      </c>
      <c r="F5415" s="0" t="inlineStr">
        <is>
          <t>'000000000000</t>
        </is>
      </c>
      <c r="G5415" s="0" t="inlineStr">
        <is>
          <t>MENS</t>
        </is>
      </c>
      <c r="H5415" s="0" t="inlineStr">
        <is>
          <t>S</t>
        </is>
      </c>
      <c r="I5415" s="0">
        <v>89.99</v>
      </c>
      <c r="J5415" s="0">
        <v>33</v>
      </c>
    </row>
    <row r="5416" spans="1:10" customHeight="0">
      <c r="A5416" s="0">
        <f>HYPERLINK("https://dl.dropboxusercontent.com/scl/fi/3hwxo8kfx9mpaei7vkf9s/isustevenf53692.jpg?rlkey=d1i0pyfnhztg5pjxdu1uvodml&amp;dl=0","Click to download Image")</f>
      </c>
      <c r="B5416" s="0">
        <f>HYPERLINK("https://dl.dropboxusercontent.com/scl/fi/u6fqpw03yui58rdmorwtj/mens-d.jpg?rlkey=9cxe6tir3flxnuccowtymny9g&amp;dl=0","Click to download SizeChart")</f>
      </c>
      <c r="C5416" s="0" t="inlineStr">
        <is>
          <t>Steven Men's Shell Jacket</t>
        </is>
      </c>
      <c r="D5416" s="0" t="inlineStr">
        <is>
          <t>'95943</t>
        </is>
      </c>
      <c r="E5416" s="0" t="inlineStr">
        <is>
          <t>STEVEN:95943B-M</t>
        </is>
      </c>
      <c r="F5416" s="0" t="inlineStr">
        <is>
          <t>'000000000000</t>
        </is>
      </c>
      <c r="G5416" s="0" t="inlineStr">
        <is>
          <t>MENS</t>
        </is>
      </c>
      <c r="H5416" s="0" t="inlineStr">
        <is>
          <t>M</t>
        </is>
      </c>
      <c r="I5416" s="0">
        <v>89.99</v>
      </c>
      <c r="J5416" s="0">
        <v>93</v>
      </c>
    </row>
    <row r="5417" spans="1:10" customHeight="0">
      <c r="A5417" s="0">
        <f>HYPERLINK("https://dl.dropboxusercontent.com/scl/fi/3hwxo8kfx9mpaei7vkf9s/isustevenf53692.jpg?rlkey=d1i0pyfnhztg5pjxdu1uvodml&amp;dl=0","Click to download Image")</f>
      </c>
      <c r="B5417" s="0">
        <f>HYPERLINK("https://dl.dropboxusercontent.com/scl/fi/u6fqpw03yui58rdmorwtj/mens-d.jpg?rlkey=9cxe6tir3flxnuccowtymny9g&amp;dl=0","Click to download SizeChart")</f>
      </c>
      <c r="C5417" s="0" t="inlineStr">
        <is>
          <t>Steven Men's Shell Jacket</t>
        </is>
      </c>
      <c r="D5417" s="0" t="inlineStr">
        <is>
          <t>'95943</t>
        </is>
      </c>
      <c r="E5417" s="0" t="inlineStr">
        <is>
          <t>STEVEN:95943C-L</t>
        </is>
      </c>
      <c r="F5417" s="0" t="inlineStr">
        <is>
          <t>'000000000000</t>
        </is>
      </c>
      <c r="G5417" s="0" t="inlineStr">
        <is>
          <t>MENS</t>
        </is>
      </c>
      <c r="H5417" s="0" t="inlineStr">
        <is>
          <t>L</t>
        </is>
      </c>
      <c r="I5417" s="0">
        <v>89.99</v>
      </c>
      <c r="J5417" s="0">
        <v>102</v>
      </c>
    </row>
    <row r="5418" spans="1:10" customHeight="0">
      <c r="A5418" s="0">
        <f>HYPERLINK("https://dl.dropboxusercontent.com/scl/fi/3hwxo8kfx9mpaei7vkf9s/isustevenf53692.jpg?rlkey=d1i0pyfnhztg5pjxdu1uvodml&amp;dl=0","Click to download Image")</f>
      </c>
      <c r="B5418" s="0">
        <f>HYPERLINK("https://dl.dropboxusercontent.com/scl/fi/u6fqpw03yui58rdmorwtj/mens-d.jpg?rlkey=9cxe6tir3flxnuccowtymny9g&amp;dl=0","Click to download SizeChart")</f>
      </c>
      <c r="C5418" s="0" t="inlineStr">
        <is>
          <t>Steven Men's Shell Jacket</t>
        </is>
      </c>
      <c r="D5418" s="0" t="inlineStr">
        <is>
          <t>'95943</t>
        </is>
      </c>
      <c r="E5418" s="0" t="inlineStr">
        <is>
          <t>STEVEN:95943D-XL</t>
        </is>
      </c>
      <c r="F5418" s="0" t="inlineStr">
        <is>
          <t>'000000000000</t>
        </is>
      </c>
      <c r="G5418" s="0" t="inlineStr">
        <is>
          <t>MENS</t>
        </is>
      </c>
      <c r="H5418" s="0" t="inlineStr">
        <is>
          <t>XL</t>
        </is>
      </c>
      <c r="I5418" s="0">
        <v>89.99</v>
      </c>
      <c r="J5418" s="0">
        <v>109</v>
      </c>
    </row>
    <row r="5419" spans="1:10" customHeight="0">
      <c r="A5419" s="0">
        <f>HYPERLINK("https://dl.dropboxusercontent.com/scl/fi/3hwxo8kfx9mpaei7vkf9s/isustevenf53692.jpg?rlkey=d1i0pyfnhztg5pjxdu1uvodml&amp;dl=0","Click to download Image")</f>
      </c>
      <c r="B5419" s="0">
        <f>HYPERLINK("https://dl.dropboxusercontent.com/scl/fi/u6fqpw03yui58rdmorwtj/mens-d.jpg?rlkey=9cxe6tir3flxnuccowtymny9g&amp;dl=0","Click to download SizeChart")</f>
      </c>
      <c r="C5419" s="0" t="inlineStr">
        <is>
          <t>Steven Men's Shell Jacket</t>
        </is>
      </c>
      <c r="D5419" s="0" t="inlineStr">
        <is>
          <t>'95943</t>
        </is>
      </c>
      <c r="E5419" s="0" t="inlineStr">
        <is>
          <t>STEVEN:95943E-2X</t>
        </is>
      </c>
      <c r="F5419" s="0" t="inlineStr">
        <is>
          <t>'000000000000</t>
        </is>
      </c>
      <c r="G5419" s="0" t="inlineStr">
        <is>
          <t>MENS</t>
        </is>
      </c>
      <c r="H5419" s="0" t="inlineStr">
        <is>
          <t>2XL</t>
        </is>
      </c>
      <c r="I5419" s="0">
        <v>91.99</v>
      </c>
      <c r="J5419" s="0">
        <v>67</v>
      </c>
    </row>
    <row r="5420" spans="1:10" customHeight="0">
      <c r="A5420" s="0">
        <f>HYPERLINK("https://dl.dropboxusercontent.com/scl/fi/3hwxo8kfx9mpaei7vkf9s/isustevenf53692.jpg?rlkey=d1i0pyfnhztg5pjxdu1uvodml&amp;dl=0","Click to download Image")</f>
      </c>
      <c r="B5420" s="0">
        <f>HYPERLINK("https://dl.dropboxusercontent.com/scl/fi/u6fqpw03yui58rdmorwtj/mens-d.jpg?rlkey=9cxe6tir3flxnuccowtymny9g&amp;dl=0","Click to download SizeChart")</f>
      </c>
      <c r="C5420" s="0" t="inlineStr">
        <is>
          <t>Steven Men's Shell Jacket</t>
        </is>
      </c>
      <c r="D5420" s="0" t="inlineStr">
        <is>
          <t>'95943</t>
        </is>
      </c>
      <c r="E5420" s="0" t="inlineStr">
        <is>
          <t>STEVEN:95943F-3X</t>
        </is>
      </c>
      <c r="F5420" s="0" t="inlineStr">
        <is>
          <t>'000000000000</t>
        </is>
      </c>
      <c r="G5420" s="0" t="inlineStr">
        <is>
          <t>MENS</t>
        </is>
      </c>
      <c r="H5420" s="0" t="inlineStr">
        <is>
          <t>3XL</t>
        </is>
      </c>
      <c r="I5420" s="0">
        <v>91.99</v>
      </c>
      <c r="J5420" s="0">
        <v>34</v>
      </c>
    </row>
    <row r="5421" spans="1:10" customHeight="0">
      <c r="A5421" s="0">
        <f>HYPERLINK("https://dl.dropboxusercontent.com/scl/fi/jnd9fn4fzw5ebh6wdrkl0/dsc0101.jpg?rlkey=u3jmk59ro7npv8slulmncz5vi&amp;dl=0","Click to download Image")</f>
      </c>
      <c r="B5421" s="0">
        <f>HYPERLINK("https://dl.dropboxusercontent.com/scl/fi/dp7aixgdoydq3aamntdxi/graphic-update22022-youth.jpg?rlkey=ll1i0go8wackknrvgdffxz6ci&amp;dl=0","Click to download SizeChart")</f>
      </c>
      <c r="C5421" s="0" t="inlineStr">
        <is>
          <t>McDowell Youth T-Shirt</t>
        </is>
      </c>
      <c r="D5421" s="0" t="inlineStr">
        <is>
          <t>'103258</t>
        </is>
      </c>
      <c r="E5421" s="0" t="inlineStr">
        <is>
          <t>MCDOWELL:103258A-YS</t>
        </is>
      </c>
      <c r="F5421" s="0" t="inlineStr">
        <is>
          <t>'000000000000</t>
        </is>
      </c>
      <c r="G5421" s="0" t="inlineStr">
        <is>
          <t>YOUTH</t>
        </is>
      </c>
      <c r="H5421" s="0" t="inlineStr">
        <is>
          <t>YS</t>
        </is>
      </c>
      <c r="I5421" s="0">
        <v>29.99</v>
      </c>
      <c r="J5421" s="0">
        <v>4</v>
      </c>
    </row>
    <row r="5422" spans="1:10" customHeight="0">
      <c r="A5422" s="0">
        <f>HYPERLINK("https://dl.dropboxusercontent.com/scl/fi/jnd9fn4fzw5ebh6wdrkl0/dsc0101.jpg?rlkey=u3jmk59ro7npv8slulmncz5vi&amp;dl=0","Click to download Image")</f>
      </c>
      <c r="B5422" s="0">
        <f>HYPERLINK("https://dl.dropboxusercontent.com/scl/fi/dp7aixgdoydq3aamntdxi/graphic-update22022-youth.jpg?rlkey=ll1i0go8wackknrvgdffxz6ci&amp;dl=0","Click to download SizeChart")</f>
      </c>
      <c r="C5422" s="0" t="inlineStr">
        <is>
          <t>McDowell Youth T-Shirt</t>
        </is>
      </c>
      <c r="D5422" s="0" t="inlineStr">
        <is>
          <t>'103258</t>
        </is>
      </c>
      <c r="E5422" s="0" t="inlineStr">
        <is>
          <t>MCDOWELL:103258B-YM</t>
        </is>
      </c>
      <c r="F5422" s="0" t="inlineStr">
        <is>
          <t>'000000000000</t>
        </is>
      </c>
      <c r="G5422" s="0" t="inlineStr">
        <is>
          <t>YOUTH</t>
        </is>
      </c>
      <c r="H5422" s="0" t="inlineStr">
        <is>
          <t>YM</t>
        </is>
      </c>
      <c r="I5422" s="0">
        <v>29.99</v>
      </c>
      <c r="J5422" s="0">
        <v>0</v>
      </c>
    </row>
    <row r="5423" spans="1:10" customHeight="0">
      <c r="A5423" s="0">
        <f>HYPERLINK("https://dl.dropboxusercontent.com/scl/fi/jnd9fn4fzw5ebh6wdrkl0/dsc0101.jpg?rlkey=u3jmk59ro7npv8slulmncz5vi&amp;dl=0","Click to download Image")</f>
      </c>
      <c r="B5423" s="0">
        <f>HYPERLINK("https://dl.dropboxusercontent.com/scl/fi/dp7aixgdoydq3aamntdxi/graphic-update22022-youth.jpg?rlkey=ll1i0go8wackknrvgdffxz6ci&amp;dl=0","Click to download SizeChart")</f>
      </c>
      <c r="C5423" s="0" t="inlineStr">
        <is>
          <t>McDowell Youth T-Shirt</t>
        </is>
      </c>
      <c r="D5423" s="0" t="inlineStr">
        <is>
          <t>'103258</t>
        </is>
      </c>
      <c r="E5423" s="0" t="inlineStr">
        <is>
          <t>MCDOWELL:103258C-YL</t>
        </is>
      </c>
      <c r="F5423" s="0" t="inlineStr">
        <is>
          <t>'000000000000</t>
        </is>
      </c>
      <c r="G5423" s="0" t="inlineStr">
        <is>
          <t>YOUTH</t>
        </is>
      </c>
      <c r="H5423" s="0" t="inlineStr">
        <is>
          <t>YL</t>
        </is>
      </c>
      <c r="I5423" s="0">
        <v>29.99</v>
      </c>
      <c r="J5423" s="0">
        <v>38</v>
      </c>
    </row>
    <row r="5424" spans="1:10" customHeight="0">
      <c r="A5424" s="0">
        <f>HYPERLINK("https://dl.dropboxusercontent.com/scl/fi/jnd9fn4fzw5ebh6wdrkl0/dsc0101.jpg?rlkey=u3jmk59ro7npv8slulmncz5vi&amp;dl=0","Click to download Image")</f>
      </c>
      <c r="B5424" s="0">
        <f>HYPERLINK("https://dl.dropboxusercontent.com/scl/fi/dp7aixgdoydq3aamntdxi/graphic-update22022-youth.jpg?rlkey=ll1i0go8wackknrvgdffxz6ci&amp;dl=0","Click to download SizeChart")</f>
      </c>
      <c r="C5424" s="0" t="inlineStr">
        <is>
          <t>McDowell Youth T-Shirt</t>
        </is>
      </c>
      <c r="D5424" s="0" t="inlineStr">
        <is>
          <t>'103258</t>
        </is>
      </c>
      <c r="E5424" s="0" t="inlineStr">
        <is>
          <t>MCDOWELL:103258D-YXL</t>
        </is>
      </c>
      <c r="F5424" s="0" t="inlineStr">
        <is>
          <t>'000000000000</t>
        </is>
      </c>
      <c r="G5424" s="0" t="inlineStr">
        <is>
          <t>YOUTH</t>
        </is>
      </c>
      <c r="H5424" s="0" t="inlineStr">
        <is>
          <t>YXL</t>
        </is>
      </c>
      <c r="I5424" s="0">
        <v>29.99</v>
      </c>
      <c r="J5424" s="0">
        <v>67</v>
      </c>
    </row>
    <row r="5425" spans="1:10" customHeight="0">
      <c r="A5425" s="0">
        <f>HYPERLINK("https://dl.dropboxusercontent.com/scl/fi/95evb9l0wgmy3ihjgy2ss/dsc0135.jpg?rlkey=o78k4o59bp9vndtadcs8b8ltv&amp;dl=0","Click to download Image")</f>
      </c>
      <c r="B5425" s="0">
        <f>HYPERLINK("https://dl.dropboxusercontent.com/scl/fi/dp7aixgdoydq3aamntdxi/graphic-update22022-youth.jpg?rlkey=ll1i0go8wackknrvgdffxz6ci&amp;dl=0","Click to download SizeChart")</f>
      </c>
      <c r="C5425" s="0" t="inlineStr">
        <is>
          <t>McDowell Youth T-Shirt</t>
        </is>
      </c>
      <c r="D5425" s="0" t="inlineStr">
        <is>
          <t>'104512</t>
        </is>
      </c>
      <c r="E5425" s="0" t="inlineStr">
        <is>
          <t>MCDOWELL:104512A-YS</t>
        </is>
      </c>
      <c r="F5425" s="0" t="inlineStr">
        <is>
          <t>'000000000000</t>
        </is>
      </c>
      <c r="G5425" s="0" t="inlineStr">
        <is>
          <t>YOUTH</t>
        </is>
      </c>
      <c r="H5425" s="0" t="inlineStr">
        <is>
          <t>YS</t>
        </is>
      </c>
      <c r="I5425" s="0">
        <v>29.99</v>
      </c>
      <c r="J5425" s="0">
        <v>13</v>
      </c>
    </row>
    <row r="5426" spans="1:10" customHeight="0">
      <c r="A5426" s="0">
        <f>HYPERLINK("https://dl.dropboxusercontent.com/scl/fi/95evb9l0wgmy3ihjgy2ss/dsc0135.jpg?rlkey=o78k4o59bp9vndtadcs8b8ltv&amp;dl=0","Click to download Image")</f>
      </c>
      <c r="B5426" s="0">
        <f>HYPERLINK("https://dl.dropboxusercontent.com/scl/fi/dp7aixgdoydq3aamntdxi/graphic-update22022-youth.jpg?rlkey=ll1i0go8wackknrvgdffxz6ci&amp;dl=0","Click to download SizeChart")</f>
      </c>
      <c r="C5426" s="0" t="inlineStr">
        <is>
          <t>McDowell Youth T-Shirt</t>
        </is>
      </c>
      <c r="D5426" s="0" t="inlineStr">
        <is>
          <t>'104512</t>
        </is>
      </c>
      <c r="E5426" s="0" t="inlineStr">
        <is>
          <t>MCDOWELL:104512B-YM</t>
        </is>
      </c>
      <c r="F5426" s="0" t="inlineStr">
        <is>
          <t>'000000000000</t>
        </is>
      </c>
      <c r="G5426" s="0" t="inlineStr">
        <is>
          <t>YOUTH</t>
        </is>
      </c>
      <c r="H5426" s="0" t="inlineStr">
        <is>
          <t>YM</t>
        </is>
      </c>
      <c r="I5426" s="0">
        <v>29.99</v>
      </c>
      <c r="J5426" s="0">
        <v>9</v>
      </c>
    </row>
    <row r="5427" spans="1:10" customHeight="0">
      <c r="A5427" s="0">
        <f>HYPERLINK("https://dl.dropboxusercontent.com/scl/fi/95evb9l0wgmy3ihjgy2ss/dsc0135.jpg?rlkey=o78k4o59bp9vndtadcs8b8ltv&amp;dl=0","Click to download Image")</f>
      </c>
      <c r="B5427" s="0">
        <f>HYPERLINK("https://dl.dropboxusercontent.com/scl/fi/dp7aixgdoydq3aamntdxi/graphic-update22022-youth.jpg?rlkey=ll1i0go8wackknrvgdffxz6ci&amp;dl=0","Click to download SizeChart")</f>
      </c>
      <c r="C5427" s="0" t="inlineStr">
        <is>
          <t>McDowell Youth T-Shirt</t>
        </is>
      </c>
      <c r="D5427" s="0" t="inlineStr">
        <is>
          <t>'104512</t>
        </is>
      </c>
      <c r="E5427" s="0" t="inlineStr">
        <is>
          <t>MCDOWELL:104512C-YL</t>
        </is>
      </c>
      <c r="F5427" s="0" t="inlineStr">
        <is>
          <t>'000000000000</t>
        </is>
      </c>
      <c r="G5427" s="0" t="inlineStr">
        <is>
          <t>YOUTH</t>
        </is>
      </c>
      <c r="H5427" s="0" t="inlineStr">
        <is>
          <t>YL</t>
        </is>
      </c>
      <c r="I5427" s="0">
        <v>29.99</v>
      </c>
      <c r="J5427" s="0">
        <v>18</v>
      </c>
    </row>
    <row r="5428" spans="1:10" customHeight="0">
      <c r="A5428" s="0">
        <f>HYPERLINK("https://dl.dropboxusercontent.com/scl/fi/95evb9l0wgmy3ihjgy2ss/dsc0135.jpg?rlkey=o78k4o59bp9vndtadcs8b8ltv&amp;dl=0","Click to download Image")</f>
      </c>
      <c r="B5428" s="0">
        <f>HYPERLINK("https://dl.dropboxusercontent.com/scl/fi/dp7aixgdoydq3aamntdxi/graphic-update22022-youth.jpg?rlkey=ll1i0go8wackknrvgdffxz6ci&amp;dl=0","Click to download SizeChart")</f>
      </c>
      <c r="C5428" s="0" t="inlineStr">
        <is>
          <t>McDowell Youth T-Shirt</t>
        </is>
      </c>
      <c r="D5428" s="0" t="inlineStr">
        <is>
          <t>'104512</t>
        </is>
      </c>
      <c r="E5428" s="0" t="inlineStr">
        <is>
          <t>MCDOWELL:104512D-YXL</t>
        </is>
      </c>
      <c r="F5428" s="0" t="inlineStr">
        <is>
          <t>'000000000000</t>
        </is>
      </c>
      <c r="G5428" s="0" t="inlineStr">
        <is>
          <t>YOUTH</t>
        </is>
      </c>
      <c r="H5428" s="0" t="inlineStr">
        <is>
          <t>YXL</t>
        </is>
      </c>
      <c r="I5428" s="0">
        <v>29.99</v>
      </c>
      <c r="J5428" s="0">
        <v>32</v>
      </c>
    </row>
    <row r="5429" spans="1:10" customHeight="0">
      <c r="A5429" s="0">
        <f>HYPERLINK("https://dl.dropboxusercontent.com/scl/fi/x4axs2lqtkqcx5haeew1t/dsc0181.jpg?rlkey=23g2pi1nub5gj6umb9jflwh7w&amp;dl=0","Click to download Image")</f>
      </c>
      <c r="B5429" s="0">
        <f>HYPERLINK("https://dl.dropboxusercontent.com/scl/fi/dp7aixgdoydq3aamntdxi/graphic-update22022-youth.jpg?rlkey=ll1i0go8wackknrvgdffxz6ci&amp;dl=0","Click to download SizeChart")</f>
      </c>
      <c r="C5429" s="0" t="inlineStr">
        <is>
          <t>McDowell Youth T-Shirt</t>
        </is>
      </c>
      <c r="D5429" s="0" t="inlineStr">
        <is>
          <t>'104643</t>
        </is>
      </c>
      <c r="E5429" s="0" t="inlineStr">
        <is>
          <t>MCDOWELL:104643A-YS</t>
        </is>
      </c>
      <c r="F5429" s="0" t="inlineStr">
        <is>
          <t>'000000000000</t>
        </is>
      </c>
      <c r="G5429" s="0" t="inlineStr">
        <is>
          <t>YOUTH</t>
        </is>
      </c>
      <c r="H5429" s="0" t="inlineStr">
        <is>
          <t>YS</t>
        </is>
      </c>
      <c r="I5429" s="0">
        <v>29.99</v>
      </c>
      <c r="J5429" s="0">
        <v>14</v>
      </c>
    </row>
    <row r="5430" spans="1:10" customHeight="0">
      <c r="A5430" s="0">
        <f>HYPERLINK("https://dl.dropboxusercontent.com/scl/fi/x4axs2lqtkqcx5haeew1t/dsc0181.jpg?rlkey=23g2pi1nub5gj6umb9jflwh7w&amp;dl=0","Click to download Image")</f>
      </c>
      <c r="B5430" s="0">
        <f>HYPERLINK("https://dl.dropboxusercontent.com/scl/fi/dp7aixgdoydq3aamntdxi/graphic-update22022-youth.jpg?rlkey=ll1i0go8wackknrvgdffxz6ci&amp;dl=0","Click to download SizeChart")</f>
      </c>
      <c r="C5430" s="0" t="inlineStr">
        <is>
          <t>McDowell Youth T-Shirt</t>
        </is>
      </c>
      <c r="D5430" s="0" t="inlineStr">
        <is>
          <t>'104643</t>
        </is>
      </c>
      <c r="E5430" s="0" t="inlineStr">
        <is>
          <t>MCDOWELL:104643B-YM</t>
        </is>
      </c>
      <c r="F5430" s="0" t="inlineStr">
        <is>
          <t>'000000000000</t>
        </is>
      </c>
      <c r="G5430" s="0" t="inlineStr">
        <is>
          <t>YOUTH</t>
        </is>
      </c>
      <c r="H5430" s="0" t="inlineStr">
        <is>
          <t>YM</t>
        </is>
      </c>
      <c r="I5430" s="0">
        <v>29.99</v>
      </c>
      <c r="J5430" s="0">
        <v>17</v>
      </c>
    </row>
    <row r="5431" spans="1:10" customHeight="0">
      <c r="A5431" s="0">
        <f>HYPERLINK("https://dl.dropboxusercontent.com/scl/fi/x4axs2lqtkqcx5haeew1t/dsc0181.jpg?rlkey=23g2pi1nub5gj6umb9jflwh7w&amp;dl=0","Click to download Image")</f>
      </c>
      <c r="B5431" s="0">
        <f>HYPERLINK("https://dl.dropboxusercontent.com/scl/fi/dp7aixgdoydq3aamntdxi/graphic-update22022-youth.jpg?rlkey=ll1i0go8wackknrvgdffxz6ci&amp;dl=0","Click to download SizeChart")</f>
      </c>
      <c r="C5431" s="0" t="inlineStr">
        <is>
          <t>McDowell Youth T-Shirt</t>
        </is>
      </c>
      <c r="D5431" s="0" t="inlineStr">
        <is>
          <t>'104643</t>
        </is>
      </c>
      <c r="E5431" s="0" t="inlineStr">
        <is>
          <t>MCDOWELL:104643C-YL</t>
        </is>
      </c>
      <c r="F5431" s="0" t="inlineStr">
        <is>
          <t>'000000000000</t>
        </is>
      </c>
      <c r="G5431" s="0" t="inlineStr">
        <is>
          <t>YOUTH</t>
        </is>
      </c>
      <c r="H5431" s="0" t="inlineStr">
        <is>
          <t>YL</t>
        </is>
      </c>
      <c r="I5431" s="0">
        <v>29.99</v>
      </c>
      <c r="J5431" s="0">
        <v>18</v>
      </c>
    </row>
    <row r="5432" spans="1:10" customHeight="0">
      <c r="A5432" s="0">
        <f>HYPERLINK("https://dl.dropboxusercontent.com/scl/fi/x4axs2lqtkqcx5haeew1t/dsc0181.jpg?rlkey=23g2pi1nub5gj6umb9jflwh7w&amp;dl=0","Click to download Image")</f>
      </c>
      <c r="B5432" s="0">
        <f>HYPERLINK("https://dl.dropboxusercontent.com/scl/fi/dp7aixgdoydq3aamntdxi/graphic-update22022-youth.jpg?rlkey=ll1i0go8wackknrvgdffxz6ci&amp;dl=0","Click to download SizeChart")</f>
      </c>
      <c r="C5432" s="0" t="inlineStr">
        <is>
          <t>McDowell Youth T-Shirt</t>
        </is>
      </c>
      <c r="D5432" s="0" t="inlineStr">
        <is>
          <t>'104643</t>
        </is>
      </c>
      <c r="E5432" s="0" t="inlineStr">
        <is>
          <t>MCDOWELL:104643D-YXL</t>
        </is>
      </c>
      <c r="F5432" s="0" t="inlineStr">
        <is>
          <t>'000000000000</t>
        </is>
      </c>
      <c r="G5432" s="0" t="inlineStr">
        <is>
          <t>YOUTH</t>
        </is>
      </c>
      <c r="H5432" s="0" t="inlineStr">
        <is>
          <t>YXL</t>
        </is>
      </c>
      <c r="I5432" s="0">
        <v>29.99</v>
      </c>
      <c r="J5432" s="0">
        <v>19</v>
      </c>
    </row>
    <row r="5433" spans="1:10" customHeight="0">
      <c r="A5433" s="0">
        <f>HYPERLINK("https://dl.dropboxusercontent.com/scl/fi/pnwmxszmwc9i2kl6amwiv/98799-af.jpg?rlkey=0x1z6gf7c0j13wj0hhf655w0s&amp;dl=0","Click to download Image")</f>
      </c>
      <c r="B5433" s="0">
        <f>HYPERLINK("https://dl.dropboxusercontent.com/scl/fi/rx5652yyh4tvjs3lu601b/ladies-b.jpg?rlkey=rqn5x15629uemuoxl69tq1wba&amp;dl=0","Click to download SizeChart")</f>
      </c>
      <c r="C5433" s="0" t="inlineStr">
        <is>
          <t>Stephanie Women's Fleece Sweatshirt</t>
        </is>
      </c>
      <c r="D5433" s="0" t="inlineStr">
        <is>
          <t>'98799</t>
        </is>
      </c>
      <c r="E5433" s="0" t="inlineStr">
        <is>
          <t>STEPHANIE:98799C-L</t>
        </is>
      </c>
      <c r="F5433" s="0" t="inlineStr">
        <is>
          <t>'000000000000</t>
        </is>
      </c>
      <c r="G5433" s="0" t="inlineStr">
        <is>
          <t>WOMENS</t>
        </is>
      </c>
      <c r="H5433" s="0" t="inlineStr">
        <is>
          <t>L</t>
        </is>
      </c>
      <c r="I5433" s="0">
        <v>49.99</v>
      </c>
      <c r="J5433" s="0">
        <v>0</v>
      </c>
    </row>
    <row r="5434" spans="1:10" customHeight="0">
      <c r="A5434" s="0">
        <f>HYPERLINK("https://dl.dropboxusercontent.com/scl/fi/pnwmxszmwc9i2kl6amwiv/98799-af.jpg?rlkey=0x1z6gf7c0j13wj0hhf655w0s&amp;dl=0","Click to download Image")</f>
      </c>
      <c r="B5434" s="0">
        <f>HYPERLINK("https://dl.dropboxusercontent.com/scl/fi/rx5652yyh4tvjs3lu601b/ladies-b.jpg?rlkey=rqn5x15629uemuoxl69tq1wba&amp;dl=0","Click to download SizeChart")</f>
      </c>
      <c r="C5434" s="0" t="inlineStr">
        <is>
          <t>Stephanie Women's Fleece Sweatshirt</t>
        </is>
      </c>
      <c r="D5434" s="0" t="inlineStr">
        <is>
          <t>'98799</t>
        </is>
      </c>
      <c r="E5434" s="0" t="inlineStr">
        <is>
          <t>STEPHANIE:98799F-3XL</t>
        </is>
      </c>
      <c r="F5434" s="0" t="inlineStr">
        <is>
          <t>'000000000000</t>
        </is>
      </c>
      <c r="G5434" s="0" t="inlineStr">
        <is>
          <t>WOMENS</t>
        </is>
      </c>
      <c r="H5434" s="0" t="inlineStr">
        <is>
          <t>3XL</t>
        </is>
      </c>
      <c r="I5434" s="0">
        <v>51.99</v>
      </c>
      <c r="J5434" s="0">
        <v>20</v>
      </c>
    </row>
    <row r="5435" spans="1:10" customHeight="0">
      <c r="A5435" s="0">
        <f>HYPERLINK("https://dl.dropboxusercontent.com/scl/fi/b9fw22ch4an7im0jbqfpx/98402-af.jpg?rlkey=y75dk4mkn73eyit9ifoskk2i9&amp;dl=0","Click to download Image")</f>
      </c>
      <c r="B5435" s="0">
        <f>HYPERLINK("https://dl.dropboxusercontent.com/scl/fi/rx5652yyh4tvjs3lu601b/ladies-b.jpg?rlkey=rqn5x15629uemuoxl69tq1wba&amp;dl=0","Click to download SizeChart")</f>
      </c>
      <c r="C5435" s="0" t="inlineStr">
        <is>
          <t>Stephanie Women's Fleece Sweatshirt</t>
        </is>
      </c>
      <c r="D5435" s="0" t="inlineStr">
        <is>
          <t>'98402</t>
        </is>
      </c>
      <c r="E5435" s="0" t="inlineStr">
        <is>
          <t>STEPHANIE:98402A-S</t>
        </is>
      </c>
      <c r="F5435" s="0" t="inlineStr">
        <is>
          <t>'000000000000</t>
        </is>
      </c>
      <c r="G5435" s="0" t="inlineStr">
        <is>
          <t>WOMENS</t>
        </is>
      </c>
      <c r="H5435" s="0" t="inlineStr">
        <is>
          <t>S</t>
        </is>
      </c>
      <c r="I5435" s="0">
        <v>49.99</v>
      </c>
      <c r="J5435" s="0">
        <v>19</v>
      </c>
    </row>
    <row r="5436" spans="1:10" customHeight="0">
      <c r="A5436" s="0">
        <f>HYPERLINK("https://dl.dropboxusercontent.com/scl/fi/b9fw22ch4an7im0jbqfpx/98402-af.jpg?rlkey=y75dk4mkn73eyit9ifoskk2i9&amp;dl=0","Click to download Image")</f>
      </c>
      <c r="B5436" s="0">
        <f>HYPERLINK("https://dl.dropboxusercontent.com/scl/fi/rx5652yyh4tvjs3lu601b/ladies-b.jpg?rlkey=rqn5x15629uemuoxl69tq1wba&amp;dl=0","Click to download SizeChart")</f>
      </c>
      <c r="C5436" s="0" t="inlineStr">
        <is>
          <t>Stephanie Women's Fleece Sweatshirt</t>
        </is>
      </c>
      <c r="D5436" s="0" t="inlineStr">
        <is>
          <t>'98402</t>
        </is>
      </c>
      <c r="E5436" s="0" t="inlineStr">
        <is>
          <t>STEPHANIE:98402B-M</t>
        </is>
      </c>
      <c r="F5436" s="0" t="inlineStr">
        <is>
          <t>'000000000000</t>
        </is>
      </c>
      <c r="G5436" s="0" t="inlineStr">
        <is>
          <t>WOMENS</t>
        </is>
      </c>
      <c r="H5436" s="0" t="inlineStr">
        <is>
          <t>M</t>
        </is>
      </c>
      <c r="I5436" s="0">
        <v>49.99</v>
      </c>
      <c r="J5436" s="0">
        <v>4</v>
      </c>
    </row>
    <row r="5437" spans="1:10" customHeight="0">
      <c r="A5437" s="0">
        <f>HYPERLINK("https://dl.dropboxusercontent.com/scl/fi/b9fw22ch4an7im0jbqfpx/98402-af.jpg?rlkey=y75dk4mkn73eyit9ifoskk2i9&amp;dl=0","Click to download Image")</f>
      </c>
      <c r="B5437" s="0">
        <f>HYPERLINK("https://dl.dropboxusercontent.com/scl/fi/rx5652yyh4tvjs3lu601b/ladies-b.jpg?rlkey=rqn5x15629uemuoxl69tq1wba&amp;dl=0","Click to download SizeChart")</f>
      </c>
      <c r="C5437" s="0" t="inlineStr">
        <is>
          <t>Stephanie Women's Fleece Sweatshirt</t>
        </is>
      </c>
      <c r="D5437" s="0" t="inlineStr">
        <is>
          <t>'98402</t>
        </is>
      </c>
      <c r="E5437" s="0" t="inlineStr">
        <is>
          <t>STEPHANIE:98402D-XL</t>
        </is>
      </c>
      <c r="F5437" s="0" t="inlineStr">
        <is>
          <t>'000000000000</t>
        </is>
      </c>
      <c r="G5437" s="0" t="inlineStr">
        <is>
          <t>WOMENS</t>
        </is>
      </c>
      <c r="H5437" s="0" t="inlineStr">
        <is>
          <t>XL</t>
        </is>
      </c>
      <c r="I5437" s="0">
        <v>49.99</v>
      </c>
      <c r="J5437" s="0">
        <v>14</v>
      </c>
    </row>
    <row r="5438" spans="1:10" customHeight="0">
      <c r="A5438" s="0">
        <f>HYPERLINK("https://dl.dropboxusercontent.com/scl/fi/b9fw22ch4an7im0jbqfpx/98402-af.jpg?rlkey=y75dk4mkn73eyit9ifoskk2i9&amp;dl=0","Click to download Image")</f>
      </c>
      <c r="B5438" s="0">
        <f>HYPERLINK("https://dl.dropboxusercontent.com/scl/fi/rx5652yyh4tvjs3lu601b/ladies-b.jpg?rlkey=rqn5x15629uemuoxl69tq1wba&amp;dl=0","Click to download SizeChart")</f>
      </c>
      <c r="C5438" s="0" t="inlineStr">
        <is>
          <t>Stephanie Women's Fleece Sweatshirt</t>
        </is>
      </c>
      <c r="D5438" s="0" t="inlineStr">
        <is>
          <t>'98402</t>
        </is>
      </c>
      <c r="E5438" s="0" t="inlineStr">
        <is>
          <t>STEPHANIE:98402E-2XL</t>
        </is>
      </c>
      <c r="F5438" s="0" t="inlineStr">
        <is>
          <t>'000000000000</t>
        </is>
      </c>
      <c r="G5438" s="0" t="inlineStr">
        <is>
          <t>WOMENS</t>
        </is>
      </c>
      <c r="H5438" s="0" t="inlineStr">
        <is>
          <t>2XL</t>
        </is>
      </c>
      <c r="I5438" s="0">
        <v>51.99</v>
      </c>
      <c r="J5438" s="0">
        <v>14</v>
      </c>
    </row>
    <row r="5439" spans="1:10" customHeight="0">
      <c r="A5439" s="0">
        <f>HYPERLINK("https://dl.dropboxusercontent.com/scl/fi/qjfl4yyita3qgx103he3s/103185af.jpg?rlkey=2tvtql0ymnoor0ydp0cohd9zb&amp;dl=0","Click to download Image")</f>
      </c>
      <c r="B5439" s="0">
        <f>HYPERLINK("https://dl.dropboxusercontent.com/scl/fi/9zbsnvlqpkhap2rw0qoxj/graphic-update22022-youth.jpg?rlkey=cgstkigfja8p0ca6p8k95erxw&amp;dl=0","Click to download SizeChart")</f>
      </c>
      <c r="C5439" s="0" t="inlineStr">
        <is>
          <t>Parker Youth Baseball T-Shirt</t>
        </is>
      </c>
      <c r="D5439" s="0" t="inlineStr">
        <is>
          <t>'103185</t>
        </is>
      </c>
      <c r="E5439" s="0" t="inlineStr">
        <is>
          <t>PARKER:103185A-YS</t>
        </is>
      </c>
      <c r="F5439" s="0" t="inlineStr">
        <is>
          <t>'000000000000</t>
        </is>
      </c>
      <c r="G5439" s="0" t="inlineStr">
        <is>
          <t>YOUTH</t>
        </is>
      </c>
      <c r="H5439" s="0" t="inlineStr">
        <is>
          <t>YS</t>
        </is>
      </c>
      <c r="I5439" s="0">
        <v>29.99</v>
      </c>
      <c r="J5439" s="0">
        <v>107</v>
      </c>
    </row>
    <row r="5440" spans="1:10" customHeight="0">
      <c r="A5440" s="0">
        <f>HYPERLINK("https://dl.dropboxusercontent.com/scl/fi/qjfl4yyita3qgx103he3s/103185af.jpg?rlkey=2tvtql0ymnoor0ydp0cohd9zb&amp;dl=0","Click to download Image")</f>
      </c>
      <c r="B5440" s="0">
        <f>HYPERLINK("https://dl.dropboxusercontent.com/scl/fi/9zbsnvlqpkhap2rw0qoxj/graphic-update22022-youth.jpg?rlkey=cgstkigfja8p0ca6p8k95erxw&amp;dl=0","Click to download SizeChart")</f>
      </c>
      <c r="C5440" s="0" t="inlineStr">
        <is>
          <t>Parker Youth Baseball T-Shirt</t>
        </is>
      </c>
      <c r="D5440" s="0" t="inlineStr">
        <is>
          <t>'103185</t>
        </is>
      </c>
      <c r="E5440" s="0" t="inlineStr">
        <is>
          <t>PARKER:103185B-YM</t>
        </is>
      </c>
      <c r="F5440" s="0" t="inlineStr">
        <is>
          <t>'000000000000</t>
        </is>
      </c>
      <c r="G5440" s="0" t="inlineStr">
        <is>
          <t>YOUTH</t>
        </is>
      </c>
      <c r="H5440" s="0" t="inlineStr">
        <is>
          <t>YM</t>
        </is>
      </c>
      <c r="I5440" s="0">
        <v>29.99</v>
      </c>
      <c r="J5440" s="0">
        <v>96</v>
      </c>
    </row>
    <row r="5441" spans="1:10" customHeight="0">
      <c r="A5441" s="0">
        <f>HYPERLINK("https://dl.dropboxusercontent.com/scl/fi/qjfl4yyita3qgx103he3s/103185af.jpg?rlkey=2tvtql0ymnoor0ydp0cohd9zb&amp;dl=0","Click to download Image")</f>
      </c>
      <c r="B5441" s="0">
        <f>HYPERLINK("https://dl.dropboxusercontent.com/scl/fi/9zbsnvlqpkhap2rw0qoxj/graphic-update22022-youth.jpg?rlkey=cgstkigfja8p0ca6p8k95erxw&amp;dl=0","Click to download SizeChart")</f>
      </c>
      <c r="C5441" s="0" t="inlineStr">
        <is>
          <t>Parker Youth Baseball T-Shirt</t>
        </is>
      </c>
      <c r="D5441" s="0" t="inlineStr">
        <is>
          <t>'103185</t>
        </is>
      </c>
      <c r="E5441" s="0" t="inlineStr">
        <is>
          <t>PARKER:103185C-YL</t>
        </is>
      </c>
      <c r="F5441" s="0" t="inlineStr">
        <is>
          <t>'000000000000</t>
        </is>
      </c>
      <c r="G5441" s="0" t="inlineStr">
        <is>
          <t>YOUTH</t>
        </is>
      </c>
      <c r="H5441" s="0" t="inlineStr">
        <is>
          <t>YL</t>
        </is>
      </c>
      <c r="I5441" s="0">
        <v>29.99</v>
      </c>
      <c r="J5441" s="0">
        <v>88</v>
      </c>
    </row>
    <row r="5442" spans="1:10" customHeight="0">
      <c r="A5442" s="0">
        <f>HYPERLINK("https://dl.dropboxusercontent.com/scl/fi/qjfl4yyita3qgx103he3s/103185af.jpg?rlkey=2tvtql0ymnoor0ydp0cohd9zb&amp;dl=0","Click to download Image")</f>
      </c>
      <c r="B5442" s="0">
        <f>HYPERLINK("https://dl.dropboxusercontent.com/scl/fi/9zbsnvlqpkhap2rw0qoxj/graphic-update22022-youth.jpg?rlkey=cgstkigfja8p0ca6p8k95erxw&amp;dl=0","Click to download SizeChart")</f>
      </c>
      <c r="C5442" s="0" t="inlineStr">
        <is>
          <t>Parker Youth Baseball T-Shirt</t>
        </is>
      </c>
      <c r="D5442" s="0" t="inlineStr">
        <is>
          <t>'103185</t>
        </is>
      </c>
      <c r="E5442" s="0" t="inlineStr">
        <is>
          <t>PARKER:103185D-YXL</t>
        </is>
      </c>
      <c r="F5442" s="0" t="inlineStr">
        <is>
          <t>'000000000000</t>
        </is>
      </c>
      <c r="G5442" s="0" t="inlineStr">
        <is>
          <t>YOUTH</t>
        </is>
      </c>
      <c r="H5442" s="0" t="inlineStr">
        <is>
          <t>YXL</t>
        </is>
      </c>
      <c r="I5442" s="0">
        <v>29.99</v>
      </c>
      <c r="J5442" s="0">
        <v>105</v>
      </c>
    </row>
    <row r="5443" spans="1:10" customHeight="0">
      <c r="A5443" s="0">
        <f>HYPERLINK("https://dl.dropboxusercontent.com/scl/fi/rge48hg04j97leq9ajq5y/104909-af.jpg?rlkey=5rq56cfmi8mr66q8nummnurhz&amp;dl=0","Click to download Image")</f>
      </c>
      <c r="B5443" s="0">
        <f>HYPERLINK("https://dl.dropboxusercontent.com/scl/fi/9zbsnvlqpkhap2rw0qoxj/graphic-update22022-youth.jpg?rlkey=cgstkigfja8p0ca6p8k95erxw&amp;dl=0","Click to download SizeChart")</f>
      </c>
      <c r="C5443" s="0" t="inlineStr">
        <is>
          <t>Parker Youth Baseball T-Shirt</t>
        </is>
      </c>
      <c r="D5443" s="0" t="inlineStr">
        <is>
          <t>'104502</t>
        </is>
      </c>
      <c r="E5443" s="0" t="inlineStr">
        <is>
          <t>PARKER:104502A-YS</t>
        </is>
      </c>
      <c r="F5443" s="0" t="inlineStr">
        <is>
          <t>'000000000000</t>
        </is>
      </c>
      <c r="G5443" s="0" t="inlineStr">
        <is>
          <t>YOUTH</t>
        </is>
      </c>
      <c r="H5443" s="0" t="inlineStr">
        <is>
          <t>YS</t>
        </is>
      </c>
      <c r="I5443" s="0">
        <v>29.99</v>
      </c>
      <c r="J5443" s="0">
        <v>47</v>
      </c>
    </row>
    <row r="5444" spans="1:10" customHeight="0">
      <c r="A5444" s="0">
        <f>HYPERLINK("https://dl.dropboxusercontent.com/scl/fi/rge48hg04j97leq9ajq5y/104909-af.jpg?rlkey=5rq56cfmi8mr66q8nummnurhz&amp;dl=0","Click to download Image")</f>
      </c>
      <c r="B5444" s="0">
        <f>HYPERLINK("https://dl.dropboxusercontent.com/scl/fi/9zbsnvlqpkhap2rw0qoxj/graphic-update22022-youth.jpg?rlkey=cgstkigfja8p0ca6p8k95erxw&amp;dl=0","Click to download SizeChart")</f>
      </c>
      <c r="C5444" s="0" t="inlineStr">
        <is>
          <t>Parker Youth Baseball T-Shirt</t>
        </is>
      </c>
      <c r="D5444" s="0" t="inlineStr">
        <is>
          <t>'104502</t>
        </is>
      </c>
      <c r="E5444" s="0" t="inlineStr">
        <is>
          <t>PARKER:104502B-YM</t>
        </is>
      </c>
      <c r="F5444" s="0" t="inlineStr">
        <is>
          <t>'000000000000</t>
        </is>
      </c>
      <c r="G5444" s="0" t="inlineStr">
        <is>
          <t>YOUTH</t>
        </is>
      </c>
      <c r="H5444" s="0" t="inlineStr">
        <is>
          <t>YM</t>
        </is>
      </c>
      <c r="I5444" s="0">
        <v>29.99</v>
      </c>
      <c r="J5444" s="0">
        <v>34</v>
      </c>
    </row>
    <row r="5445" spans="1:10" customHeight="0">
      <c r="A5445" s="0">
        <f>HYPERLINK("https://dl.dropboxusercontent.com/scl/fi/rge48hg04j97leq9ajq5y/104909-af.jpg?rlkey=5rq56cfmi8mr66q8nummnurhz&amp;dl=0","Click to download Image")</f>
      </c>
      <c r="B5445" s="0">
        <f>HYPERLINK("https://dl.dropboxusercontent.com/scl/fi/9zbsnvlqpkhap2rw0qoxj/graphic-update22022-youth.jpg?rlkey=cgstkigfja8p0ca6p8k95erxw&amp;dl=0","Click to download SizeChart")</f>
      </c>
      <c r="C5445" s="0" t="inlineStr">
        <is>
          <t>Parker Youth Baseball T-Shirt</t>
        </is>
      </c>
      <c r="D5445" s="0" t="inlineStr">
        <is>
          <t>'104502</t>
        </is>
      </c>
      <c r="E5445" s="0" t="inlineStr">
        <is>
          <t>PARKER:104502C-YL</t>
        </is>
      </c>
      <c r="F5445" s="0" t="inlineStr">
        <is>
          <t>'000000000000</t>
        </is>
      </c>
      <c r="G5445" s="0" t="inlineStr">
        <is>
          <t>YOUTH</t>
        </is>
      </c>
      <c r="H5445" s="0" t="inlineStr">
        <is>
          <t>YL</t>
        </is>
      </c>
      <c r="I5445" s="0">
        <v>29.99</v>
      </c>
      <c r="J5445" s="0">
        <v>40</v>
      </c>
    </row>
    <row r="5446" spans="1:10" customHeight="0">
      <c r="A5446" s="0">
        <f>HYPERLINK("https://dl.dropboxusercontent.com/scl/fi/rge48hg04j97leq9ajq5y/104909-af.jpg?rlkey=5rq56cfmi8mr66q8nummnurhz&amp;dl=0","Click to download Image")</f>
      </c>
      <c r="B5446" s="0">
        <f>HYPERLINK("https://dl.dropboxusercontent.com/scl/fi/9zbsnvlqpkhap2rw0qoxj/graphic-update22022-youth.jpg?rlkey=cgstkigfja8p0ca6p8k95erxw&amp;dl=0","Click to download SizeChart")</f>
      </c>
      <c r="C5446" s="0" t="inlineStr">
        <is>
          <t>Parker Youth Baseball T-Shirt</t>
        </is>
      </c>
      <c r="D5446" s="0" t="inlineStr">
        <is>
          <t>'104502</t>
        </is>
      </c>
      <c r="E5446" s="0" t="inlineStr">
        <is>
          <t>PARKER:104502D-YXL</t>
        </is>
      </c>
      <c r="F5446" s="0" t="inlineStr">
        <is>
          <t>'000000000000</t>
        </is>
      </c>
      <c r="G5446" s="0" t="inlineStr">
        <is>
          <t>YOUTH</t>
        </is>
      </c>
      <c r="H5446" s="0" t="inlineStr">
        <is>
          <t>YXL</t>
        </is>
      </c>
      <c r="I5446" s="0">
        <v>29.99</v>
      </c>
      <c r="J5446" s="0">
        <v>47</v>
      </c>
    </row>
    <row r="5447" spans="1:10" customHeight="0">
      <c r="A5447" s="0">
        <f>HYPERLINK("https://dl.dropboxusercontent.com/scl/fi/1q0r2rqgxk1sawr6hpe2b/103185af.jpg?rlkey=b55y8dmlzsrybq9w8zecrm9kw&amp;dl=0","Click to download Image")</f>
      </c>
      <c r="B5447" s="0">
        <f>HYPERLINK("https://dl.dropboxusercontent.com/scl/fi/9zbsnvlqpkhap2rw0qoxj/graphic-update22022-youth.jpg?rlkey=cgstkigfja8p0ca6p8k95erxw&amp;dl=0","Click to download SizeChart")</f>
      </c>
      <c r="C5447" s="0" t="inlineStr">
        <is>
          <t>Parker Youth Baseball T-Shirt</t>
        </is>
      </c>
      <c r="D5447" s="0" t="inlineStr">
        <is>
          <t>'104644</t>
        </is>
      </c>
      <c r="E5447" s="0" t="inlineStr">
        <is>
          <t>PARKER:104644A-YS</t>
        </is>
      </c>
      <c r="F5447" s="0" t="inlineStr">
        <is>
          <t>'000000000000</t>
        </is>
      </c>
      <c r="G5447" s="0" t="inlineStr">
        <is>
          <t>YOUTH</t>
        </is>
      </c>
      <c r="H5447" s="0" t="inlineStr">
        <is>
          <t>YS</t>
        </is>
      </c>
      <c r="I5447" s="0">
        <v>29.99</v>
      </c>
      <c r="J5447" s="0">
        <v>18</v>
      </c>
    </row>
    <row r="5448" spans="1:10" customHeight="0">
      <c r="A5448" s="0">
        <f>HYPERLINK("https://dl.dropboxusercontent.com/scl/fi/1q0r2rqgxk1sawr6hpe2b/103185af.jpg?rlkey=b55y8dmlzsrybq9w8zecrm9kw&amp;dl=0","Click to download Image")</f>
      </c>
      <c r="B5448" s="0">
        <f>HYPERLINK("https://dl.dropboxusercontent.com/scl/fi/9zbsnvlqpkhap2rw0qoxj/graphic-update22022-youth.jpg?rlkey=cgstkigfja8p0ca6p8k95erxw&amp;dl=0","Click to download SizeChart")</f>
      </c>
      <c r="C5448" s="0" t="inlineStr">
        <is>
          <t>Parker Youth Baseball T-Shirt</t>
        </is>
      </c>
      <c r="D5448" s="0" t="inlineStr">
        <is>
          <t>'104644</t>
        </is>
      </c>
      <c r="E5448" s="0" t="inlineStr">
        <is>
          <t>PARKER:104644B-YM</t>
        </is>
      </c>
      <c r="F5448" s="0" t="inlineStr">
        <is>
          <t>'000000000000</t>
        </is>
      </c>
      <c r="G5448" s="0" t="inlineStr">
        <is>
          <t>YOUTH</t>
        </is>
      </c>
      <c r="H5448" s="0" t="inlineStr">
        <is>
          <t>YM</t>
        </is>
      </c>
      <c r="I5448" s="0">
        <v>29.99</v>
      </c>
      <c r="J5448" s="0">
        <v>18</v>
      </c>
    </row>
    <row r="5449" spans="1:10" customHeight="0">
      <c r="A5449" s="0">
        <f>HYPERLINK("https://dl.dropboxusercontent.com/scl/fi/1q0r2rqgxk1sawr6hpe2b/103185af.jpg?rlkey=b55y8dmlzsrybq9w8zecrm9kw&amp;dl=0","Click to download Image")</f>
      </c>
      <c r="B5449" s="0">
        <f>HYPERLINK("https://dl.dropboxusercontent.com/scl/fi/9zbsnvlqpkhap2rw0qoxj/graphic-update22022-youth.jpg?rlkey=cgstkigfja8p0ca6p8k95erxw&amp;dl=0","Click to download SizeChart")</f>
      </c>
      <c r="C5449" s="0" t="inlineStr">
        <is>
          <t>Parker Youth Baseball T-Shirt</t>
        </is>
      </c>
      <c r="D5449" s="0" t="inlineStr">
        <is>
          <t>'104644</t>
        </is>
      </c>
      <c r="E5449" s="0" t="inlineStr">
        <is>
          <t>PARKER:104644C-YL</t>
        </is>
      </c>
      <c r="F5449" s="0" t="inlineStr">
        <is>
          <t>'000000000000</t>
        </is>
      </c>
      <c r="G5449" s="0" t="inlineStr">
        <is>
          <t>YOUTH</t>
        </is>
      </c>
      <c r="H5449" s="0" t="inlineStr">
        <is>
          <t>YL</t>
        </is>
      </c>
      <c r="I5449" s="0">
        <v>29.99</v>
      </c>
      <c r="J5449" s="0">
        <v>20</v>
      </c>
    </row>
    <row r="5450" spans="1:10" customHeight="0">
      <c r="A5450" s="0">
        <f>HYPERLINK("https://dl.dropboxusercontent.com/scl/fi/1q0r2rqgxk1sawr6hpe2b/103185af.jpg?rlkey=b55y8dmlzsrybq9w8zecrm9kw&amp;dl=0","Click to download Image")</f>
      </c>
      <c r="B5450" s="0">
        <f>HYPERLINK("https://dl.dropboxusercontent.com/scl/fi/9zbsnvlqpkhap2rw0qoxj/graphic-update22022-youth.jpg?rlkey=cgstkigfja8p0ca6p8k95erxw&amp;dl=0","Click to download SizeChart")</f>
      </c>
      <c r="C5450" s="0" t="inlineStr">
        <is>
          <t>Parker Youth Baseball T-Shirt</t>
        </is>
      </c>
      <c r="D5450" s="0" t="inlineStr">
        <is>
          <t>'104644</t>
        </is>
      </c>
      <c r="E5450" s="0" t="inlineStr">
        <is>
          <t>PARKER:104644D-YXL</t>
        </is>
      </c>
      <c r="F5450" s="0" t="inlineStr">
        <is>
          <t>'000000000000</t>
        </is>
      </c>
      <c r="G5450" s="0" t="inlineStr">
        <is>
          <t>YOUTH</t>
        </is>
      </c>
      <c r="H5450" s="0" t="inlineStr">
        <is>
          <t>YXL</t>
        </is>
      </c>
      <c r="I5450" s="0">
        <v>29.99</v>
      </c>
      <c r="J5450" s="0">
        <v>21</v>
      </c>
    </row>
    <row r="5451" spans="1:10" customHeight="0">
      <c r="A5451" s="0">
        <f>HYPERLINK("https://dl.dropboxusercontent.com/scl/fi/1ppsr7a7qzrikcpq7pcqd/107204-af.jpg?rlkey=oo8zo2xyn9foeph3sqyib8v83&amp;dl=0","Click to download Image")</f>
      </c>
      <c r="B5451" s="0">
        <f>HYPERLINK("https://dl.dropboxusercontent.com/scl/fi/9zbsnvlqpkhap2rw0qoxj/graphic-update22022-youth.jpg?rlkey=cgstkigfja8p0ca6p8k95erxw&amp;dl=0","Click to download SizeChart")</f>
      </c>
      <c r="C5451" s="0" t="inlineStr">
        <is>
          <t>Parker Youth Baseball T-Shirt</t>
        </is>
      </c>
      <c r="D5451" s="0" t="inlineStr">
        <is>
          <t>'107204</t>
        </is>
      </c>
      <c r="E5451" s="0" t="inlineStr">
        <is>
          <t>WYOMING PARKER:B - YS</t>
        </is>
      </c>
      <c r="F5451" s="0" t="inlineStr">
        <is>
          <t>'000000000000</t>
        </is>
      </c>
      <c r="G5451" s="0" t="inlineStr">
        <is>
          <t>YOUTH</t>
        </is>
      </c>
      <c r="H5451" s="0" t="inlineStr">
        <is>
          <t>YS</t>
        </is>
      </c>
      <c r="I5451" s="0">
        <v>29.99</v>
      </c>
      <c r="J5451" s="0">
        <v>16</v>
      </c>
    </row>
    <row r="5452" spans="1:10" customHeight="0">
      <c r="A5452" s="0">
        <f>HYPERLINK("https://dl.dropboxusercontent.com/scl/fi/1ppsr7a7qzrikcpq7pcqd/107204-af.jpg?rlkey=oo8zo2xyn9foeph3sqyib8v83&amp;dl=0","Click to download Image")</f>
      </c>
      <c r="B5452" s="0">
        <f>HYPERLINK("https://dl.dropboxusercontent.com/scl/fi/9zbsnvlqpkhap2rw0qoxj/graphic-update22022-youth.jpg?rlkey=cgstkigfja8p0ca6p8k95erxw&amp;dl=0","Click to download SizeChart")</f>
      </c>
      <c r="C5452" s="0" t="inlineStr">
        <is>
          <t>Parker Youth Baseball T-Shirt</t>
        </is>
      </c>
      <c r="D5452" s="0" t="inlineStr">
        <is>
          <t>'107204</t>
        </is>
      </c>
      <c r="E5452" s="0" t="inlineStr">
        <is>
          <t>WYOMING PARKER:C - YM</t>
        </is>
      </c>
      <c r="F5452" s="0" t="inlineStr">
        <is>
          <t>'000000000000</t>
        </is>
      </c>
      <c r="G5452" s="0" t="inlineStr">
        <is>
          <t>YOUTH</t>
        </is>
      </c>
      <c r="H5452" s="0" t="inlineStr">
        <is>
          <t>YM</t>
        </is>
      </c>
      <c r="I5452" s="0">
        <v>29.99</v>
      </c>
      <c r="J5452" s="0">
        <v>32</v>
      </c>
    </row>
    <row r="5453" spans="1:10" customHeight="0">
      <c r="A5453" s="0">
        <f>HYPERLINK("https://dl.dropboxusercontent.com/scl/fi/1ppsr7a7qzrikcpq7pcqd/107204-af.jpg?rlkey=oo8zo2xyn9foeph3sqyib8v83&amp;dl=0","Click to download Image")</f>
      </c>
      <c r="B5453" s="0">
        <f>HYPERLINK("https://dl.dropboxusercontent.com/scl/fi/9zbsnvlqpkhap2rw0qoxj/graphic-update22022-youth.jpg?rlkey=cgstkigfja8p0ca6p8k95erxw&amp;dl=0","Click to download SizeChart")</f>
      </c>
      <c r="C5453" s="0" t="inlineStr">
        <is>
          <t>Parker Youth Baseball T-Shirt</t>
        </is>
      </c>
      <c r="D5453" s="0" t="inlineStr">
        <is>
          <t>'107204</t>
        </is>
      </c>
      <c r="E5453" s="0" t="inlineStr">
        <is>
          <t>WYOMING PARKER:D - YL</t>
        </is>
      </c>
      <c r="F5453" s="0" t="inlineStr">
        <is>
          <t>'000000000000</t>
        </is>
      </c>
      <c r="G5453" s="0" t="inlineStr">
        <is>
          <t>YOUTH</t>
        </is>
      </c>
      <c r="H5453" s="0" t="inlineStr">
        <is>
          <t>YL</t>
        </is>
      </c>
      <c r="I5453" s="0">
        <v>29.99</v>
      </c>
      <c r="J5453" s="0">
        <v>32</v>
      </c>
    </row>
    <row r="5454" spans="1:10" customHeight="0">
      <c r="A5454" s="0">
        <f>HYPERLINK("https://dl.dropboxusercontent.com/scl/fi/1ppsr7a7qzrikcpq7pcqd/107204-af.jpg?rlkey=oo8zo2xyn9foeph3sqyib8v83&amp;dl=0","Click to download Image")</f>
      </c>
      <c r="B5454" s="0">
        <f>HYPERLINK("https://dl.dropboxusercontent.com/scl/fi/9zbsnvlqpkhap2rw0qoxj/graphic-update22022-youth.jpg?rlkey=cgstkigfja8p0ca6p8k95erxw&amp;dl=0","Click to download SizeChart")</f>
      </c>
      <c r="C5454" s="0" t="inlineStr">
        <is>
          <t>Parker Youth Baseball T-Shirt</t>
        </is>
      </c>
      <c r="D5454" s="0" t="inlineStr">
        <is>
          <t>'107204</t>
        </is>
      </c>
      <c r="E5454" s="0" t="inlineStr">
        <is>
          <t>WYOMING PARKER:E - YXL</t>
        </is>
      </c>
      <c r="F5454" s="0" t="inlineStr">
        <is>
          <t>'000000000000</t>
        </is>
      </c>
      <c r="G5454" s="0" t="inlineStr">
        <is>
          <t>YOUTH</t>
        </is>
      </c>
      <c r="H5454" s="0" t="inlineStr">
        <is>
          <t>YXL</t>
        </is>
      </c>
      <c r="I5454" s="0">
        <v>29.99</v>
      </c>
      <c r="J5454" s="0">
        <v>16</v>
      </c>
    </row>
    <row r="5455" spans="1:10" customHeight="0">
      <c r="A5455" s="0">
        <f>HYPERLINK("https://dl.dropboxusercontent.com/scl/fi/c5umgxlqjo1x7h8bfudjj/104909-af.png?rlkey=0tkm3kzas3b61k7eubger562e&amp;dl=0","Click to download Image")</f>
      </c>
      <c r="B5455" s="0">
        <f>HYPERLINK("https://dl.dropboxusercontent.com/scl/fi/1e6jjjce3ln1v1vxn9qlx/graphic-update22022-toddler.jpg?rlkey=l8c4wkl4mrq8pe0s0xrxu9i3o&amp;dl=0","Click to download SizeChart")</f>
      </c>
      <c r="C5455" s="0" t="inlineStr">
        <is>
          <t>Parker Toddler Baseball T-Shirt</t>
        </is>
      </c>
      <c r="D5455" s="0" t="inlineStr">
        <is>
          <t>'104909</t>
        </is>
      </c>
      <c r="E5455" s="0" t="inlineStr">
        <is>
          <t>PARKER:104909A- 2T</t>
        </is>
      </c>
      <c r="F5455" s="0" t="inlineStr">
        <is>
          <t>'000000000000</t>
        </is>
      </c>
      <c r="G5455" s="0" t="inlineStr">
        <is>
          <t>TODDLER</t>
        </is>
      </c>
      <c r="H5455" s="0" t="inlineStr">
        <is>
          <t>2T</t>
        </is>
      </c>
      <c r="I5455" s="0">
        <v>29.99</v>
      </c>
      <c r="J5455" s="0">
        <v>21</v>
      </c>
    </row>
    <row r="5456" spans="1:10" customHeight="0">
      <c r="A5456" s="0">
        <f>HYPERLINK("https://dl.dropboxusercontent.com/scl/fi/c5umgxlqjo1x7h8bfudjj/104909-af.png?rlkey=0tkm3kzas3b61k7eubger562e&amp;dl=0","Click to download Image")</f>
      </c>
      <c r="B5456" s="0">
        <f>HYPERLINK("https://dl.dropboxusercontent.com/scl/fi/1e6jjjce3ln1v1vxn9qlx/graphic-update22022-toddler.jpg?rlkey=l8c4wkl4mrq8pe0s0xrxu9i3o&amp;dl=0","Click to download SizeChart")</f>
      </c>
      <c r="C5456" s="0" t="inlineStr">
        <is>
          <t>Parker Toddler Baseball T-Shirt</t>
        </is>
      </c>
      <c r="D5456" s="0" t="inlineStr">
        <is>
          <t>'104909</t>
        </is>
      </c>
      <c r="E5456" s="0" t="inlineStr">
        <is>
          <t>PARKER:104909B- 3T</t>
        </is>
      </c>
      <c r="F5456" s="0" t="inlineStr">
        <is>
          <t>'000000000000</t>
        </is>
      </c>
      <c r="G5456" s="0" t="inlineStr">
        <is>
          <t>TODDLER</t>
        </is>
      </c>
      <c r="H5456" s="0" t="inlineStr">
        <is>
          <t>3T</t>
        </is>
      </c>
      <c r="I5456" s="0">
        <v>29.99</v>
      </c>
      <c r="J5456" s="0">
        <v>14</v>
      </c>
    </row>
    <row r="5457" spans="1:10" customHeight="0">
      <c r="A5457" s="0">
        <f>HYPERLINK("https://dl.dropboxusercontent.com/scl/fi/c5umgxlqjo1x7h8bfudjj/104909-af.png?rlkey=0tkm3kzas3b61k7eubger562e&amp;dl=0","Click to download Image")</f>
      </c>
      <c r="B5457" s="0">
        <f>HYPERLINK("https://dl.dropboxusercontent.com/scl/fi/1e6jjjce3ln1v1vxn9qlx/graphic-update22022-toddler.jpg?rlkey=l8c4wkl4mrq8pe0s0xrxu9i3o&amp;dl=0","Click to download SizeChart")</f>
      </c>
      <c r="C5457" s="0" t="inlineStr">
        <is>
          <t>Parker Toddler Baseball T-Shirt</t>
        </is>
      </c>
      <c r="D5457" s="0" t="inlineStr">
        <is>
          <t>'104909</t>
        </is>
      </c>
      <c r="E5457" s="0" t="inlineStr">
        <is>
          <t>PARKER:104909C- 4T</t>
        </is>
      </c>
      <c r="F5457" s="0" t="inlineStr">
        <is>
          <t>'000000000000</t>
        </is>
      </c>
      <c r="G5457" s="0" t="inlineStr">
        <is>
          <t>TODDLER</t>
        </is>
      </c>
      <c r="H5457" s="0" t="inlineStr">
        <is>
          <t>4T</t>
        </is>
      </c>
      <c r="I5457" s="0">
        <v>29.99</v>
      </c>
      <c r="J5457" s="0">
        <v>12</v>
      </c>
    </row>
    <row r="5458" spans="1:10" customHeight="0">
      <c r="A5458" s="0">
        <f>HYPERLINK("https://dl.dropboxusercontent.com/scl/fi/c5umgxlqjo1x7h8bfudjj/104909-af.png?rlkey=0tkm3kzas3b61k7eubger562e&amp;dl=0","Click to download Image")</f>
      </c>
      <c r="B5458" s="0">
        <f>HYPERLINK("https://dl.dropboxusercontent.com/scl/fi/1e6jjjce3ln1v1vxn9qlx/graphic-update22022-toddler.jpg?rlkey=l8c4wkl4mrq8pe0s0xrxu9i3o&amp;dl=0","Click to download SizeChart")</f>
      </c>
      <c r="C5458" s="0" t="inlineStr">
        <is>
          <t>Parker Toddler Baseball T-Shirt</t>
        </is>
      </c>
      <c r="D5458" s="0" t="inlineStr">
        <is>
          <t>'104909</t>
        </is>
      </c>
      <c r="E5458" s="0" t="inlineStr">
        <is>
          <t>PARKER:104909D- 5T</t>
        </is>
      </c>
      <c r="F5458" s="0" t="inlineStr">
        <is>
          <t>'000000000000</t>
        </is>
      </c>
      <c r="G5458" s="0" t="inlineStr">
        <is>
          <t>TODDLER</t>
        </is>
      </c>
      <c r="H5458" s="0" t="inlineStr">
        <is>
          <t>5T</t>
        </is>
      </c>
      <c r="I5458" s="0">
        <v>29.99</v>
      </c>
      <c r="J5458" s="0">
        <v>11</v>
      </c>
    </row>
    <row r="5459" spans="1:10" customHeight="0">
      <c r="A5459" s="0">
        <f>HYPERLINK("https://dl.dropboxusercontent.com/scl/fi/obeqbdpl0vdf7nm4ea2g5/103041-af.jpg?rlkey=hhffz26nnsh107z38y1wty2zh&amp;dl=0","Click to download Image")</f>
      </c>
      <c r="C5459" s="0" t="inlineStr">
        <is>
          <t>Middleton Youth Cap</t>
        </is>
      </c>
      <c r="D5459" s="0" t="inlineStr">
        <is>
          <t>'103041</t>
        </is>
      </c>
      <c r="E5459" s="0" t="inlineStr">
        <is>
          <t>MIDDLETON:103041</t>
        </is>
      </c>
      <c r="F5459" s="0" t="inlineStr">
        <is>
          <t>'000000000000</t>
        </is>
      </c>
      <c r="G5459" s="0" t="inlineStr">
        <is>
          <t>YOUTH</t>
        </is>
      </c>
      <c r="H5459" s="0" t="inlineStr">
        <is>
          <t>YOUTH</t>
        </is>
      </c>
      <c r="I5459" s="0">
        <v>18.99</v>
      </c>
      <c r="J5459" s="0">
        <v>15</v>
      </c>
    </row>
    <row r="5460" spans="1:10" customHeight="0">
      <c r="A5460" s="0">
        <f>HYPERLINK("https://dl.dropboxusercontent.com/scl/fi/4antkathzaqolox7skmw7/104498-af.jpg?rlkey=q8c1xlqnzo75rwcyelgvr1nzw&amp;dl=0","Click to download Image")</f>
      </c>
      <c r="C5460" s="0" t="inlineStr">
        <is>
          <t>Middleton Youth Cap</t>
        </is>
      </c>
      <c r="D5460" s="0" t="inlineStr">
        <is>
          <t>'104498</t>
        </is>
      </c>
      <c r="E5460" s="0" t="inlineStr">
        <is>
          <t>MIDDLETON:104498</t>
        </is>
      </c>
      <c r="F5460" s="0" t="inlineStr">
        <is>
          <t>'000000000000</t>
        </is>
      </c>
      <c r="G5460" s="0" t="inlineStr">
        <is>
          <t>YOUTH</t>
        </is>
      </c>
      <c r="H5460" s="0" t="inlineStr">
        <is>
          <t>YOUTH</t>
        </is>
      </c>
      <c r="I5460" s="0">
        <v>18.99</v>
      </c>
      <c r="J5460" s="0">
        <v>85</v>
      </c>
    </row>
    <row r="5461" spans="1:10" customHeight="0">
      <c r="A5461" s="0">
        <f>HYPERLINK("https://dl.dropboxusercontent.com/scl/fi/vpfa7a96d31dcsdzvh44i/104642-af.jpg?rlkey=hkfg9cj6i36tljmsufyhefa93&amp;dl=0","Click to download Image")</f>
      </c>
      <c r="C5461" s="0" t="inlineStr">
        <is>
          <t>Middleton Youth Cap</t>
        </is>
      </c>
      <c r="D5461" s="0" t="inlineStr">
        <is>
          <t>'104642</t>
        </is>
      </c>
      <c r="E5461" s="0" t="inlineStr">
        <is>
          <t>MIDDLETON:104642</t>
        </is>
      </c>
      <c r="F5461" s="0" t="inlineStr">
        <is>
          <t>'000000000000</t>
        </is>
      </c>
      <c r="G5461" s="0" t="inlineStr">
        <is>
          <t>YOUTH</t>
        </is>
      </c>
      <c r="H5461" s="0" t="inlineStr">
        <is>
          <t>YOUTH</t>
        </is>
      </c>
      <c r="I5461" s="0">
        <v>18.99</v>
      </c>
      <c r="J5461" s="0">
        <v>120</v>
      </c>
    </row>
    <row r="5462" spans="1:10" customHeight="0">
      <c r="A5462" s="0">
        <f>HYPERLINK("https://dl.dropboxusercontent.com/scl/fi/1r7shs3fee5egrbkyoca9/103041-af.jpg?rlkey=a6417jxao1bgr9b3u8pw8lu3y&amp;dl=0","Click to download Image")</f>
      </c>
      <c r="C5462" s="0" t="inlineStr">
        <is>
          <t>Middleton Toddler Cap</t>
        </is>
      </c>
      <c r="D5462" s="0" t="inlineStr">
        <is>
          <t>'104522</t>
        </is>
      </c>
      <c r="E5462" s="0" t="inlineStr">
        <is>
          <t>MIDDLETON:104522</t>
        </is>
      </c>
      <c r="F5462" s="0" t="inlineStr">
        <is>
          <t>'000000000000</t>
        </is>
      </c>
      <c r="G5462" s="0" t="inlineStr">
        <is>
          <t>TODDLER</t>
        </is>
      </c>
      <c r="H5462" s="0" t="inlineStr">
        <is>
          <t>TODDLER</t>
        </is>
      </c>
      <c r="I5462" s="0">
        <v>18.99</v>
      </c>
      <c r="J5462" s="0">
        <v>105</v>
      </c>
    </row>
    <row r="5463" spans="1:10" customHeight="0">
      <c r="A5463" s="0">
        <f>HYPERLINK("https://dl.dropboxusercontent.com/scl/fi/ajm8f8qgnqt03c227qjkz/104498-af.jpg?rlkey=iq066ovi1t4b1yihpxx2956v0&amp;dl=0","Click to download Image")</f>
      </c>
      <c r="C5463" s="0" t="inlineStr">
        <is>
          <t>Middleton Toddler Cap</t>
        </is>
      </c>
      <c r="D5463" s="0" t="inlineStr">
        <is>
          <t>'104905</t>
        </is>
      </c>
      <c r="E5463" s="0" t="inlineStr">
        <is>
          <t>MIDDLETON:104905</t>
        </is>
      </c>
      <c r="F5463" s="0" t="inlineStr">
        <is>
          <t>'000000000000</t>
        </is>
      </c>
      <c r="G5463" s="0" t="inlineStr">
        <is>
          <t>TODDLER</t>
        </is>
      </c>
      <c r="H5463" s="0" t="inlineStr">
        <is>
          <t>TODDLER</t>
        </is>
      </c>
      <c r="I5463" s="0">
        <v>18.99</v>
      </c>
      <c r="J5463" s="0">
        <v>130</v>
      </c>
    </row>
    <row r="5464" spans="1:10" customHeight="0">
      <c r="A5464" s="0">
        <f>HYPERLINK("https://dl.dropboxusercontent.com/scl/fi/otmb7y8nsuwrbalv4j5wn/103850-af.jpg?rlkey=ywn083cd2q86zm7tbxyd0xmlf&amp;dl=0","Click to download Image")</f>
      </c>
      <c r="C5464" s="0" t="inlineStr">
        <is>
          <t>Briggs Youth Cap</t>
        </is>
      </c>
      <c r="D5464" s="0" t="inlineStr">
        <is>
          <t>'103850</t>
        </is>
      </c>
      <c r="E5464" s="0" t="inlineStr">
        <is>
          <t>BRIGGS:103850</t>
        </is>
      </c>
      <c r="F5464" s="0" t="inlineStr">
        <is>
          <t>'000000000000</t>
        </is>
      </c>
      <c r="G5464" s="0" t="inlineStr">
        <is>
          <t>YOUTH</t>
        </is>
      </c>
      <c r="H5464" s="0" t="inlineStr">
        <is>
          <t>YOUTH</t>
        </is>
      </c>
      <c r="I5464" s="0">
        <v>19.99</v>
      </c>
      <c r="J5464" s="0">
        <v>56</v>
      </c>
    </row>
    <row r="5465" spans="1:10" customHeight="0">
      <c r="A5465" s="0">
        <f>HYPERLINK("https://dl.dropboxusercontent.com/scl/fi/97frwo4q1aouzkasze10n/104379-af.jpg?rlkey=wrbvfm9j06ty1jp6jpzbykkyg&amp;dl=0","Click to download Image")</f>
      </c>
      <c r="C5465" s="0" t="inlineStr">
        <is>
          <t>Briggs Youth Cap</t>
        </is>
      </c>
      <c r="D5465" s="0" t="inlineStr">
        <is>
          <t>'104379</t>
        </is>
      </c>
      <c r="E5465" s="0" t="inlineStr">
        <is>
          <t>BRIGGS:104379</t>
        </is>
      </c>
      <c r="F5465" s="0" t="inlineStr">
        <is>
          <t>'000000000000</t>
        </is>
      </c>
      <c r="G5465" s="0" t="inlineStr">
        <is>
          <t>YOUTH</t>
        </is>
      </c>
      <c r="H5465" s="0" t="inlineStr">
        <is>
          <t>YOUTH</t>
        </is>
      </c>
      <c r="I5465" s="0">
        <v>19.99</v>
      </c>
      <c r="J5465" s="0">
        <v>97</v>
      </c>
    </row>
    <row r="5466" spans="1:10" customHeight="0">
      <c r="A5466" s="0">
        <f>HYPERLINK("https://dl.dropboxusercontent.com/scl/fi/iqxs49pk71cuo0tr9u3ga/103850-af.jpg?rlkey=kecymz5izjm7nckq8747s9asv&amp;dl=0","Click to download Image")</f>
      </c>
      <c r="C5466" s="0" t="inlineStr">
        <is>
          <t>Briggs Toddler Cap</t>
        </is>
      </c>
      <c r="D5466" s="0" t="inlineStr">
        <is>
          <t>'104523</t>
        </is>
      </c>
      <c r="E5466" s="0" t="inlineStr">
        <is>
          <t>BRIGGS:104523</t>
        </is>
      </c>
      <c r="F5466" s="0" t="inlineStr">
        <is>
          <t>'000000000000</t>
        </is>
      </c>
      <c r="G5466" s="0" t="inlineStr">
        <is>
          <t>TODDLER</t>
        </is>
      </c>
      <c r="H5466" s="0" t="inlineStr">
        <is>
          <t>TODDLER</t>
        </is>
      </c>
      <c r="I5466" s="0">
        <v>19.99</v>
      </c>
      <c r="J5466" s="0">
        <v>59</v>
      </c>
    </row>
    <row r="5467" spans="1:10" customHeight="0">
      <c r="A5467" s="0">
        <f>HYPERLINK("https://dl.dropboxusercontent.com/scl/fi/qlgc3id16gjhxa9e77cnk/104379-af.jpg?rlkey=m81ypg5n3zk67aspoh8smbvjy&amp;dl=0","Click to download Image")</f>
      </c>
      <c r="C5467" s="0" t="inlineStr">
        <is>
          <t>Briggs Toddler Cap</t>
        </is>
      </c>
      <c r="D5467" s="0" t="inlineStr">
        <is>
          <t>'104907</t>
        </is>
      </c>
      <c r="E5467" s="0" t="inlineStr">
        <is>
          <t>BRIGGS:104907</t>
        </is>
      </c>
      <c r="F5467" s="0" t="inlineStr">
        <is>
          <t>'000000000000</t>
        </is>
      </c>
      <c r="G5467" s="0" t="inlineStr">
        <is>
          <t>TODDLER</t>
        </is>
      </c>
      <c r="H5467" s="0" t="inlineStr">
        <is>
          <t>TODDLER</t>
        </is>
      </c>
      <c r="I5467" s="0">
        <v>19.99</v>
      </c>
      <c r="J5467" s="0">
        <v>87</v>
      </c>
    </row>
    <row r="5468" spans="1:10" customHeight="0">
      <c r="A5468" s="0">
        <f>HYPERLINK("https://dl.dropboxusercontent.com/scl/fi/y0at0eu4o28po29pdh6vb/94443af88532.jpg?rlkey=ak2i7dykxsogxd2psfo1arcyr&amp;dl=0","Click to download Image")</f>
      </c>
      <c r="B5468" s="0">
        <f>HYPERLINK("https://dl.dropboxusercontent.com/scl/fi/xajn6ppd9e8z0a4h8n5s3/ladies-a.jpg?rlkey=k0yrxi3eab25sb6t8kdcvx6tk&amp;dl=0","Click to download SizeChart")</f>
      </c>
      <c r="C5468" s="0" t="inlineStr">
        <is>
          <t>Split Women's Sweatshirt</t>
        </is>
      </c>
      <c r="D5468" s="0" t="inlineStr">
        <is>
          <t>'94443</t>
        </is>
      </c>
      <c r="E5468" s="0" t="inlineStr">
        <is>
          <t>SPLIT:94443B - M</t>
        </is>
      </c>
      <c r="F5468" s="0" t="inlineStr">
        <is>
          <t>'000000000000</t>
        </is>
      </c>
      <c r="G5468" s="0" t="inlineStr">
        <is>
          <t>WOMENS</t>
        </is>
      </c>
      <c r="H5468" s="0" t="inlineStr">
        <is>
          <t>M</t>
        </is>
      </c>
      <c r="I5468" s="0">
        <v>44.99</v>
      </c>
      <c r="J5468" s="0">
        <v>1</v>
      </c>
    </row>
    <row r="5469" spans="1:10" customHeight="0">
      <c r="A5469" s="0">
        <f>HYPERLINK("https://dl.dropboxusercontent.com/scl/fi/y0at0eu4o28po29pdh6vb/94443af88532.jpg?rlkey=ak2i7dykxsogxd2psfo1arcyr&amp;dl=0","Click to download Image")</f>
      </c>
      <c r="B5469" s="0">
        <f>HYPERLINK("https://dl.dropboxusercontent.com/scl/fi/xajn6ppd9e8z0a4h8n5s3/ladies-a.jpg?rlkey=k0yrxi3eab25sb6t8kdcvx6tk&amp;dl=0","Click to download SizeChart")</f>
      </c>
      <c r="C5469" s="0" t="inlineStr">
        <is>
          <t>Split Women's Sweatshirt</t>
        </is>
      </c>
      <c r="D5469" s="0" t="inlineStr">
        <is>
          <t>'94443</t>
        </is>
      </c>
      <c r="E5469" s="0" t="inlineStr">
        <is>
          <t>SPLIT:94443C - L</t>
        </is>
      </c>
      <c r="F5469" s="0" t="inlineStr">
        <is>
          <t>'000000000000</t>
        </is>
      </c>
      <c r="G5469" s="0" t="inlineStr">
        <is>
          <t>WOMENS</t>
        </is>
      </c>
      <c r="H5469" s="0" t="inlineStr">
        <is>
          <t>L</t>
        </is>
      </c>
      <c r="I5469" s="0">
        <v>44.99</v>
      </c>
      <c r="J5469" s="0">
        <v>40</v>
      </c>
    </row>
    <row r="5470" spans="1:10" customHeight="0">
      <c r="A5470" s="0">
        <f>HYPERLINK("https://dl.dropboxusercontent.com/scl/fi/y0at0eu4o28po29pdh6vb/94443af88532.jpg?rlkey=ak2i7dykxsogxd2psfo1arcyr&amp;dl=0","Click to download Image")</f>
      </c>
      <c r="B5470" s="0">
        <f>HYPERLINK("https://dl.dropboxusercontent.com/scl/fi/xajn6ppd9e8z0a4h8n5s3/ladies-a.jpg?rlkey=k0yrxi3eab25sb6t8kdcvx6tk&amp;dl=0","Click to download SizeChart")</f>
      </c>
      <c r="C5470" s="0" t="inlineStr">
        <is>
          <t>Split Women's Sweatshirt</t>
        </is>
      </c>
      <c r="D5470" s="0" t="inlineStr">
        <is>
          <t>'94443</t>
        </is>
      </c>
      <c r="E5470" s="0" t="inlineStr">
        <is>
          <t>SPLIT:94443D - XL</t>
        </is>
      </c>
      <c r="F5470" s="0" t="inlineStr">
        <is>
          <t>'000000000000</t>
        </is>
      </c>
      <c r="G5470" s="0" t="inlineStr">
        <is>
          <t>WOMENS</t>
        </is>
      </c>
      <c r="H5470" s="0" t="inlineStr">
        <is>
          <t>XL</t>
        </is>
      </c>
      <c r="I5470" s="0">
        <v>44.99</v>
      </c>
      <c r="J5470" s="0">
        <v>54</v>
      </c>
    </row>
    <row r="5471" spans="1:10" customHeight="0">
      <c r="A5471" s="0">
        <f>HYPERLINK("https://dl.dropboxusercontent.com/scl/fi/y0at0eu4o28po29pdh6vb/94443af88532.jpg?rlkey=ak2i7dykxsogxd2psfo1arcyr&amp;dl=0","Click to download Image")</f>
      </c>
      <c r="B5471" s="0">
        <f>HYPERLINK("https://dl.dropboxusercontent.com/scl/fi/xajn6ppd9e8z0a4h8n5s3/ladies-a.jpg?rlkey=k0yrxi3eab25sb6t8kdcvx6tk&amp;dl=0","Click to download SizeChart")</f>
      </c>
      <c r="C5471" s="0" t="inlineStr">
        <is>
          <t>Split Women's Sweatshirt</t>
        </is>
      </c>
      <c r="D5471" s="0" t="inlineStr">
        <is>
          <t>'94443</t>
        </is>
      </c>
      <c r="E5471" s="0" t="inlineStr">
        <is>
          <t>SPLIT:94443E - 2XL</t>
        </is>
      </c>
      <c r="F5471" s="0" t="inlineStr">
        <is>
          <t>'000000000000</t>
        </is>
      </c>
      <c r="G5471" s="0" t="inlineStr">
        <is>
          <t>WOMENS</t>
        </is>
      </c>
      <c r="H5471" s="0" t="inlineStr">
        <is>
          <t>2XL</t>
        </is>
      </c>
      <c r="I5471" s="0">
        <v>46.99</v>
      </c>
      <c r="J5471" s="0">
        <v>19</v>
      </c>
    </row>
    <row r="5472" spans="1:10" customHeight="0">
      <c r="A5472" s="0">
        <f>HYPERLINK("https://dl.dropboxusercontent.com/scl/fi/02ljyxfuoi12rfvr36yc0/iaspectatorf62726.jpg?rlkey=mmb2u9vwdtie8icccgf95tr4q&amp;dl=0","Click to download Image")</f>
      </c>
      <c r="B5472" s="0">
        <f>HYPERLINK("https://dl.dropboxusercontent.com/scl/fi/1na8etit8ng0aw8q0b6kx/mens-d.jpg?rlkey=g08vdzhennhfoj01bzpinm3v5&amp;dl=0","Click to download SizeChart")</f>
      </c>
      <c r="C5472" s="0" t="inlineStr">
        <is>
          <t>Spectator Men's Performance Hoodie</t>
        </is>
      </c>
      <c r="D5472" s="0" t="inlineStr">
        <is>
          <t>'95561</t>
        </is>
      </c>
      <c r="E5472" s="0" t="inlineStr">
        <is>
          <t>SPECTATOR:95561A-S</t>
        </is>
      </c>
      <c r="F5472" s="0" t="inlineStr">
        <is>
          <t>'000000000000</t>
        </is>
      </c>
      <c r="G5472" s="0" t="inlineStr">
        <is>
          <t>MENS</t>
        </is>
      </c>
      <c r="H5472" s="0" t="inlineStr">
        <is>
          <t>S</t>
        </is>
      </c>
      <c r="I5472" s="0">
        <v>49.99</v>
      </c>
      <c r="J5472" s="0">
        <v>0</v>
      </c>
    </row>
    <row r="5473" spans="1:10" customHeight="0">
      <c r="A5473" s="0">
        <f>HYPERLINK("https://dl.dropboxusercontent.com/scl/fi/02ljyxfuoi12rfvr36yc0/iaspectatorf62726.jpg?rlkey=mmb2u9vwdtie8icccgf95tr4q&amp;dl=0","Click to download Image")</f>
      </c>
      <c r="B5473" s="0">
        <f>HYPERLINK("https://dl.dropboxusercontent.com/scl/fi/1na8etit8ng0aw8q0b6kx/mens-d.jpg?rlkey=g08vdzhennhfoj01bzpinm3v5&amp;dl=0","Click to download SizeChart")</f>
      </c>
      <c r="C5473" s="0" t="inlineStr">
        <is>
          <t>Spectator Men's Performance Hoodie</t>
        </is>
      </c>
      <c r="D5473" s="0" t="inlineStr">
        <is>
          <t>'95561</t>
        </is>
      </c>
      <c r="E5473" s="0" t="inlineStr">
        <is>
          <t>SPECTATOR:95561B-M</t>
        </is>
      </c>
      <c r="F5473" s="0" t="inlineStr">
        <is>
          <t>'000000000000</t>
        </is>
      </c>
      <c r="G5473" s="0" t="inlineStr">
        <is>
          <t>MENS</t>
        </is>
      </c>
      <c r="H5473" s="0" t="inlineStr">
        <is>
          <t>M</t>
        </is>
      </c>
      <c r="I5473" s="0">
        <v>49.99</v>
      </c>
      <c r="J5473" s="0">
        <v>16</v>
      </c>
    </row>
    <row r="5474" spans="1:10" customHeight="0">
      <c r="A5474" s="0">
        <f>HYPERLINK("https://dl.dropboxusercontent.com/scl/fi/02ljyxfuoi12rfvr36yc0/iaspectatorf62726.jpg?rlkey=mmb2u9vwdtie8icccgf95tr4q&amp;dl=0","Click to download Image")</f>
      </c>
      <c r="B5474" s="0">
        <f>HYPERLINK("https://dl.dropboxusercontent.com/scl/fi/1na8etit8ng0aw8q0b6kx/mens-d.jpg?rlkey=g08vdzhennhfoj01bzpinm3v5&amp;dl=0","Click to download SizeChart")</f>
      </c>
      <c r="C5474" s="0" t="inlineStr">
        <is>
          <t>Spectator Men's Performance Hoodie</t>
        </is>
      </c>
      <c r="D5474" s="0" t="inlineStr">
        <is>
          <t>'95561</t>
        </is>
      </c>
      <c r="E5474" s="0" t="inlineStr">
        <is>
          <t>SPECTATOR:95561C-L</t>
        </is>
      </c>
      <c r="F5474" s="0" t="inlineStr">
        <is>
          <t>'000000000000</t>
        </is>
      </c>
      <c r="G5474" s="0" t="inlineStr">
        <is>
          <t>MENS</t>
        </is>
      </c>
      <c r="H5474" s="0" t="inlineStr">
        <is>
          <t>L</t>
        </is>
      </c>
      <c r="I5474" s="0">
        <v>49.99</v>
      </c>
      <c r="J5474" s="0">
        <v>58</v>
      </c>
    </row>
    <row r="5475" spans="1:10" customHeight="0">
      <c r="A5475" s="0">
        <f>HYPERLINK("https://dl.dropboxusercontent.com/scl/fi/02ljyxfuoi12rfvr36yc0/iaspectatorf62726.jpg?rlkey=mmb2u9vwdtie8icccgf95tr4q&amp;dl=0","Click to download Image")</f>
      </c>
      <c r="B5475" s="0">
        <f>HYPERLINK("https://dl.dropboxusercontent.com/scl/fi/1na8etit8ng0aw8q0b6kx/mens-d.jpg?rlkey=g08vdzhennhfoj01bzpinm3v5&amp;dl=0","Click to download SizeChart")</f>
      </c>
      <c r="C5475" s="0" t="inlineStr">
        <is>
          <t>Spectator Men's Performance Hoodie</t>
        </is>
      </c>
      <c r="D5475" s="0" t="inlineStr">
        <is>
          <t>'95561</t>
        </is>
      </c>
      <c r="E5475" s="0" t="inlineStr">
        <is>
          <t>SPECTATOR:95561D-XL</t>
        </is>
      </c>
      <c r="F5475" s="0" t="inlineStr">
        <is>
          <t>'000000000000</t>
        </is>
      </c>
      <c r="G5475" s="0" t="inlineStr">
        <is>
          <t>MENS</t>
        </is>
      </c>
      <c r="H5475" s="0" t="inlineStr">
        <is>
          <t>XL</t>
        </is>
      </c>
      <c r="I5475" s="0">
        <v>49.99</v>
      </c>
      <c r="J5475" s="0">
        <v>60</v>
      </c>
    </row>
    <row r="5476" spans="1:10" customHeight="0">
      <c r="A5476" s="0">
        <f>HYPERLINK("https://dl.dropboxusercontent.com/scl/fi/02ljyxfuoi12rfvr36yc0/iaspectatorf62726.jpg?rlkey=mmb2u9vwdtie8icccgf95tr4q&amp;dl=0","Click to download Image")</f>
      </c>
      <c r="B5476" s="0">
        <f>HYPERLINK("https://dl.dropboxusercontent.com/scl/fi/1na8etit8ng0aw8q0b6kx/mens-d.jpg?rlkey=g08vdzhennhfoj01bzpinm3v5&amp;dl=0","Click to download SizeChart")</f>
      </c>
      <c r="C5476" s="0" t="inlineStr">
        <is>
          <t>Spectator Men's Performance Hoodie</t>
        </is>
      </c>
      <c r="D5476" s="0" t="inlineStr">
        <is>
          <t>'95561</t>
        </is>
      </c>
      <c r="E5476" s="0" t="inlineStr">
        <is>
          <t>SPECTATOR:95561E-2X</t>
        </is>
      </c>
      <c r="F5476" s="0" t="inlineStr">
        <is>
          <t>'000000000000</t>
        </is>
      </c>
      <c r="G5476" s="0" t="inlineStr">
        <is>
          <t>MENS</t>
        </is>
      </c>
      <c r="H5476" s="0" t="inlineStr">
        <is>
          <t>2XL</t>
        </is>
      </c>
      <c r="I5476" s="0">
        <v>51.99</v>
      </c>
      <c r="J5476" s="0">
        <v>4</v>
      </c>
    </row>
    <row r="5477" spans="1:10" customHeight="0">
      <c r="A5477" s="0">
        <f>HYPERLINK("https://dl.dropboxusercontent.com/scl/fi/02ljyxfuoi12rfvr36yc0/iaspectatorf62726.jpg?rlkey=mmb2u9vwdtie8icccgf95tr4q&amp;dl=0","Click to download Image")</f>
      </c>
      <c r="B5477" s="0">
        <f>HYPERLINK("https://dl.dropboxusercontent.com/scl/fi/1na8etit8ng0aw8q0b6kx/mens-d.jpg?rlkey=g08vdzhennhfoj01bzpinm3v5&amp;dl=0","Click to download SizeChart")</f>
      </c>
      <c r="C5477" s="0" t="inlineStr">
        <is>
          <t>Spectator Men's Performance Hoodie</t>
        </is>
      </c>
      <c r="D5477" s="0" t="inlineStr">
        <is>
          <t>'95561</t>
        </is>
      </c>
      <c r="E5477" s="0" t="inlineStr">
        <is>
          <t>SPECTATOR:95561F-3X</t>
        </is>
      </c>
      <c r="F5477" s="0" t="inlineStr">
        <is>
          <t>'000000000000</t>
        </is>
      </c>
      <c r="G5477" s="0" t="inlineStr">
        <is>
          <t>MENS</t>
        </is>
      </c>
      <c r="H5477" s="0" t="inlineStr">
        <is>
          <t>3XL</t>
        </is>
      </c>
      <c r="I5477" s="0">
        <v>51.99</v>
      </c>
      <c r="J5477" s="0">
        <v>2</v>
      </c>
    </row>
    <row r="5478" spans="1:10" customHeight="0">
      <c r="A5478" s="0">
        <f>HYPERLINK("https://dl.dropboxusercontent.com/scl/fi/9oztzhi9ebc5vg7ytbxn4/space-dye.jpg?rlkey=qjoxtsafn38fzgo7f14fs9879&amp;dl=0","Click to download Image")</f>
      </c>
      <c r="B5478" s="0">
        <f>HYPERLINK("https://dl.dropboxusercontent.com/scl/fi/cphsp15jpgpt11ltvgqev/mens-polo-size-chartsspace-dye.jpg?rlkey=77x2nwyk8k3kup2klsx9merun&amp;dl=0","Click to download SizeChart")</f>
      </c>
      <c r="C5478" s="0" t="inlineStr">
        <is>
          <t>Space Dye Men's Polo</t>
        </is>
      </c>
      <c r="D5478" s="0" t="inlineStr">
        <is>
          <t>'109781</t>
        </is>
      </c>
      <c r="E5478" s="0" t="inlineStr">
        <is>
          <t>IOWA SPACE DYE:109781DT - XL TALL</t>
        </is>
      </c>
      <c r="F5478" s="0" t="inlineStr">
        <is>
          <t>'000000000000</t>
        </is>
      </c>
      <c r="G5478" s="0" t="inlineStr">
        <is>
          <t>MENS</t>
        </is>
      </c>
      <c r="H5478" s="0" t="inlineStr">
        <is>
          <t>XL TALL</t>
        </is>
      </c>
      <c r="I5478" s="0">
        <v>49.99</v>
      </c>
      <c r="J5478" s="0">
        <v>0</v>
      </c>
    </row>
    <row r="5479" spans="1:10" customHeight="0">
      <c r="A5479" s="0">
        <f>HYPERLINK("https://dl.dropboxusercontent.com/scl/fi/9oztzhi9ebc5vg7ytbxn4/space-dye.jpg?rlkey=qjoxtsafn38fzgo7f14fs9879&amp;dl=0","Click to download Image")</f>
      </c>
      <c r="B5479" s="0">
        <f>HYPERLINK("https://dl.dropboxusercontent.com/scl/fi/cphsp15jpgpt11ltvgqev/mens-polo-size-chartsspace-dye.jpg?rlkey=77x2nwyk8k3kup2klsx9merun&amp;dl=0","Click to download SizeChart")</f>
      </c>
      <c r="C5479" s="0" t="inlineStr">
        <is>
          <t>Space Dye Men's Polo</t>
        </is>
      </c>
      <c r="D5479" s="0" t="inlineStr">
        <is>
          <t>'109781</t>
        </is>
      </c>
      <c r="E5479" s="0" t="inlineStr">
        <is>
          <t>IOWA SPACE DYE:109781EB - 2XL BIG</t>
        </is>
      </c>
      <c r="F5479" s="0" t="inlineStr">
        <is>
          <t>'000000000000</t>
        </is>
      </c>
      <c r="G5479" s="0" t="inlineStr">
        <is>
          <t>MENS</t>
        </is>
      </c>
      <c r="H5479" s="0" t="inlineStr">
        <is>
          <t>2XL BIG</t>
        </is>
      </c>
      <c r="I5479" s="0">
        <v>51.99</v>
      </c>
      <c r="J5479" s="0">
        <v>6</v>
      </c>
    </row>
    <row r="5480" spans="1:10" customHeight="0">
      <c r="A5480" s="0">
        <f>HYPERLINK("https://dl.dropboxusercontent.com/scl/fi/9oztzhi9ebc5vg7ytbxn4/space-dye.jpg?rlkey=qjoxtsafn38fzgo7f14fs9879&amp;dl=0","Click to download Image")</f>
      </c>
      <c r="B5480" s="0">
        <f>HYPERLINK("https://dl.dropboxusercontent.com/scl/fi/cphsp15jpgpt11ltvgqev/mens-polo-size-chartsspace-dye.jpg?rlkey=77x2nwyk8k3kup2klsx9merun&amp;dl=0","Click to download SizeChart")</f>
      </c>
      <c r="C5480" s="0" t="inlineStr">
        <is>
          <t>Space Dye Men's Polo</t>
        </is>
      </c>
      <c r="D5480" s="0" t="inlineStr">
        <is>
          <t>'109781</t>
        </is>
      </c>
      <c r="E5480" s="0" t="inlineStr">
        <is>
          <t>IOWA SPACE DYE:109781ET - 2XL TALL</t>
        </is>
      </c>
      <c r="F5480" s="0" t="inlineStr">
        <is>
          <t>'000000000000</t>
        </is>
      </c>
      <c r="G5480" s="0" t="inlineStr">
        <is>
          <t>MENS</t>
        </is>
      </c>
      <c r="H5480" s="0" t="inlineStr">
        <is>
          <t>2XL TALL</t>
        </is>
      </c>
      <c r="I5480" s="0">
        <v>51.99</v>
      </c>
      <c r="J5480" s="0">
        <v>5</v>
      </c>
    </row>
    <row r="5481" spans="1:10" customHeight="0">
      <c r="A5481" s="0">
        <f>HYPERLINK("https://dl.dropboxusercontent.com/scl/fi/9oztzhi9ebc5vg7ytbxn4/space-dye.jpg?rlkey=qjoxtsafn38fzgo7f14fs9879&amp;dl=0","Click to download Image")</f>
      </c>
      <c r="B5481" s="0">
        <f>HYPERLINK("https://dl.dropboxusercontent.com/scl/fi/cphsp15jpgpt11ltvgqev/mens-polo-size-chartsspace-dye.jpg?rlkey=77x2nwyk8k3kup2klsx9merun&amp;dl=0","Click to download SizeChart")</f>
      </c>
      <c r="C5481" s="0" t="inlineStr">
        <is>
          <t>Space Dye Men's Polo</t>
        </is>
      </c>
      <c r="D5481" s="0" t="inlineStr">
        <is>
          <t>'109781</t>
        </is>
      </c>
      <c r="E5481" s="0" t="inlineStr">
        <is>
          <t>IOWA SPACE DYE:109781FB - 3XL BIG</t>
        </is>
      </c>
      <c r="F5481" s="0" t="inlineStr">
        <is>
          <t>'000000000000</t>
        </is>
      </c>
      <c r="G5481" s="0" t="inlineStr">
        <is>
          <t>MENS</t>
        </is>
      </c>
      <c r="H5481" s="0" t="inlineStr">
        <is>
          <t>3XL BIG</t>
        </is>
      </c>
      <c r="I5481" s="0">
        <v>51.99</v>
      </c>
      <c r="J5481" s="0">
        <v>7</v>
      </c>
    </row>
    <row r="5482" spans="1:10" customHeight="0">
      <c r="A5482" s="0">
        <f>HYPERLINK("https://dl.dropboxusercontent.com/scl/fi/9oztzhi9ebc5vg7ytbxn4/space-dye.jpg?rlkey=qjoxtsafn38fzgo7f14fs9879&amp;dl=0","Click to download Image")</f>
      </c>
      <c r="B5482" s="0">
        <f>HYPERLINK("https://dl.dropboxusercontent.com/scl/fi/cphsp15jpgpt11ltvgqev/mens-polo-size-chartsspace-dye.jpg?rlkey=77x2nwyk8k3kup2klsx9merun&amp;dl=0","Click to download SizeChart")</f>
      </c>
      <c r="C5482" s="0" t="inlineStr">
        <is>
          <t>Space Dye Men's Polo</t>
        </is>
      </c>
      <c r="D5482" s="0" t="inlineStr">
        <is>
          <t>'109781</t>
        </is>
      </c>
      <c r="E5482" s="0" t="inlineStr">
        <is>
          <t>IOWA SPACE DYE:109781FT - 3XL TALL</t>
        </is>
      </c>
      <c r="F5482" s="0" t="inlineStr">
        <is>
          <t>'000000000000</t>
        </is>
      </c>
      <c r="G5482" s="0" t="inlineStr">
        <is>
          <t>MENS</t>
        </is>
      </c>
      <c r="H5482" s="0" t="inlineStr">
        <is>
          <t>3XL TALL</t>
        </is>
      </c>
      <c r="I5482" s="0">
        <v>51.99</v>
      </c>
      <c r="J5482" s="0">
        <v>10</v>
      </c>
    </row>
    <row r="5483" spans="1:10" customHeight="0">
      <c r="A5483" s="0">
        <f>HYPERLINK("https://dl.dropboxusercontent.com/scl/fi/9oztzhi9ebc5vg7ytbxn4/space-dye.jpg?rlkey=qjoxtsafn38fzgo7f14fs9879&amp;dl=0","Click to download Image")</f>
      </c>
      <c r="B5483" s="0">
        <f>HYPERLINK("https://dl.dropboxusercontent.com/scl/fi/cphsp15jpgpt11ltvgqev/mens-polo-size-chartsspace-dye.jpg?rlkey=77x2nwyk8k3kup2klsx9merun&amp;dl=0","Click to download SizeChart")</f>
      </c>
      <c r="C5483" s="0" t="inlineStr">
        <is>
          <t>Space Dye Men's Polo</t>
        </is>
      </c>
      <c r="D5483" s="0" t="inlineStr">
        <is>
          <t>'109781</t>
        </is>
      </c>
      <c r="E5483" s="0" t="inlineStr">
        <is>
          <t>IOWA SPACE DYE:109781GB - 4XL BIG</t>
        </is>
      </c>
      <c r="F5483" s="0" t="inlineStr">
        <is>
          <t>'000000000000</t>
        </is>
      </c>
      <c r="G5483" s="0" t="inlineStr">
        <is>
          <t>MENS</t>
        </is>
      </c>
      <c r="H5483" s="0" t="inlineStr">
        <is>
          <t>4XL BIG</t>
        </is>
      </c>
      <c r="I5483" s="0">
        <v>53.99</v>
      </c>
      <c r="J5483" s="0">
        <v>11</v>
      </c>
    </row>
    <row r="5484" spans="1:10" customHeight="0">
      <c r="A5484" s="0">
        <f>HYPERLINK("https://dl.dropboxusercontent.com/scl/fi/9oztzhi9ebc5vg7ytbxn4/space-dye.jpg?rlkey=qjoxtsafn38fzgo7f14fs9879&amp;dl=0","Click to download Image")</f>
      </c>
      <c r="B5484" s="0">
        <f>HYPERLINK("https://dl.dropboxusercontent.com/scl/fi/cphsp15jpgpt11ltvgqev/mens-polo-size-chartsspace-dye.jpg?rlkey=77x2nwyk8k3kup2klsx9merun&amp;dl=0","Click to download SizeChart")</f>
      </c>
      <c r="C5484" s="0" t="inlineStr">
        <is>
          <t>Space Dye Men's Polo</t>
        </is>
      </c>
      <c r="D5484" s="0" t="inlineStr">
        <is>
          <t>'109781</t>
        </is>
      </c>
      <c r="E5484" s="0" t="inlineStr">
        <is>
          <t>IOWA SPACE DYE:109781GT - 4XL TALL</t>
        </is>
      </c>
      <c r="F5484" s="0" t="inlineStr">
        <is>
          <t>'000000000000</t>
        </is>
      </c>
      <c r="G5484" s="0" t="inlineStr">
        <is>
          <t>MENS</t>
        </is>
      </c>
      <c r="H5484" s="0" t="inlineStr">
        <is>
          <t>4XL TALL</t>
        </is>
      </c>
      <c r="I5484" s="0">
        <v>49.99</v>
      </c>
      <c r="J5484" s="0">
        <v>11</v>
      </c>
    </row>
    <row r="5485" spans="1:10" customHeight="0">
      <c r="A5485" s="0">
        <f>HYPERLINK("https://dl.dropboxusercontent.com/scl/fi/9oztzhi9ebc5vg7ytbxn4/space-dye.jpg?rlkey=qjoxtsafn38fzgo7f14fs9879&amp;dl=0","Click to download Image")</f>
      </c>
      <c r="B5485" s="0">
        <f>HYPERLINK("https://dl.dropboxusercontent.com/scl/fi/cphsp15jpgpt11ltvgqev/mens-polo-size-chartsspace-dye.jpg?rlkey=77x2nwyk8k3kup2klsx9merun&amp;dl=0","Click to download SizeChart")</f>
      </c>
      <c r="C5485" s="0" t="inlineStr">
        <is>
          <t>Space Dye Men's Polo</t>
        </is>
      </c>
      <c r="D5485" s="0" t="inlineStr">
        <is>
          <t>'109781</t>
        </is>
      </c>
      <c r="E5485" s="0" t="inlineStr">
        <is>
          <t>IOWA SPACE DYE:109781HB - 5XL BIG</t>
        </is>
      </c>
      <c r="F5485" s="0" t="inlineStr">
        <is>
          <t>'000000000000</t>
        </is>
      </c>
      <c r="G5485" s="0" t="inlineStr">
        <is>
          <t>MENS</t>
        </is>
      </c>
      <c r="H5485" s="0" t="inlineStr">
        <is>
          <t>5XL BIG</t>
        </is>
      </c>
      <c r="I5485" s="0">
        <v>53.99</v>
      </c>
      <c r="J5485" s="0">
        <v>12</v>
      </c>
    </row>
    <row r="5486" spans="1:10" customHeight="0">
      <c r="A5486" s="0">
        <f>HYPERLINK("https://dl.dropboxusercontent.com/scl/fi/9oztzhi9ebc5vg7ytbxn4/space-dye.jpg?rlkey=qjoxtsafn38fzgo7f14fs9879&amp;dl=0","Click to download Image")</f>
      </c>
      <c r="B5486" s="0">
        <f>HYPERLINK("https://dl.dropboxusercontent.com/scl/fi/cphsp15jpgpt11ltvgqev/mens-polo-size-chartsspace-dye.jpg?rlkey=77x2nwyk8k3kup2klsx9merun&amp;dl=0","Click to download SizeChart")</f>
      </c>
      <c r="C5486" s="0" t="inlineStr">
        <is>
          <t>Space Dye Men's Polo</t>
        </is>
      </c>
      <c r="D5486" s="0" t="inlineStr">
        <is>
          <t>'109781</t>
        </is>
      </c>
      <c r="E5486" s="0" t="inlineStr">
        <is>
          <t>IOWA SPACE DYE:109781HT - 5XL TALL</t>
        </is>
      </c>
      <c r="F5486" s="0" t="inlineStr">
        <is>
          <t>'000000000000</t>
        </is>
      </c>
      <c r="G5486" s="0" t="inlineStr">
        <is>
          <t>MENS</t>
        </is>
      </c>
      <c r="H5486" s="0" t="inlineStr">
        <is>
          <t>5XL TALL</t>
        </is>
      </c>
      <c r="I5486" s="0">
        <v>49.99</v>
      </c>
      <c r="J5486" s="0">
        <v>12</v>
      </c>
    </row>
    <row r="5487" spans="1:10" customHeight="0">
      <c r="A5487" s="0">
        <f>HYPERLINK("https://dl.dropboxusercontent.com/scl/fi/g42oe5b73kvln2bywskm0/sprint-02.jpg?rlkey=cd4natdy04hdpdx5bfmv11xqs&amp;dl=0","Click to download Image")</f>
      </c>
      <c r="C5487" s="0" t="inlineStr">
        <is>
          <t>Sprint Men's Lightweight Hoodie</t>
        </is>
      </c>
      <c r="D5487" s="0" t="inlineStr">
        <is>
          <t>'94445</t>
        </is>
      </c>
      <c r="E5487" s="0" t="inlineStr">
        <is>
          <t>SPRINT:94445J-XLT</t>
        </is>
      </c>
      <c r="F5487" s="0" t="inlineStr">
        <is>
          <t>'000000000000</t>
        </is>
      </c>
      <c r="G5487" s="0" t="inlineStr">
        <is>
          <t>MENS</t>
        </is>
      </c>
      <c r="H5487" s="0" t="inlineStr">
        <is>
          <t>XL TALL</t>
        </is>
      </c>
      <c r="I5487" s="0">
        <v>41.99</v>
      </c>
      <c r="J5487" s="0">
        <v>1</v>
      </c>
    </row>
    <row r="5488" spans="1:10" customHeight="0">
      <c r="A5488" s="0">
        <f>HYPERLINK("https://dl.dropboxusercontent.com/scl/fi/g42oe5b73kvln2bywskm0/sprint-02.jpg?rlkey=cd4natdy04hdpdx5bfmv11xqs&amp;dl=0","Click to download Image")</f>
      </c>
      <c r="C5488" s="0" t="inlineStr">
        <is>
          <t>Sprint Men's Lightweight Hoodie</t>
        </is>
      </c>
      <c r="D5488" s="0" t="inlineStr">
        <is>
          <t>'94445</t>
        </is>
      </c>
      <c r="E5488" s="0" t="inlineStr">
        <is>
          <t>SPRINT:94445K-2XLT</t>
        </is>
      </c>
      <c r="F5488" s="0" t="inlineStr">
        <is>
          <t>'000000000000</t>
        </is>
      </c>
      <c r="G5488" s="0" t="inlineStr">
        <is>
          <t>MENS</t>
        </is>
      </c>
      <c r="H5488" s="0" t="inlineStr">
        <is>
          <t>2XL TALL</t>
        </is>
      </c>
      <c r="I5488" s="0">
        <v>42.49</v>
      </c>
      <c r="J5488" s="0">
        <v>0</v>
      </c>
    </row>
    <row r="5489" spans="1:10" customHeight="0">
      <c r="A5489" s="0">
        <f>HYPERLINK("https://dl.dropboxusercontent.com/scl/fi/g42oe5b73kvln2bywskm0/sprint-02.jpg?rlkey=cd4natdy04hdpdx5bfmv11xqs&amp;dl=0","Click to download Image")</f>
      </c>
      <c r="C5489" s="0" t="inlineStr">
        <is>
          <t>Sprint Men's Lightweight Hoodie</t>
        </is>
      </c>
      <c r="D5489" s="0" t="inlineStr">
        <is>
          <t>'94445</t>
        </is>
      </c>
      <c r="E5489" s="0" t="inlineStr">
        <is>
          <t>SPRINT:94445O-4XLT</t>
        </is>
      </c>
      <c r="F5489" s="0" t="inlineStr">
        <is>
          <t>'000000000000</t>
        </is>
      </c>
      <c r="G5489" s="0" t="inlineStr">
        <is>
          <t>MENS</t>
        </is>
      </c>
      <c r="H5489" s="0" t="inlineStr">
        <is>
          <t>4XL TALL</t>
        </is>
      </c>
      <c r="I5489" s="0">
        <v>43.49</v>
      </c>
      <c r="J5489" s="0">
        <v>1</v>
      </c>
    </row>
    <row r="5490" spans="1:10" customHeight="0">
      <c r="A5490" s="0">
        <f>HYPERLINK("https://dl.dropboxusercontent.com/scl/fi/g42oe5b73kvln2bywskm0/sprint-02.jpg?rlkey=cd4natdy04hdpdx5bfmv11xqs&amp;dl=0","Click to download Image")</f>
      </c>
      <c r="C5490" s="0" t="inlineStr">
        <is>
          <t>Sprint Men's Lightweight Hoodie</t>
        </is>
      </c>
      <c r="D5490" s="0" t="inlineStr">
        <is>
          <t>'94445</t>
        </is>
      </c>
      <c r="E5490" s="0" t="inlineStr">
        <is>
          <t>SPRINT:94445P-5XLT</t>
        </is>
      </c>
      <c r="F5490" s="0" t="inlineStr">
        <is>
          <t>'000000000000</t>
        </is>
      </c>
      <c r="G5490" s="0" t="inlineStr">
        <is>
          <t>MENS</t>
        </is>
      </c>
      <c r="H5490" s="0" t="inlineStr">
        <is>
          <t>5XL TALL</t>
        </is>
      </c>
      <c r="I5490" s="0">
        <v>43.99</v>
      </c>
      <c r="J5490" s="0">
        <v>3</v>
      </c>
    </row>
    <row r="5491" spans="1:10" customHeight="0">
      <c r="A5491" s="0">
        <f>HYPERLINK("https://dl.dropboxusercontent.com/scl/fi/g42oe5b73kvln2bywskm0/sprint-02.jpg?rlkey=cd4natdy04hdpdx5bfmv11xqs&amp;dl=0","Click to download Image")</f>
      </c>
      <c r="C5491" s="0" t="inlineStr">
        <is>
          <t>Sprint Men's Lightweight Hoodie</t>
        </is>
      </c>
      <c r="D5491" s="0" t="inlineStr">
        <is>
          <t>'94445</t>
        </is>
      </c>
      <c r="E5491" s="0" t="inlineStr">
        <is>
          <t>SPRINT:94445G-6XL</t>
        </is>
      </c>
      <c r="F5491" s="0" t="inlineStr">
        <is>
          <t>'000000000000</t>
        </is>
      </c>
      <c r="G5491" s="0" t="inlineStr">
        <is>
          <t>MENS</t>
        </is>
      </c>
      <c r="H5491" s="0" t="inlineStr">
        <is>
          <t>6XL</t>
        </is>
      </c>
      <c r="I5491" s="0">
        <v>39.99</v>
      </c>
      <c r="J5491" s="0">
        <v>3</v>
      </c>
    </row>
    <row r="5492" spans="1:10" customHeight="0">
      <c r="A5492" s="0">
        <f>HYPERLINK("https://dl.dropboxusercontent.com/scl/fi/g42oe5b73kvln2bywskm0/sprint-02.jpg?rlkey=cd4natdy04hdpdx5bfmv11xqs&amp;dl=0","Click to download Image")</f>
      </c>
      <c r="C5492" s="0" t="inlineStr">
        <is>
          <t>Sprint Men's Lightweight Hoodie</t>
        </is>
      </c>
      <c r="D5492" s="0" t="inlineStr">
        <is>
          <t>'94445</t>
        </is>
      </c>
      <c r="E5492" s="0" t="inlineStr">
        <is>
          <t>SPRINT:94445Q-6XLT</t>
        </is>
      </c>
      <c r="F5492" s="0" t="inlineStr">
        <is>
          <t>'000000000000</t>
        </is>
      </c>
      <c r="G5492" s="0" t="inlineStr">
        <is>
          <t>MENS</t>
        </is>
      </c>
      <c r="H5492" s="0" t="inlineStr">
        <is>
          <t>6XL TALL</t>
        </is>
      </c>
      <c r="I5492" s="0">
        <v>44.49</v>
      </c>
      <c r="J5492" s="0">
        <v>2</v>
      </c>
    </row>
    <row r="5493" spans="1:10" customHeight="0">
      <c r="A5493" s="0">
        <f>HYPERLINK("https://dl.dropboxusercontent.com/scl/fi/g42oe5b73kvln2bywskm0/sprint-02.jpg?rlkey=cd4natdy04hdpdx5bfmv11xqs&amp;dl=0","Click to download Image")</f>
      </c>
      <c r="C5493" s="0" t="inlineStr">
        <is>
          <t>Sprint Men's Lightweight Hoodie</t>
        </is>
      </c>
      <c r="D5493" s="0" t="inlineStr">
        <is>
          <t>'94445</t>
        </is>
      </c>
      <c r="E5493" s="0" t="inlineStr">
        <is>
          <t>SPRINT:94445K-8XL</t>
        </is>
      </c>
      <c r="F5493" s="0" t="inlineStr">
        <is>
          <t>'000000000000</t>
        </is>
      </c>
      <c r="G5493" s="0" t="inlineStr">
        <is>
          <t>MENS</t>
        </is>
      </c>
      <c r="H5493" s="0" t="inlineStr">
        <is>
          <t>8XL</t>
        </is>
      </c>
      <c r="I5493" s="0">
        <v>45.49</v>
      </c>
      <c r="J5493" s="0">
        <v>3</v>
      </c>
    </row>
    <row r="5494" spans="1:10" customHeight="0">
      <c r="A5494" s="0">
        <f>HYPERLINK("https://dl.dropboxusercontent.com/scl/fi/n1lze8sn62hr3xqvrnp9p/isusprintf170844.jpg?rlkey=tufsrvpmv5g0q57uwb48d1wje&amp;dl=0","Click to download Image")</f>
      </c>
      <c r="C5494" s="0" t="inlineStr">
        <is>
          <t>Sprint Men's Lightweight Hoodie</t>
        </is>
      </c>
      <c r="D5494" s="0" t="inlineStr">
        <is>
          <t>'95588</t>
        </is>
      </c>
      <c r="E5494" s="0" t="inlineStr">
        <is>
          <t>SPRINT:95588B-M</t>
        </is>
      </c>
      <c r="F5494" s="0" t="inlineStr">
        <is>
          <t>'000000000000</t>
        </is>
      </c>
      <c r="G5494" s="0" t="inlineStr">
        <is>
          <t>MENS</t>
        </is>
      </c>
      <c r="H5494" s="0" t="inlineStr">
        <is>
          <t>M</t>
        </is>
      </c>
      <c r="I5494" s="0">
        <v>39.99</v>
      </c>
      <c r="J5494" s="0">
        <v>9</v>
      </c>
    </row>
    <row r="5495" spans="1:10" customHeight="0">
      <c r="A5495" s="0">
        <f>HYPERLINK("https://dl.dropboxusercontent.com/scl/fi/n1lze8sn62hr3xqvrnp9p/isusprintf170844.jpg?rlkey=tufsrvpmv5g0q57uwb48d1wje&amp;dl=0","Click to download Image")</f>
      </c>
      <c r="C5495" s="0" t="inlineStr">
        <is>
          <t>Sprint Men's Lightweight Hoodie</t>
        </is>
      </c>
      <c r="D5495" s="0" t="inlineStr">
        <is>
          <t>'95588</t>
        </is>
      </c>
      <c r="E5495" s="0" t="inlineStr">
        <is>
          <t>SPRINT:95588C-L</t>
        </is>
      </c>
      <c r="F5495" s="0" t="inlineStr">
        <is>
          <t>'000000000000</t>
        </is>
      </c>
      <c r="G5495" s="0" t="inlineStr">
        <is>
          <t>MENS</t>
        </is>
      </c>
      <c r="H5495" s="0" t="inlineStr">
        <is>
          <t>L</t>
        </is>
      </c>
      <c r="I5495" s="0">
        <v>39.99</v>
      </c>
      <c r="J5495" s="0">
        <v>21</v>
      </c>
    </row>
    <row r="5496" spans="1:10" customHeight="0">
      <c r="A5496" s="0">
        <f>HYPERLINK("https://dl.dropboxusercontent.com/scl/fi/n1lze8sn62hr3xqvrnp9p/isusprintf170844.jpg?rlkey=tufsrvpmv5g0q57uwb48d1wje&amp;dl=0","Click to download Image")</f>
      </c>
      <c r="C5496" s="0" t="inlineStr">
        <is>
          <t>Sprint Men's Lightweight Hoodie</t>
        </is>
      </c>
      <c r="D5496" s="0" t="inlineStr">
        <is>
          <t>'95588</t>
        </is>
      </c>
      <c r="E5496" s="0" t="inlineStr">
        <is>
          <t>SPRINT:95588D-XL</t>
        </is>
      </c>
      <c r="F5496" s="0" t="inlineStr">
        <is>
          <t>'000000000000</t>
        </is>
      </c>
      <c r="G5496" s="0" t="inlineStr">
        <is>
          <t>MENS</t>
        </is>
      </c>
      <c r="H5496" s="0" t="inlineStr">
        <is>
          <t>XL</t>
        </is>
      </c>
      <c r="I5496" s="0">
        <v>39.99</v>
      </c>
      <c r="J5496" s="0">
        <v>20</v>
      </c>
    </row>
    <row r="5497" spans="1:10" customHeight="0">
      <c r="A5497" s="0">
        <f>HYPERLINK("https://dl.dropboxusercontent.com/scl/fi/n1lze8sn62hr3xqvrnp9p/isusprintf170844.jpg?rlkey=tufsrvpmv5g0q57uwb48d1wje&amp;dl=0","Click to download Image")</f>
      </c>
      <c r="C5497" s="0" t="inlineStr">
        <is>
          <t>Sprint Men's Lightweight Hoodie</t>
        </is>
      </c>
      <c r="D5497" s="0" t="inlineStr">
        <is>
          <t>'95588</t>
        </is>
      </c>
      <c r="E5497" s="0" t="inlineStr">
        <is>
          <t>SPRINT:95588E-2XL</t>
        </is>
      </c>
      <c r="F5497" s="0" t="inlineStr">
        <is>
          <t>'000000000000</t>
        </is>
      </c>
      <c r="G5497" s="0" t="inlineStr">
        <is>
          <t>MENS</t>
        </is>
      </c>
      <c r="H5497" s="0" t="inlineStr">
        <is>
          <t>2XL</t>
        </is>
      </c>
      <c r="I5497" s="0">
        <v>41.99</v>
      </c>
      <c r="J5497" s="0">
        <v>24</v>
      </c>
    </row>
    <row r="5498" spans="1:10" customHeight="0">
      <c r="A5498" s="0">
        <f>HYPERLINK("https://dl.dropboxusercontent.com/scl/fi/n1lze8sn62hr3xqvrnp9p/isusprintf170844.jpg?rlkey=tufsrvpmv5g0q57uwb48d1wje&amp;dl=0","Click to download Image")</f>
      </c>
      <c r="C5498" s="0" t="inlineStr">
        <is>
          <t>Sprint Men's Lightweight Hoodie</t>
        </is>
      </c>
      <c r="D5498" s="0" t="inlineStr">
        <is>
          <t>'95588</t>
        </is>
      </c>
      <c r="E5498" s="0" t="inlineStr">
        <is>
          <t>SPRINT:95588F-3XL</t>
        </is>
      </c>
      <c r="F5498" s="0" t="inlineStr">
        <is>
          <t>'000000000000</t>
        </is>
      </c>
      <c r="G5498" s="0" t="inlineStr">
        <is>
          <t>MENS</t>
        </is>
      </c>
      <c r="H5498" s="0" t="inlineStr">
        <is>
          <t>3XL</t>
        </is>
      </c>
      <c r="I5498" s="0">
        <v>41.99</v>
      </c>
      <c r="J5498" s="0">
        <v>8</v>
      </c>
    </row>
    <row r="5499" spans="1:10" customHeight="0">
      <c r="A5499" s="0">
        <f>HYPERLINK("https://dl.dropboxusercontent.com/scl/fi/sbo0s15kktorg55zvrpu6/100208af48220.jpg?rlkey=97wmcv4bl97i38o2wkjlo84un&amp;dl=0","Click to download Image")</f>
      </c>
      <c r="C5499" s="0" t="inlineStr">
        <is>
          <t>Adair Men's Beanie</t>
        </is>
      </c>
      <c r="D5499" s="0" t="inlineStr">
        <is>
          <t>'100208</t>
        </is>
      </c>
      <c r="E5499" s="0" t="inlineStr">
        <is>
          <t>ADAIR-:100208</t>
        </is>
      </c>
      <c r="F5499" s="0" t="inlineStr">
        <is>
          <t>'070010020801</t>
        </is>
      </c>
      <c r="G5499" s="0" t="inlineStr">
        <is>
          <t>MENS</t>
        </is>
      </c>
      <c r="H5499" s="0" t="inlineStr">
        <is>
          <t>STANDARD MENS</t>
        </is>
      </c>
      <c r="I5499" s="0">
        <v>12.99</v>
      </c>
      <c r="J5499" s="0">
        <v>60</v>
      </c>
    </row>
    <row r="5500" spans="1:10" customHeight="0">
      <c r="A5500" s="0">
        <f>HYPERLINK("https://dl.dropboxusercontent.com/scl/fi/88cza3xsnw6l7c4v4zsg2/100207af82999.jpg?rlkey=ij6je0cnv0sl2zub6qcb5g8lf&amp;dl=0","Click to download Image")</f>
      </c>
      <c r="C5500" s="0" t="inlineStr">
        <is>
          <t>Anne Women's Beanie</t>
        </is>
      </c>
      <c r="D5500" s="0" t="inlineStr">
        <is>
          <t>'100207</t>
        </is>
      </c>
      <c r="E5500" s="0" t="inlineStr">
        <is>
          <t>ANNE:100207</t>
        </is>
      </c>
      <c r="F5500" s="0" t="inlineStr">
        <is>
          <t>'070010020701</t>
        </is>
      </c>
      <c r="G5500" s="0" t="inlineStr">
        <is>
          <t>WOMENS</t>
        </is>
      </c>
      <c r="H5500" s="0" t="inlineStr">
        <is>
          <t>WOMENS</t>
        </is>
      </c>
      <c r="I5500" s="0">
        <v>19.99</v>
      </c>
      <c r="J5500" s="0">
        <v>78</v>
      </c>
    </row>
    <row r="5501" spans="1:10" customHeight="0">
      <c r="A5501" s="0">
        <f>HYPERLINK("https://dl.dropboxusercontent.com/scl/fi/zuin2hw2aj6g4zf02voxv/109270af78736.jpg?rlkey=jul1td7sbwuh6nbhre9a45ypq&amp;dl=0","Click to download Image")</f>
      </c>
      <c r="B5501" s="0">
        <f>HYPERLINK("https://dl.dropboxusercontent.com/scl/fi/dclembwasayxxatzguqkz/8-19-youth-1.jpg?rlkey=yo77gf2axvpo9qf79omlkg3k2&amp;dl=0","Click to download SizeChart")</f>
      </c>
      <c r="C5501" s="0" t="inlineStr">
        <is>
          <t>Lawrence Youth Hoodie</t>
        </is>
      </c>
      <c r="D5501" s="0" t="inlineStr">
        <is>
          <t>'109270</t>
        </is>
      </c>
      <c r="E5501" s="0" t="inlineStr">
        <is>
          <t>WICHITA LAWRENCE:109270B-YS</t>
        </is>
      </c>
      <c r="F5501" s="0" t="inlineStr">
        <is>
          <t>'800109270010</t>
        </is>
      </c>
      <c r="G5501" s="0" t="inlineStr">
        <is>
          <t>YOUTH</t>
        </is>
      </c>
      <c r="H5501" s="0" t="inlineStr">
        <is>
          <t>YS</t>
        </is>
      </c>
      <c r="I5501" s="0">
        <v>39.99</v>
      </c>
      <c r="J5501" s="0">
        <v>12</v>
      </c>
    </row>
    <row r="5502" spans="1:10" customHeight="0">
      <c r="A5502" s="0">
        <f>HYPERLINK("https://dl.dropboxusercontent.com/scl/fi/zuin2hw2aj6g4zf02voxv/109270af78736.jpg?rlkey=jul1td7sbwuh6nbhre9a45ypq&amp;dl=0","Click to download Image")</f>
      </c>
      <c r="B5502" s="0">
        <f>HYPERLINK("https://dl.dropboxusercontent.com/scl/fi/dclembwasayxxatzguqkz/8-19-youth-1.jpg?rlkey=yo77gf2axvpo9qf79omlkg3k2&amp;dl=0","Click to download SizeChart")</f>
      </c>
      <c r="C5502" s="0" t="inlineStr">
        <is>
          <t>Lawrence Youth Hoodie</t>
        </is>
      </c>
      <c r="D5502" s="0" t="inlineStr">
        <is>
          <t>'109270</t>
        </is>
      </c>
      <c r="E5502" s="0" t="inlineStr">
        <is>
          <t>WICHITA LAWRENCE:109270C-YM</t>
        </is>
      </c>
      <c r="F5502" s="0" t="inlineStr">
        <is>
          <t>'800109270027</t>
        </is>
      </c>
      <c r="G5502" s="0" t="inlineStr">
        <is>
          <t>YOUTH</t>
        </is>
      </c>
      <c r="H5502" s="0" t="inlineStr">
        <is>
          <t>YM</t>
        </is>
      </c>
      <c r="I5502" s="0">
        <v>39.99</v>
      </c>
      <c r="J5502" s="0">
        <v>12</v>
      </c>
    </row>
    <row r="5503" spans="1:10" customHeight="0">
      <c r="A5503" s="0">
        <f>HYPERLINK("https://dl.dropboxusercontent.com/scl/fi/zuin2hw2aj6g4zf02voxv/109270af78736.jpg?rlkey=jul1td7sbwuh6nbhre9a45ypq&amp;dl=0","Click to download Image")</f>
      </c>
      <c r="B5503" s="0">
        <f>HYPERLINK("https://dl.dropboxusercontent.com/scl/fi/dclembwasayxxatzguqkz/8-19-youth-1.jpg?rlkey=yo77gf2axvpo9qf79omlkg3k2&amp;dl=0","Click to download SizeChart")</f>
      </c>
      <c r="C5503" s="0" t="inlineStr">
        <is>
          <t>Lawrence Youth Hoodie</t>
        </is>
      </c>
      <c r="D5503" s="0" t="inlineStr">
        <is>
          <t>'109270</t>
        </is>
      </c>
      <c r="E5503" s="0" t="inlineStr">
        <is>
          <t>WICHITA LAWRENCE:109270D-YL</t>
        </is>
      </c>
      <c r="F5503" s="0" t="inlineStr">
        <is>
          <t>'800109270034</t>
        </is>
      </c>
      <c r="G5503" s="0" t="inlineStr">
        <is>
          <t>YOUTH</t>
        </is>
      </c>
      <c r="H5503" s="0" t="inlineStr">
        <is>
          <t>YL</t>
        </is>
      </c>
      <c r="I5503" s="0">
        <v>39.99</v>
      </c>
      <c r="J5503" s="0">
        <v>12</v>
      </c>
    </row>
    <row r="5504" spans="1:10" customHeight="0">
      <c r="A5504" s="0">
        <f>HYPERLINK("https://dl.dropboxusercontent.com/scl/fi/zuin2hw2aj6g4zf02voxv/109270af78736.jpg?rlkey=jul1td7sbwuh6nbhre9a45ypq&amp;dl=0","Click to download Image")</f>
      </c>
      <c r="B5504" s="0">
        <f>HYPERLINK("https://dl.dropboxusercontent.com/scl/fi/dclembwasayxxatzguqkz/8-19-youth-1.jpg?rlkey=yo77gf2axvpo9qf79omlkg3k2&amp;dl=0","Click to download SizeChart")</f>
      </c>
      <c r="C5504" s="0" t="inlineStr">
        <is>
          <t>Lawrence Youth Hoodie</t>
        </is>
      </c>
      <c r="D5504" s="0" t="inlineStr">
        <is>
          <t>'109270</t>
        </is>
      </c>
      <c r="E5504" s="0" t="inlineStr">
        <is>
          <t>WICHITA LAWRENCE:109270E-YXL</t>
        </is>
      </c>
      <c r="F5504" s="0" t="inlineStr">
        <is>
          <t>'800109270041</t>
        </is>
      </c>
      <c r="G5504" s="0" t="inlineStr">
        <is>
          <t>YOUTH</t>
        </is>
      </c>
      <c r="H5504" s="0" t="inlineStr">
        <is>
          <t>YXL</t>
        </is>
      </c>
      <c r="I5504" s="0">
        <v>39.99</v>
      </c>
      <c r="J5504" s="0">
        <v>12</v>
      </c>
    </row>
    <row r="5505" spans="1:10" customHeight="0">
      <c r="A5505" s="0">
        <f>HYPERLINK("https://dl.dropboxusercontent.com/scl/fi/d6bepmvob1x3z2ikvipqu/107097af47799.jpg?rlkey=job9kq6t5ye249b9kxkjpwh1u&amp;dl=0","Click to download Image")</f>
      </c>
      <c r="B5505" s="0">
        <f>HYPERLINK("https://dl.dropboxusercontent.com/scl/fi/dclembwasayxxatzguqkz/8-19-youth-1.jpg?rlkey=yo77gf2axvpo9qf79omlkg3k2&amp;dl=0","Click to download SizeChart")</f>
      </c>
      <c r="C5505" s="0" t="inlineStr">
        <is>
          <t>Lawrence Youth Hoodie</t>
        </is>
      </c>
      <c r="D5505" s="0" t="inlineStr">
        <is>
          <t>'107097</t>
        </is>
      </c>
      <c r="E5505" s="0" t="inlineStr">
        <is>
          <t>ISU ISU LAWRENCE:107097B-YS</t>
        </is>
      </c>
      <c r="F5505" s="0" t="inlineStr">
        <is>
          <t>'800107097015</t>
        </is>
      </c>
      <c r="G5505" s="0" t="inlineStr">
        <is>
          <t>YOUTH</t>
        </is>
      </c>
      <c r="H5505" s="0" t="inlineStr">
        <is>
          <t>YS</t>
        </is>
      </c>
      <c r="I5505" s="0">
        <v>39.99</v>
      </c>
      <c r="J5505" s="0">
        <v>0</v>
      </c>
    </row>
    <row r="5506" spans="1:10" customHeight="0">
      <c r="A5506" s="0">
        <f>HYPERLINK("https://dl.dropboxusercontent.com/scl/fi/d6bepmvob1x3z2ikvipqu/107097af47799.jpg?rlkey=job9kq6t5ye249b9kxkjpwh1u&amp;dl=0","Click to download Image")</f>
      </c>
      <c r="B5506" s="0">
        <f>HYPERLINK("https://dl.dropboxusercontent.com/scl/fi/dclembwasayxxatzguqkz/8-19-youth-1.jpg?rlkey=yo77gf2axvpo9qf79omlkg3k2&amp;dl=0","Click to download SizeChart")</f>
      </c>
      <c r="C5506" s="0" t="inlineStr">
        <is>
          <t>Lawrence Youth Hoodie</t>
        </is>
      </c>
      <c r="D5506" s="0" t="inlineStr">
        <is>
          <t>'107097</t>
        </is>
      </c>
      <c r="E5506" s="0" t="inlineStr">
        <is>
          <t>ISU LAWRENCE:107097C-YM</t>
        </is>
      </c>
      <c r="F5506" s="0" t="inlineStr">
        <is>
          <t>'800107097022</t>
        </is>
      </c>
      <c r="G5506" s="0" t="inlineStr">
        <is>
          <t>YOUTH</t>
        </is>
      </c>
      <c r="H5506" s="0" t="inlineStr">
        <is>
          <t>YM</t>
        </is>
      </c>
      <c r="I5506" s="0">
        <v>39.99</v>
      </c>
      <c r="J5506" s="0">
        <v>0</v>
      </c>
    </row>
    <row r="5507" spans="1:10" customHeight="0">
      <c r="A5507" s="0">
        <f>HYPERLINK("https://dl.dropboxusercontent.com/scl/fi/d6bepmvob1x3z2ikvipqu/107097af47799.jpg?rlkey=job9kq6t5ye249b9kxkjpwh1u&amp;dl=0","Click to download Image")</f>
      </c>
      <c r="B5507" s="0">
        <f>HYPERLINK("https://dl.dropboxusercontent.com/scl/fi/dclembwasayxxatzguqkz/8-19-youth-1.jpg?rlkey=yo77gf2axvpo9qf79omlkg3k2&amp;dl=0","Click to download SizeChart")</f>
      </c>
      <c r="C5507" s="0" t="inlineStr">
        <is>
          <t>Lawrence Youth Hoodie</t>
        </is>
      </c>
      <c r="D5507" s="0" t="inlineStr">
        <is>
          <t>'107097</t>
        </is>
      </c>
      <c r="E5507" s="0" t="inlineStr">
        <is>
          <t>ISU LAWRENCE:107097D-YL</t>
        </is>
      </c>
      <c r="F5507" s="0" t="inlineStr">
        <is>
          <t>'800107097039</t>
        </is>
      </c>
      <c r="G5507" s="0" t="inlineStr">
        <is>
          <t>YOUTH</t>
        </is>
      </c>
      <c r="H5507" s="0" t="inlineStr">
        <is>
          <t>YL</t>
        </is>
      </c>
      <c r="I5507" s="0">
        <v>39.99</v>
      </c>
      <c r="J5507" s="0">
        <v>0</v>
      </c>
    </row>
    <row r="5508" spans="1:10" customHeight="0">
      <c r="A5508" s="0">
        <f>HYPERLINK("https://dl.dropboxusercontent.com/scl/fi/d6bepmvob1x3z2ikvipqu/107097af47799.jpg?rlkey=job9kq6t5ye249b9kxkjpwh1u&amp;dl=0","Click to download Image")</f>
      </c>
      <c r="B5508" s="0">
        <f>HYPERLINK("https://dl.dropboxusercontent.com/scl/fi/dclembwasayxxatzguqkz/8-19-youth-1.jpg?rlkey=yo77gf2axvpo9qf79omlkg3k2&amp;dl=0","Click to download SizeChart")</f>
      </c>
      <c r="C5508" s="0" t="inlineStr">
        <is>
          <t>Lawrence Youth Hoodie</t>
        </is>
      </c>
      <c r="D5508" s="0" t="inlineStr">
        <is>
          <t>'107097</t>
        </is>
      </c>
      <c r="E5508" s="0" t="inlineStr">
        <is>
          <t>ISU LAWRENCE:107097E-YXL</t>
        </is>
      </c>
      <c r="F5508" s="0" t="inlineStr">
        <is>
          <t>'800107097046</t>
        </is>
      </c>
      <c r="G5508" s="0" t="inlineStr">
        <is>
          <t>YOUTH</t>
        </is>
      </c>
      <c r="H5508" s="0" t="inlineStr">
        <is>
          <t>YXL</t>
        </is>
      </c>
      <c r="I5508" s="0">
        <v>39.99</v>
      </c>
      <c r="J5508" s="0">
        <v>11</v>
      </c>
    </row>
    <row r="5509" spans="1:10" customHeight="0">
      <c r="A5509" s="0">
        <f>HYPERLINK("https://dl.dropboxusercontent.com/scl/fi/4ajg06dyyj7mqsoikkiz1/95953f.jpg?rlkey=htwbtyfz4o79l7m9e5f83dy41&amp;dl=0","Click to download Image")</f>
      </c>
      <c r="B5509" s="0">
        <f>HYPERLINK("https://dl.dropboxusercontent.com/scl/fi/tlq5tmmm20a7792ekxt09/mens-hoodie-size-chartsslater.jpg?rlkey=94qvbhiao2cswws1bwuzww9pl&amp;dl=0","Click to download SizeChart")</f>
      </c>
      <c r="C5509" s="0" t="inlineStr">
        <is>
          <t>Slater Men's French Terry Sweatshirt</t>
        </is>
      </c>
      <c r="D5509" s="0" t="inlineStr">
        <is>
          <t>'95953</t>
        </is>
      </c>
      <c r="E5509" s="0" t="inlineStr">
        <is>
          <t>SLATER:95953F-3X</t>
        </is>
      </c>
      <c r="F5509" s="0" t="inlineStr">
        <is>
          <t>'000000000000</t>
        </is>
      </c>
      <c r="G5509" s="0" t="inlineStr">
        <is>
          <t>MENS</t>
        </is>
      </c>
      <c r="H5509" s="0" t="inlineStr">
        <is>
          <t>3XL</t>
        </is>
      </c>
      <c r="I5509" s="0">
        <v>51.99</v>
      </c>
      <c r="J5509" s="0">
        <v>25</v>
      </c>
    </row>
    <row r="5510" spans="1:10" customHeight="0">
      <c r="A5510" s="0">
        <f>HYPERLINK("https://dl.dropboxusercontent.com/scl/fi/4ajg06dyyj7mqsoikkiz1/95953f.jpg?rlkey=htwbtyfz4o79l7m9e5f83dy41&amp;dl=0","Click to download Image")</f>
      </c>
      <c r="B5510" s="0">
        <f>HYPERLINK("https://dl.dropboxusercontent.com/scl/fi/tlq5tmmm20a7792ekxt09/mens-hoodie-size-chartsslater.jpg?rlkey=94qvbhiao2cswws1bwuzww9pl&amp;dl=0","Click to download SizeChart")</f>
      </c>
      <c r="C5510" s="0" t="inlineStr">
        <is>
          <t>Slater Men's French Terry Sweatshirt</t>
        </is>
      </c>
      <c r="D5510" s="0" t="inlineStr">
        <is>
          <t>'95953</t>
        </is>
      </c>
      <c r="E5510" s="0" t="inlineStr">
        <is>
          <t>SLATER:95953E-2X</t>
        </is>
      </c>
      <c r="F5510" s="0" t="inlineStr">
        <is>
          <t>'000000000000</t>
        </is>
      </c>
      <c r="G5510" s="0" t="inlineStr">
        <is>
          <t>MENS</t>
        </is>
      </c>
      <c r="H5510" s="0" t="inlineStr">
        <is>
          <t>2XL</t>
        </is>
      </c>
      <c r="I5510" s="0">
        <v>51.99</v>
      </c>
      <c r="J5510" s="0">
        <v>8</v>
      </c>
    </row>
    <row r="5511" spans="1:10" customHeight="0">
      <c r="A5511" s="0">
        <f>HYPERLINK("https://dl.dropboxusercontent.com/scl/fi/78y2lnjx3067o7taem4t0/camilla.jpg?rlkey=rpdol3vz7o8l2ygxhfppl8j1x&amp;dl=0","Click to download Image")</f>
      </c>
      <c r="C5511" s="0" t="inlineStr">
        <is>
          <t>Camilla Women's Cap</t>
        </is>
      </c>
      <c r="D5511" s="0" t="inlineStr">
        <is>
          <t>'100162</t>
        </is>
      </c>
      <c r="E5511" s="0" t="inlineStr">
        <is>
          <t>CAMILLA:100162</t>
        </is>
      </c>
      <c r="F5511" s="0" t="inlineStr">
        <is>
          <t>'070010016201</t>
        </is>
      </c>
      <c r="G5511" s="0" t="inlineStr">
        <is>
          <t>WOMENS</t>
        </is>
      </c>
      <c r="H5511" s="0" t="inlineStr">
        <is>
          <t>WOMENS</t>
        </is>
      </c>
      <c r="I5511" s="0">
        <v>21.99</v>
      </c>
      <c r="J5511" s="0">
        <v>104</v>
      </c>
    </row>
    <row r="5512" spans="1:10" customHeight="0">
      <c r="A5512" s="0">
        <f>HYPERLINK("https://dl.dropboxusercontent.com/scl/fi/ay4gsizn3ucnm2amvvgr6/dsc0977crop.jpg?rlkey=io9a1f213r3e9vk2p97225hld&amp;dl=0","Click to download Image")</f>
      </c>
      <c r="C5512" s="0" t="inlineStr">
        <is>
          <t>Raina Women's Jacket</t>
        </is>
      </c>
      <c r="D5512" s="0" t="inlineStr">
        <is>
          <t>'104268</t>
        </is>
      </c>
      <c r="E5512" s="0" t="inlineStr">
        <is>
          <t>RAINA:104268A-S</t>
        </is>
      </c>
      <c r="F5512" s="0" t="inlineStr">
        <is>
          <t>'000000000000</t>
        </is>
      </c>
      <c r="G5512" s="0" t="inlineStr">
        <is>
          <t>WOMENS</t>
        </is>
      </c>
      <c r="H5512" s="0" t="inlineStr">
        <is>
          <t>S</t>
        </is>
      </c>
      <c r="I5512" s="0">
        <v>59.99</v>
      </c>
      <c r="J5512" s="0">
        <v>44</v>
      </c>
    </row>
    <row r="5513" spans="1:10" customHeight="0">
      <c r="A5513" s="0">
        <f>HYPERLINK("https://dl.dropboxusercontent.com/scl/fi/ay4gsizn3ucnm2amvvgr6/dsc0977crop.jpg?rlkey=io9a1f213r3e9vk2p97225hld&amp;dl=0","Click to download Image")</f>
      </c>
      <c r="C5513" s="0" t="inlineStr">
        <is>
          <t>Raina Women's Jacket</t>
        </is>
      </c>
      <c r="D5513" s="0" t="inlineStr">
        <is>
          <t>'104268</t>
        </is>
      </c>
      <c r="E5513" s="0" t="inlineStr">
        <is>
          <t>RAINA:104268B-M</t>
        </is>
      </c>
      <c r="F5513" s="0" t="inlineStr">
        <is>
          <t>'000000000000</t>
        </is>
      </c>
      <c r="G5513" s="0" t="inlineStr">
        <is>
          <t>WOMENS</t>
        </is>
      </c>
      <c r="H5513" s="0" t="inlineStr">
        <is>
          <t>M</t>
        </is>
      </c>
      <c r="I5513" s="0">
        <v>59.99</v>
      </c>
      <c r="J5513" s="0">
        <v>69</v>
      </c>
    </row>
    <row r="5514" spans="1:10" customHeight="0">
      <c r="A5514" s="0">
        <f>HYPERLINK("https://dl.dropboxusercontent.com/scl/fi/ay4gsizn3ucnm2amvvgr6/dsc0977crop.jpg?rlkey=io9a1f213r3e9vk2p97225hld&amp;dl=0","Click to download Image")</f>
      </c>
      <c r="C5514" s="0" t="inlineStr">
        <is>
          <t>Raina Women's Jacket</t>
        </is>
      </c>
      <c r="D5514" s="0" t="inlineStr">
        <is>
          <t>'104268</t>
        </is>
      </c>
      <c r="E5514" s="0" t="inlineStr">
        <is>
          <t>RAINA:104268C-L</t>
        </is>
      </c>
      <c r="F5514" s="0" t="inlineStr">
        <is>
          <t>'000000000000</t>
        </is>
      </c>
      <c r="G5514" s="0" t="inlineStr">
        <is>
          <t>WOMENS</t>
        </is>
      </c>
      <c r="H5514" s="0" t="inlineStr">
        <is>
          <t>L</t>
        </is>
      </c>
      <c r="I5514" s="0">
        <v>59.99</v>
      </c>
      <c r="J5514" s="0">
        <v>69</v>
      </c>
    </row>
    <row r="5515" spans="1:10" customHeight="0">
      <c r="A5515" s="0">
        <f>HYPERLINK("https://dl.dropboxusercontent.com/scl/fi/ay4gsizn3ucnm2amvvgr6/dsc0977crop.jpg?rlkey=io9a1f213r3e9vk2p97225hld&amp;dl=0","Click to download Image")</f>
      </c>
      <c r="C5515" s="0" t="inlineStr">
        <is>
          <t>Raina Women's Jacket</t>
        </is>
      </c>
      <c r="D5515" s="0" t="inlineStr">
        <is>
          <t>'104268</t>
        </is>
      </c>
      <c r="E5515" s="0" t="inlineStr">
        <is>
          <t>RAINA:104268D-XL</t>
        </is>
      </c>
      <c r="F5515" s="0" t="inlineStr">
        <is>
          <t>'000000000000</t>
        </is>
      </c>
      <c r="G5515" s="0" t="inlineStr">
        <is>
          <t>WOMENS</t>
        </is>
      </c>
      <c r="H5515" s="0" t="inlineStr">
        <is>
          <t>XL</t>
        </is>
      </c>
      <c r="I5515" s="0">
        <v>59.99</v>
      </c>
      <c r="J5515" s="0">
        <v>66</v>
      </c>
    </row>
    <row r="5516" spans="1:10" customHeight="0">
      <c r="A5516" s="0">
        <f>HYPERLINK("https://dl.dropboxusercontent.com/scl/fi/ay4gsizn3ucnm2amvvgr6/dsc0977crop.jpg?rlkey=io9a1f213r3e9vk2p97225hld&amp;dl=0","Click to download Image")</f>
      </c>
      <c r="C5516" s="0" t="inlineStr">
        <is>
          <t>Raina Women's Jacket</t>
        </is>
      </c>
      <c r="D5516" s="0" t="inlineStr">
        <is>
          <t>'104268</t>
        </is>
      </c>
      <c r="E5516" s="0" t="inlineStr">
        <is>
          <t>RAINA:104268E-2XL</t>
        </is>
      </c>
      <c r="F5516" s="0" t="inlineStr">
        <is>
          <t>'000000000000</t>
        </is>
      </c>
      <c r="G5516" s="0" t="inlineStr">
        <is>
          <t>WOMENS</t>
        </is>
      </c>
      <c r="H5516" s="0" t="inlineStr">
        <is>
          <t>2XL</t>
        </is>
      </c>
      <c r="I5516" s="0">
        <v>61.99</v>
      </c>
      <c r="J5516" s="0">
        <v>53</v>
      </c>
    </row>
    <row r="5517" spans="1:10" customHeight="0">
      <c r="A5517" s="0">
        <f>HYPERLINK("https://dl.dropboxusercontent.com/scl/fi/ay4gsizn3ucnm2amvvgr6/dsc0977crop.jpg?rlkey=io9a1f213r3e9vk2p97225hld&amp;dl=0","Click to download Image")</f>
      </c>
      <c r="C5517" s="0" t="inlineStr">
        <is>
          <t>Raina Women's Jacket</t>
        </is>
      </c>
      <c r="D5517" s="0" t="inlineStr">
        <is>
          <t>'104268</t>
        </is>
      </c>
      <c r="E5517" s="0" t="inlineStr">
        <is>
          <t>RAINA:104268F- 3XL</t>
        </is>
      </c>
      <c r="F5517" s="0" t="inlineStr">
        <is>
          <t>'000000000000</t>
        </is>
      </c>
      <c r="G5517" s="0" t="inlineStr">
        <is>
          <t>WOMENS</t>
        </is>
      </c>
      <c r="H5517" s="0" t="inlineStr">
        <is>
          <t>3XL</t>
        </is>
      </c>
      <c r="I5517" s="0">
        <v>61.99</v>
      </c>
      <c r="J5517" s="0">
        <v>0</v>
      </c>
    </row>
    <row r="5518" spans="1:10" customHeight="0">
      <c r="A5518" s="0">
        <f>HYPERLINK("https://dl.dropboxusercontent.com/scl/fi/yu60s4hls1gep5bfwt1wt/104496-af.jpg?rlkey=f5er69iozsqvpaj17bbc9g2j9&amp;dl=0","Click to download Image")</f>
      </c>
      <c r="C5518" s="0" t="inlineStr">
        <is>
          <t>Raina Women's Jacket</t>
        </is>
      </c>
      <c r="D5518" s="0" t="inlineStr">
        <is>
          <t>'104496</t>
        </is>
      </c>
      <c r="E5518" s="0" t="inlineStr">
        <is>
          <t>RAINA:104496A-S</t>
        </is>
      </c>
      <c r="F5518" s="0" t="inlineStr">
        <is>
          <t>'000000000000</t>
        </is>
      </c>
      <c r="G5518" s="0" t="inlineStr">
        <is>
          <t>WOMENS</t>
        </is>
      </c>
      <c r="H5518" s="0" t="inlineStr">
        <is>
          <t>S</t>
        </is>
      </c>
      <c r="I5518" s="0">
        <v>59.99</v>
      </c>
      <c r="J5518" s="0">
        <v>9</v>
      </c>
    </row>
    <row r="5519" spans="1:10" customHeight="0">
      <c r="A5519" s="0">
        <f>HYPERLINK("https://dl.dropboxusercontent.com/scl/fi/yu60s4hls1gep5bfwt1wt/104496-af.jpg?rlkey=f5er69iozsqvpaj17bbc9g2j9&amp;dl=0","Click to download Image")</f>
      </c>
      <c r="C5519" s="0" t="inlineStr">
        <is>
          <t>Raina Women's Jacket</t>
        </is>
      </c>
      <c r="D5519" s="0" t="inlineStr">
        <is>
          <t>'104496</t>
        </is>
      </c>
      <c r="E5519" s="0" t="inlineStr">
        <is>
          <t>RAINA:104496B-M</t>
        </is>
      </c>
      <c r="F5519" s="0" t="inlineStr">
        <is>
          <t>'000000000000</t>
        </is>
      </c>
      <c r="G5519" s="0" t="inlineStr">
        <is>
          <t>WOMENS</t>
        </is>
      </c>
      <c r="H5519" s="0" t="inlineStr">
        <is>
          <t>M</t>
        </is>
      </c>
      <c r="I5519" s="0">
        <v>59.99</v>
      </c>
      <c r="J5519" s="0">
        <v>3</v>
      </c>
    </row>
    <row r="5520" spans="1:10" customHeight="0">
      <c r="A5520" s="0">
        <f>HYPERLINK("https://dl.dropboxusercontent.com/scl/fi/yu60s4hls1gep5bfwt1wt/104496-af.jpg?rlkey=f5er69iozsqvpaj17bbc9g2j9&amp;dl=0","Click to download Image")</f>
      </c>
      <c r="C5520" s="0" t="inlineStr">
        <is>
          <t>Raina Women's Jacket</t>
        </is>
      </c>
      <c r="D5520" s="0" t="inlineStr">
        <is>
          <t>'104496</t>
        </is>
      </c>
      <c r="E5520" s="0" t="inlineStr">
        <is>
          <t>RAINA:104496C-L</t>
        </is>
      </c>
      <c r="F5520" s="0" t="inlineStr">
        <is>
          <t>'000000000000</t>
        </is>
      </c>
      <c r="G5520" s="0" t="inlineStr">
        <is>
          <t>WOMENS</t>
        </is>
      </c>
      <c r="H5520" s="0" t="inlineStr">
        <is>
          <t>L</t>
        </is>
      </c>
      <c r="I5520" s="0">
        <v>59.99</v>
      </c>
      <c r="J5520" s="0">
        <v>1</v>
      </c>
    </row>
    <row r="5521" spans="1:10" customHeight="0">
      <c r="A5521" s="0">
        <f>HYPERLINK("https://dl.dropboxusercontent.com/scl/fi/yu60s4hls1gep5bfwt1wt/104496-af.jpg?rlkey=f5er69iozsqvpaj17bbc9g2j9&amp;dl=0","Click to download Image")</f>
      </c>
      <c r="C5521" s="0" t="inlineStr">
        <is>
          <t>Raina Women's Jacket</t>
        </is>
      </c>
      <c r="D5521" s="0" t="inlineStr">
        <is>
          <t>'104496</t>
        </is>
      </c>
      <c r="E5521" s="0" t="inlineStr">
        <is>
          <t>RAINA:104496D-XL</t>
        </is>
      </c>
      <c r="F5521" s="0" t="inlineStr">
        <is>
          <t>'000000000000</t>
        </is>
      </c>
      <c r="G5521" s="0" t="inlineStr">
        <is>
          <t>WOMENS</t>
        </is>
      </c>
      <c r="H5521" s="0" t="inlineStr">
        <is>
          <t>XL</t>
        </is>
      </c>
      <c r="I5521" s="0">
        <v>59.99</v>
      </c>
      <c r="J5521" s="0">
        <v>4</v>
      </c>
    </row>
    <row r="5522" spans="1:10" customHeight="0">
      <c r="A5522" s="0">
        <f>HYPERLINK("https://dl.dropboxusercontent.com/scl/fi/yu60s4hls1gep5bfwt1wt/104496-af.jpg?rlkey=f5er69iozsqvpaj17bbc9g2j9&amp;dl=0","Click to download Image")</f>
      </c>
      <c r="C5522" s="0" t="inlineStr">
        <is>
          <t>Raina Women's Jacket</t>
        </is>
      </c>
      <c r="D5522" s="0" t="inlineStr">
        <is>
          <t>'104496</t>
        </is>
      </c>
      <c r="E5522" s="0" t="inlineStr">
        <is>
          <t>RAINA:104496E-2XL</t>
        </is>
      </c>
      <c r="F5522" s="0" t="inlineStr">
        <is>
          <t>'000000000000</t>
        </is>
      </c>
      <c r="G5522" s="0" t="inlineStr">
        <is>
          <t>WOMENS</t>
        </is>
      </c>
      <c r="H5522" s="0" t="inlineStr">
        <is>
          <t>2XL</t>
        </is>
      </c>
      <c r="I5522" s="0">
        <v>61.99</v>
      </c>
      <c r="J5522" s="0">
        <v>9</v>
      </c>
    </row>
    <row r="5523" spans="1:10" customHeight="0">
      <c r="A5523" s="0">
        <f>HYPERLINK("https://dl.dropboxusercontent.com/scl/fi/yu60s4hls1gep5bfwt1wt/104496-af.jpg?rlkey=f5er69iozsqvpaj17bbc9g2j9&amp;dl=0","Click to download Image")</f>
      </c>
      <c r="C5523" s="0" t="inlineStr">
        <is>
          <t>Raina Women's Jacket</t>
        </is>
      </c>
      <c r="D5523" s="0" t="inlineStr">
        <is>
          <t>'104496</t>
        </is>
      </c>
      <c r="E5523" s="0" t="inlineStr">
        <is>
          <t>RAINA:104496F-3XL</t>
        </is>
      </c>
      <c r="F5523" s="0" t="inlineStr">
        <is>
          <t>'000000000000</t>
        </is>
      </c>
      <c r="G5523" s="0" t="inlineStr">
        <is>
          <t>WOMENS</t>
        </is>
      </c>
      <c r="H5523" s="0" t="inlineStr">
        <is>
          <t>3XL</t>
        </is>
      </c>
      <c r="I5523" s="0">
        <v>61.99</v>
      </c>
      <c r="J5523" s="0">
        <v>13</v>
      </c>
    </row>
    <row r="5524" spans="1:10" customHeight="0">
      <c r="A5524" s="0">
        <f>HYPERLINK("https://dl.dropboxusercontent.com/scl/fi/imrhy42vjbsjlapt89y46/105471f26465.jpg?rlkey=1gkw2ade89q7bfsbn1q1zgr3f&amp;dl=0","Click to download Image")</f>
      </c>
      <c r="B5524" s="0">
        <f>HYPERLINK("https://dl.dropboxusercontent.com/scl/fi/cwlrk8viz62e12qxbu4zc/10-18-size-charts-infant.jpg?rlkey=9x4m52ut6ipz8t4eaj7nqiud7&amp;dl=0","Click to download SizeChart")</f>
      </c>
      <c r="C5524" s="0" t="inlineStr">
        <is>
          <t>Preston Infant Bodysuit</t>
        </is>
      </c>
      <c r="D5524" s="0" t="inlineStr">
        <is>
          <t>'105471</t>
        </is>
      </c>
      <c r="E5524" s="0" t="inlineStr">
        <is>
          <t>PRESTON:105471A- 0-3M</t>
        </is>
      </c>
      <c r="F5524" s="0" t="inlineStr">
        <is>
          <t>'080010547101</t>
        </is>
      </c>
      <c r="G5524" s="0" t="inlineStr">
        <is>
          <t>INFANT</t>
        </is>
      </c>
      <c r="H5524" s="0" t="inlineStr">
        <is>
          <t>0-3M</t>
        </is>
      </c>
      <c r="I5524" s="0">
        <v>19.99</v>
      </c>
      <c r="J5524" s="0">
        <v>35</v>
      </c>
    </row>
    <row r="5525" spans="1:10" customHeight="0">
      <c r="A5525" s="0">
        <f>HYPERLINK("https://dl.dropboxusercontent.com/scl/fi/imrhy42vjbsjlapt89y46/105471f26465.jpg?rlkey=1gkw2ade89q7bfsbn1q1zgr3f&amp;dl=0","Click to download Image")</f>
      </c>
      <c r="B5525" s="0">
        <f>HYPERLINK("https://dl.dropboxusercontent.com/scl/fi/cwlrk8viz62e12qxbu4zc/10-18-size-charts-infant.jpg?rlkey=9x4m52ut6ipz8t4eaj7nqiud7&amp;dl=0","Click to download SizeChart")</f>
      </c>
      <c r="C5525" s="0" t="inlineStr">
        <is>
          <t>Preston Infant Bodysuit</t>
        </is>
      </c>
      <c r="D5525" s="0" t="inlineStr">
        <is>
          <t>'105471</t>
        </is>
      </c>
      <c r="E5525" s="0" t="inlineStr">
        <is>
          <t>PRESTON:105471B- 3-6M</t>
        </is>
      </c>
      <c r="F5525" s="0" t="inlineStr">
        <is>
          <t>'080010547102</t>
        </is>
      </c>
      <c r="G5525" s="0" t="inlineStr">
        <is>
          <t>INFANT</t>
        </is>
      </c>
      <c r="H5525" s="0" t="inlineStr">
        <is>
          <t>3-6M</t>
        </is>
      </c>
      <c r="I5525" s="0">
        <v>19.99</v>
      </c>
      <c r="J5525" s="0">
        <v>33</v>
      </c>
    </row>
    <row r="5526" spans="1:10" customHeight="0">
      <c r="A5526" s="0">
        <f>HYPERLINK("https://dl.dropboxusercontent.com/scl/fi/imrhy42vjbsjlapt89y46/105471f26465.jpg?rlkey=1gkw2ade89q7bfsbn1q1zgr3f&amp;dl=0","Click to download Image")</f>
      </c>
      <c r="B5526" s="0">
        <f>HYPERLINK("https://dl.dropboxusercontent.com/scl/fi/cwlrk8viz62e12qxbu4zc/10-18-size-charts-infant.jpg?rlkey=9x4m52ut6ipz8t4eaj7nqiud7&amp;dl=0","Click to download SizeChart")</f>
      </c>
      <c r="C5526" s="0" t="inlineStr">
        <is>
          <t>Preston Infant Bodysuit</t>
        </is>
      </c>
      <c r="D5526" s="0" t="inlineStr">
        <is>
          <t>'105471</t>
        </is>
      </c>
      <c r="E5526" s="0" t="inlineStr">
        <is>
          <t>PRESTON:105471C- 6-9M</t>
        </is>
      </c>
      <c r="F5526" s="0" t="inlineStr">
        <is>
          <t>'080010547103</t>
        </is>
      </c>
      <c r="G5526" s="0" t="inlineStr">
        <is>
          <t>INFANT</t>
        </is>
      </c>
      <c r="H5526" s="0" t="inlineStr">
        <is>
          <t>6-9M</t>
        </is>
      </c>
      <c r="I5526" s="0">
        <v>19.99</v>
      </c>
      <c r="J5526" s="0">
        <v>29</v>
      </c>
    </row>
    <row r="5527" spans="1:10" customHeight="0">
      <c r="A5527" s="0">
        <f>HYPERLINK("https://dl.dropboxusercontent.com/scl/fi/imrhy42vjbsjlapt89y46/105471f26465.jpg?rlkey=1gkw2ade89q7bfsbn1q1zgr3f&amp;dl=0","Click to download Image")</f>
      </c>
      <c r="B5527" s="0">
        <f>HYPERLINK("https://dl.dropboxusercontent.com/scl/fi/cwlrk8viz62e12qxbu4zc/10-18-size-charts-infant.jpg?rlkey=9x4m52ut6ipz8t4eaj7nqiud7&amp;dl=0","Click to download SizeChart")</f>
      </c>
      <c r="C5527" s="0" t="inlineStr">
        <is>
          <t>Preston Infant Bodysuit</t>
        </is>
      </c>
      <c r="D5527" s="0" t="inlineStr">
        <is>
          <t>'105471</t>
        </is>
      </c>
      <c r="E5527" s="0" t="inlineStr">
        <is>
          <t>PRESTON:105471D- 12M</t>
        </is>
      </c>
      <c r="F5527" s="0" t="inlineStr">
        <is>
          <t>'080010547104</t>
        </is>
      </c>
      <c r="G5527" s="0" t="inlineStr">
        <is>
          <t>INFANT</t>
        </is>
      </c>
      <c r="H5527" s="0" t="inlineStr">
        <is>
          <t>12M</t>
        </is>
      </c>
      <c r="I5527" s="0">
        <v>19.99</v>
      </c>
      <c r="J5527" s="0">
        <v>32</v>
      </c>
    </row>
    <row r="5528" spans="1:10" customHeight="0">
      <c r="A5528" s="0">
        <f>HYPERLINK("https://dl.dropboxusercontent.com/scl/fi/ry3e9wgkb28sn2f5nd28b/92443af33866.jpg?rlkey=rb21fo10qkdg11f29bj99libz&amp;dl=0","Click to download Image")</f>
      </c>
      <c r="C5528" s="0" t="inlineStr">
        <is>
          <t>Non-Woven Shopper Bag</t>
        </is>
      </c>
      <c r="D5528" s="0" t="inlineStr">
        <is>
          <t>'92443</t>
        </is>
      </c>
      <c r="E5528" s="0" t="inlineStr">
        <is>
          <t>SHOPPER:92443-SHP</t>
        </is>
      </c>
      <c r="F5528" s="0" t="inlineStr">
        <is>
          <t>'000000000000</t>
        </is>
      </c>
      <c r="I5528" s="0">
        <v>16.99</v>
      </c>
      <c r="J5528" s="0">
        <v>536</v>
      </c>
    </row>
    <row r="5529" spans="1:10" customHeight="0">
      <c r="A5529" s="0">
        <f>HYPERLINK("https://dl.dropboxusercontent.com/scl/fi/o2q6rp3j12z1yslgg2lc7/97860af.jpg?rlkey=dkcd5fb151x221vmp6vp6mjtv&amp;dl=0","Click to download Image")</f>
      </c>
      <c r="C5529" s="0" t="inlineStr">
        <is>
          <t>Sean Men's Hip Hop Cap</t>
        </is>
      </c>
      <c r="D5529" s="0" t="inlineStr">
        <is>
          <t>'97860</t>
        </is>
      </c>
      <c r="E5529" s="0" t="inlineStr">
        <is>
          <t>SEAN:97860</t>
        </is>
      </c>
      <c r="F5529" s="0" t="inlineStr">
        <is>
          <t>'000000000000</t>
        </is>
      </c>
      <c r="G5529" s="0" t="inlineStr">
        <is>
          <t>MENS</t>
        </is>
      </c>
      <c r="H5529" s="0" t="inlineStr">
        <is>
          <t>STANDARD MENS</t>
        </is>
      </c>
      <c r="I5529" s="0">
        <v>24.99</v>
      </c>
      <c r="J5529" s="0">
        <v>73</v>
      </c>
    </row>
    <row r="5530" spans="1:10" customHeight="0">
      <c r="A5530" s="0">
        <f>HYPERLINK("https://dl.dropboxusercontent.com/scl/fi/jwvfaxk9iec6jgxmovml8/kenton.jpg?rlkey=t8qg9pu8xc39uzwelgeveg7vc&amp;dl=0","Click to download Image")</f>
      </c>
      <c r="C5530" s="0" t="inlineStr">
        <is>
          <t>Kenton Toddler Bucket Hat</t>
        </is>
      </c>
      <c r="D5530" s="0" t="inlineStr">
        <is>
          <t>'103077</t>
        </is>
      </c>
      <c r="E5530" s="0" t="inlineStr">
        <is>
          <t>KENTON:103077</t>
        </is>
      </c>
      <c r="F5530" s="0" t="inlineStr">
        <is>
          <t>'070010307701</t>
        </is>
      </c>
      <c r="G5530" s="0" t="inlineStr">
        <is>
          <t>TODDLER</t>
        </is>
      </c>
      <c r="H5530" s="0" t="inlineStr">
        <is>
          <t>TODDLER</t>
        </is>
      </c>
      <c r="I5530" s="0">
        <v>16.99</v>
      </c>
      <c r="J5530" s="0">
        <v>69</v>
      </c>
    </row>
    <row r="5531" spans="1:10" customHeight="0">
      <c r="A5531" s="0">
        <f>HYPERLINK("https://dl.dropboxusercontent.com/scl/fi/3lb737omunk6sael9xyhp/101108f.jpg?rlkey=fkfrlgqnmfu3188y0u9wews9d&amp;dl=0","Click to download Image")</f>
      </c>
      <c r="B5531" s="0">
        <f>HYPERLINK("https://dl.dropboxusercontent.com/scl/fi/vqvvv1orlzfeph7hnhfhx/size-chartsinfant-onesie-standard-a.jpg?rlkey=1ozlecvi6a5bhdw9537ny9jox&amp;dl=0","Click to download SizeChart")</f>
      </c>
      <c r="C5531" s="0" t="inlineStr">
        <is>
          <t>Sawyer Infant Bodysuit</t>
        </is>
      </c>
      <c r="D5531" s="0" t="inlineStr">
        <is>
          <t>'101108</t>
        </is>
      </c>
      <c r="E5531" s="0" t="inlineStr">
        <is>
          <t>SAWYER:101108A-0-3M</t>
        </is>
      </c>
      <c r="F5531" s="0" t="inlineStr">
        <is>
          <t>'000000000000</t>
        </is>
      </c>
      <c r="G5531" s="0" t="inlineStr">
        <is>
          <t>INFANT</t>
        </is>
      </c>
      <c r="H5531" s="0" t="inlineStr">
        <is>
          <t>0-3M</t>
        </is>
      </c>
      <c r="I5531" s="0">
        <v>29.99</v>
      </c>
      <c r="J5531" s="0">
        <v>9</v>
      </c>
    </row>
    <row r="5532" spans="1:10" customHeight="0">
      <c r="A5532" s="0">
        <f>HYPERLINK("https://dl.dropboxusercontent.com/scl/fi/3lb737omunk6sael9xyhp/101108f.jpg?rlkey=fkfrlgqnmfu3188y0u9wews9d&amp;dl=0","Click to download Image")</f>
      </c>
      <c r="B5532" s="0">
        <f>HYPERLINK("https://dl.dropboxusercontent.com/scl/fi/vqvvv1orlzfeph7hnhfhx/size-chartsinfant-onesie-standard-a.jpg?rlkey=1ozlecvi6a5bhdw9537ny9jox&amp;dl=0","Click to download SizeChart")</f>
      </c>
      <c r="C5532" s="0" t="inlineStr">
        <is>
          <t>Sawyer Infant Bodysuit</t>
        </is>
      </c>
      <c r="D5532" s="0" t="inlineStr">
        <is>
          <t>'101108</t>
        </is>
      </c>
      <c r="E5532" s="0" t="inlineStr">
        <is>
          <t>SAWYER:101108C-6-9M</t>
        </is>
      </c>
      <c r="F5532" s="0" t="inlineStr">
        <is>
          <t>'000000000000</t>
        </is>
      </c>
      <c r="G5532" s="0" t="inlineStr">
        <is>
          <t>INFANT</t>
        </is>
      </c>
      <c r="H5532" s="0" t="inlineStr">
        <is>
          <t>6-9M</t>
        </is>
      </c>
      <c r="I5532" s="0">
        <v>29.99</v>
      </c>
      <c r="J5532" s="0">
        <v>3</v>
      </c>
    </row>
    <row r="5533" spans="1:10" customHeight="0">
      <c r="A5533" s="0">
        <f>HYPERLINK("https://dl.dropboxusercontent.com/scl/fi/cux7s3xza3hhbjkcmqmq4/101684f.jpg?rlkey=b19uy52eqr80p8ze29ra1le20&amp;dl=0","Click to download Image")</f>
      </c>
      <c r="B5533" s="0">
        <f>HYPERLINK("https://dl.dropboxusercontent.com/scl/fi/vqvvv1orlzfeph7hnhfhx/size-chartsinfant-onesie-standard-a.jpg?rlkey=1ozlecvi6a5bhdw9537ny9jox&amp;dl=0","Click to download SizeChart")</f>
      </c>
      <c r="C5533" s="0" t="inlineStr">
        <is>
          <t>Sawyer Infant Bodysuit</t>
        </is>
      </c>
      <c r="D5533" s="0" t="inlineStr">
        <is>
          <t>'101684</t>
        </is>
      </c>
      <c r="E5533" s="0" t="inlineStr">
        <is>
          <t>SAWYER:101684A-0-3M</t>
        </is>
      </c>
      <c r="F5533" s="0" t="inlineStr">
        <is>
          <t>'000000000000</t>
        </is>
      </c>
      <c r="G5533" s="0" t="inlineStr">
        <is>
          <t>INFANT</t>
        </is>
      </c>
      <c r="H5533" s="0" t="inlineStr">
        <is>
          <t>0-3M</t>
        </is>
      </c>
      <c r="I5533" s="0">
        <v>29.99</v>
      </c>
      <c r="J5533" s="0">
        <v>30</v>
      </c>
    </row>
    <row r="5534" spans="1:10" customHeight="0">
      <c r="A5534" s="0">
        <f>HYPERLINK("https://dl.dropboxusercontent.com/scl/fi/cux7s3xza3hhbjkcmqmq4/101684f.jpg?rlkey=b19uy52eqr80p8ze29ra1le20&amp;dl=0","Click to download Image")</f>
      </c>
      <c r="B5534" s="0">
        <f>HYPERLINK("https://dl.dropboxusercontent.com/scl/fi/vqvvv1orlzfeph7hnhfhx/size-chartsinfant-onesie-standard-a.jpg?rlkey=1ozlecvi6a5bhdw9537ny9jox&amp;dl=0","Click to download SizeChart")</f>
      </c>
      <c r="C5534" s="0" t="inlineStr">
        <is>
          <t>Sawyer Infant Bodysuit</t>
        </is>
      </c>
      <c r="D5534" s="0" t="inlineStr">
        <is>
          <t>'101684</t>
        </is>
      </c>
      <c r="E5534" s="0" t="inlineStr">
        <is>
          <t>SAWYER:101684B-3-6M</t>
        </is>
      </c>
      <c r="F5534" s="0" t="inlineStr">
        <is>
          <t>'000000000000</t>
        </is>
      </c>
      <c r="G5534" s="0" t="inlineStr">
        <is>
          <t>INFANT</t>
        </is>
      </c>
      <c r="H5534" s="0" t="inlineStr">
        <is>
          <t>3-6M</t>
        </is>
      </c>
      <c r="I5534" s="0">
        <v>29.99</v>
      </c>
      <c r="J5534" s="0">
        <v>19</v>
      </c>
    </row>
    <row r="5535" spans="1:10" customHeight="0">
      <c r="A5535" s="0">
        <f>HYPERLINK("https://dl.dropboxusercontent.com/scl/fi/cux7s3xza3hhbjkcmqmq4/101684f.jpg?rlkey=b19uy52eqr80p8ze29ra1le20&amp;dl=0","Click to download Image")</f>
      </c>
      <c r="B5535" s="0">
        <f>HYPERLINK("https://dl.dropboxusercontent.com/scl/fi/vqvvv1orlzfeph7hnhfhx/size-chartsinfant-onesie-standard-a.jpg?rlkey=1ozlecvi6a5bhdw9537ny9jox&amp;dl=0","Click to download SizeChart")</f>
      </c>
      <c r="C5535" s="0" t="inlineStr">
        <is>
          <t>Sawyer Infant Bodysuit</t>
        </is>
      </c>
      <c r="D5535" s="0" t="inlineStr">
        <is>
          <t>'101684</t>
        </is>
      </c>
      <c r="E5535" s="0" t="inlineStr">
        <is>
          <t>SAWYER:101684C-6-9M</t>
        </is>
      </c>
      <c r="F5535" s="0" t="inlineStr">
        <is>
          <t>'000000000000</t>
        </is>
      </c>
      <c r="G5535" s="0" t="inlineStr">
        <is>
          <t>INFANT</t>
        </is>
      </c>
      <c r="H5535" s="0" t="inlineStr">
        <is>
          <t>6-9M</t>
        </is>
      </c>
      <c r="I5535" s="0">
        <v>29.99</v>
      </c>
      <c r="J5535" s="0">
        <v>21</v>
      </c>
    </row>
    <row r="5536" spans="1:10" customHeight="0">
      <c r="A5536" s="0">
        <f>HYPERLINK("https://dl.dropboxusercontent.com/scl/fi/cux7s3xza3hhbjkcmqmq4/101684f.jpg?rlkey=b19uy52eqr80p8ze29ra1le20&amp;dl=0","Click to download Image")</f>
      </c>
      <c r="B5536" s="0">
        <f>HYPERLINK("https://dl.dropboxusercontent.com/scl/fi/vqvvv1orlzfeph7hnhfhx/size-chartsinfant-onesie-standard-a.jpg?rlkey=1ozlecvi6a5bhdw9537ny9jox&amp;dl=0","Click to download SizeChart")</f>
      </c>
      <c r="C5536" s="0" t="inlineStr">
        <is>
          <t>Sawyer Infant Bodysuit</t>
        </is>
      </c>
      <c r="D5536" s="0" t="inlineStr">
        <is>
          <t>'101684</t>
        </is>
      </c>
      <c r="E5536" s="0" t="inlineStr">
        <is>
          <t>SAWYER:101684D-12M</t>
        </is>
      </c>
      <c r="F5536" s="0" t="inlineStr">
        <is>
          <t>'000000000000</t>
        </is>
      </c>
      <c r="G5536" s="0" t="inlineStr">
        <is>
          <t>INFANT</t>
        </is>
      </c>
      <c r="H5536" s="0" t="inlineStr">
        <is>
          <t>12M</t>
        </is>
      </c>
      <c r="I5536" s="0">
        <v>29.99</v>
      </c>
      <c r="J5536" s="0">
        <v>26</v>
      </c>
    </row>
    <row r="5537" spans="1:10" customHeight="0">
      <c r="A5537" s="0">
        <f>HYPERLINK("https://dl.dropboxusercontent.com/scl/fi/z3y9jfgt1djkhq4bn83s6/101099-af.jpg?rlkey=emksyqo61bs4vvgcwbg7bwdba&amp;dl=0","Click to download Image")</f>
      </c>
      <c r="C5537" s="0" t="inlineStr">
        <is>
          <t>Jojo Infant Beanie</t>
        </is>
      </c>
      <c r="D5537" s="0" t="inlineStr">
        <is>
          <t>'101099</t>
        </is>
      </c>
      <c r="E5537" s="0" t="inlineStr">
        <is>
          <t>JOJO:101099</t>
        </is>
      </c>
      <c r="F5537" s="0" t="inlineStr">
        <is>
          <t>'000000000000</t>
        </is>
      </c>
      <c r="G5537" s="0" t="inlineStr">
        <is>
          <t>INFANT</t>
        </is>
      </c>
      <c r="H5537" s="0" t="inlineStr">
        <is>
          <t>INFANT</t>
        </is>
      </c>
      <c r="I5537" s="0">
        <v>17.99</v>
      </c>
      <c r="J5537" s="0">
        <v>8</v>
      </c>
    </row>
    <row r="5538" spans="1:10" customHeight="0">
      <c r="A5538" s="0">
        <f>HYPERLINK("https://dl.dropboxusercontent.com/scl/fi/kq073qmdlnb1ztk268vuo/jillian.jpg?rlkey=fnpioaw8kvvu3hpu65c9j7hxo&amp;dl=0","Click to download Image")</f>
      </c>
      <c r="C5538" s="0" t="inlineStr">
        <is>
          <t>Jillian Women's Cap</t>
        </is>
      </c>
      <c r="D5538" s="0" t="inlineStr">
        <is>
          <t>'100160</t>
        </is>
      </c>
      <c r="E5538" s="0" t="inlineStr">
        <is>
          <t>JILLIAN:100160</t>
        </is>
      </c>
      <c r="F5538" s="0" t="inlineStr">
        <is>
          <t>'000000000000</t>
        </is>
      </c>
      <c r="G5538" s="0" t="inlineStr">
        <is>
          <t>WOMENS</t>
        </is>
      </c>
      <c r="H5538" s="0" t="inlineStr">
        <is>
          <t>WOMENS</t>
        </is>
      </c>
      <c r="I5538" s="0">
        <v>24.99</v>
      </c>
      <c r="J5538" s="0">
        <v>135</v>
      </c>
    </row>
    <row r="5539" spans="1:10" customHeight="0">
      <c r="A5539" s="0">
        <f>HYPERLINK("https://dl.dropboxusercontent.com/scl/fi/v0s0b34fo36pm758uyp77/101459-f.jpg?rlkey=t7w03dh0v4wufqn728mgt95ob&amp;dl=0","Click to download Image")</f>
      </c>
      <c r="B5539" s="0">
        <f>HYPERLINK("https://dl.dropboxusercontent.com/scl/fi/0diyul6e0a0luk56y6w42/size-chartswomens-standard-fitted-hoodie.jpg?rlkey=sii83ztnw4kp16shz2krrztx0&amp;dl=0","Click to download SizeChart")</f>
      </c>
      <c r="C5539" s="0" t="inlineStr">
        <is>
          <t>Sasha Women's Fleece Pullover</t>
        </is>
      </c>
      <c r="D5539" s="0" t="inlineStr">
        <is>
          <t>'101459</t>
        </is>
      </c>
      <c r="E5539" s="0" t="inlineStr">
        <is>
          <t>SASHA:101459A-S</t>
        </is>
      </c>
      <c r="F5539" s="0" t="inlineStr">
        <is>
          <t>'000000000000</t>
        </is>
      </c>
      <c r="G5539" s="0" t="inlineStr">
        <is>
          <t>WOMENS</t>
        </is>
      </c>
      <c r="H5539" s="0" t="inlineStr">
        <is>
          <t>S</t>
        </is>
      </c>
      <c r="I5539" s="0">
        <v>49.99</v>
      </c>
      <c r="J5539" s="0">
        <v>67</v>
      </c>
    </row>
    <row r="5540" spans="1:10" customHeight="0">
      <c r="A5540" s="0">
        <f>HYPERLINK("https://dl.dropboxusercontent.com/scl/fi/v0s0b34fo36pm758uyp77/101459-f.jpg?rlkey=t7w03dh0v4wufqn728mgt95ob&amp;dl=0","Click to download Image")</f>
      </c>
      <c r="B5540" s="0">
        <f>HYPERLINK("https://dl.dropboxusercontent.com/scl/fi/0diyul6e0a0luk56y6w42/size-chartswomens-standard-fitted-hoodie.jpg?rlkey=sii83ztnw4kp16shz2krrztx0&amp;dl=0","Click to download SizeChart")</f>
      </c>
      <c r="C5540" s="0" t="inlineStr">
        <is>
          <t>Sasha Women's Fleece Pullover</t>
        </is>
      </c>
      <c r="D5540" s="0" t="inlineStr">
        <is>
          <t>'101459</t>
        </is>
      </c>
      <c r="E5540" s="0" t="inlineStr">
        <is>
          <t>SASHA:101459B-M</t>
        </is>
      </c>
      <c r="F5540" s="0" t="inlineStr">
        <is>
          <t>'000000000000</t>
        </is>
      </c>
      <c r="G5540" s="0" t="inlineStr">
        <is>
          <t>WOMENS</t>
        </is>
      </c>
      <c r="H5540" s="0" t="inlineStr">
        <is>
          <t>M</t>
        </is>
      </c>
      <c r="I5540" s="0">
        <v>49.99</v>
      </c>
      <c r="J5540" s="0">
        <v>43</v>
      </c>
    </row>
    <row r="5541" spans="1:10" customHeight="0">
      <c r="A5541" s="0">
        <f>HYPERLINK("https://dl.dropboxusercontent.com/scl/fi/v0s0b34fo36pm758uyp77/101459-f.jpg?rlkey=t7w03dh0v4wufqn728mgt95ob&amp;dl=0","Click to download Image")</f>
      </c>
      <c r="B5541" s="0">
        <f>HYPERLINK("https://dl.dropboxusercontent.com/scl/fi/0diyul6e0a0luk56y6w42/size-chartswomens-standard-fitted-hoodie.jpg?rlkey=sii83ztnw4kp16shz2krrztx0&amp;dl=0","Click to download SizeChart")</f>
      </c>
      <c r="C5541" s="0" t="inlineStr">
        <is>
          <t>Sasha Women's Fleece Pullover</t>
        </is>
      </c>
      <c r="D5541" s="0" t="inlineStr">
        <is>
          <t>'101459</t>
        </is>
      </c>
      <c r="E5541" s="0" t="inlineStr">
        <is>
          <t>SASHA:101459C-L</t>
        </is>
      </c>
      <c r="F5541" s="0" t="inlineStr">
        <is>
          <t>'000000000000</t>
        </is>
      </c>
      <c r="G5541" s="0" t="inlineStr">
        <is>
          <t>WOMENS</t>
        </is>
      </c>
      <c r="H5541" s="0" t="inlineStr">
        <is>
          <t>L</t>
        </is>
      </c>
      <c r="I5541" s="0">
        <v>49.99</v>
      </c>
      <c r="J5541" s="0">
        <v>41</v>
      </c>
    </row>
    <row r="5542" spans="1:10" customHeight="0">
      <c r="A5542" s="0">
        <f>HYPERLINK("https://dl.dropboxusercontent.com/scl/fi/v0s0b34fo36pm758uyp77/101459-f.jpg?rlkey=t7w03dh0v4wufqn728mgt95ob&amp;dl=0","Click to download Image")</f>
      </c>
      <c r="B5542" s="0">
        <f>HYPERLINK("https://dl.dropboxusercontent.com/scl/fi/0diyul6e0a0luk56y6w42/size-chartswomens-standard-fitted-hoodie.jpg?rlkey=sii83ztnw4kp16shz2krrztx0&amp;dl=0","Click to download SizeChart")</f>
      </c>
      <c r="C5542" s="0" t="inlineStr">
        <is>
          <t>Sasha Women's Fleece Pullover</t>
        </is>
      </c>
      <c r="D5542" s="0" t="inlineStr">
        <is>
          <t>'101459</t>
        </is>
      </c>
      <c r="E5542" s="0" t="inlineStr">
        <is>
          <t>SASHA:101459D-XL</t>
        </is>
      </c>
      <c r="F5542" s="0" t="inlineStr">
        <is>
          <t>'000000000000</t>
        </is>
      </c>
      <c r="G5542" s="0" t="inlineStr">
        <is>
          <t>WOMENS</t>
        </is>
      </c>
      <c r="H5542" s="0" t="inlineStr">
        <is>
          <t>XL</t>
        </is>
      </c>
      <c r="I5542" s="0">
        <v>49.99</v>
      </c>
      <c r="J5542" s="0">
        <v>45</v>
      </c>
    </row>
    <row r="5543" spans="1:10" customHeight="0">
      <c r="A5543" s="0">
        <f>HYPERLINK("https://dl.dropboxusercontent.com/scl/fi/v0s0b34fo36pm758uyp77/101459-f.jpg?rlkey=t7w03dh0v4wufqn728mgt95ob&amp;dl=0","Click to download Image")</f>
      </c>
      <c r="B5543" s="0">
        <f>HYPERLINK("https://dl.dropboxusercontent.com/scl/fi/0diyul6e0a0luk56y6w42/size-chartswomens-standard-fitted-hoodie.jpg?rlkey=sii83ztnw4kp16shz2krrztx0&amp;dl=0","Click to download SizeChart")</f>
      </c>
      <c r="C5543" s="0" t="inlineStr">
        <is>
          <t>Sasha Women's Fleece Pullover</t>
        </is>
      </c>
      <c r="D5543" s="0" t="inlineStr">
        <is>
          <t>'101459</t>
        </is>
      </c>
      <c r="E5543" s="0" t="inlineStr">
        <is>
          <t>SASHA:101459E-2XL</t>
        </is>
      </c>
      <c r="F5543" s="0" t="inlineStr">
        <is>
          <t>'000000000000</t>
        </is>
      </c>
      <c r="G5543" s="0" t="inlineStr">
        <is>
          <t>WOMENS</t>
        </is>
      </c>
      <c r="H5543" s="0" t="inlineStr">
        <is>
          <t>2XL</t>
        </is>
      </c>
      <c r="I5543" s="0">
        <v>51.99</v>
      </c>
      <c r="J5543" s="0">
        <v>38</v>
      </c>
    </row>
    <row r="5544" spans="1:10" customHeight="0">
      <c r="A5544" s="0">
        <f>HYPERLINK("https://dl.dropboxusercontent.com/scl/fi/v0s0b34fo36pm758uyp77/101459-f.jpg?rlkey=t7w03dh0v4wufqn728mgt95ob&amp;dl=0","Click to download Image")</f>
      </c>
      <c r="B5544" s="0">
        <f>HYPERLINK("https://dl.dropboxusercontent.com/scl/fi/0diyul6e0a0luk56y6w42/size-chartswomens-standard-fitted-hoodie.jpg?rlkey=sii83ztnw4kp16shz2krrztx0&amp;dl=0","Click to download SizeChart")</f>
      </c>
      <c r="C5544" s="0" t="inlineStr">
        <is>
          <t>Sasha Women's Fleece Pullover</t>
        </is>
      </c>
      <c r="D5544" s="0" t="inlineStr">
        <is>
          <t>'101459</t>
        </is>
      </c>
      <c r="E5544" s="0" t="inlineStr">
        <is>
          <t>SASHA:101459F-3XL</t>
        </is>
      </c>
      <c r="F5544" s="0" t="inlineStr">
        <is>
          <t>'000000000000</t>
        </is>
      </c>
      <c r="G5544" s="0" t="inlineStr">
        <is>
          <t>WOMENS</t>
        </is>
      </c>
      <c r="H5544" s="0" t="inlineStr">
        <is>
          <t>3XL</t>
        </is>
      </c>
      <c r="I5544" s="0">
        <v>51.99</v>
      </c>
      <c r="J5544" s="0">
        <v>7</v>
      </c>
    </row>
    <row r="5545" spans="1:10" customHeight="0">
      <c r="A5545" s="0">
        <f>HYPERLINK("https://dl.dropboxusercontent.com/scl/fi/bemdo2e86g38vekgklg55/104154-af.jpg?rlkey=w7atnyui5tbvj8z1y5uo6w68o&amp;dl=0","Click to download Image")</f>
      </c>
      <c r="C5545" s="0" t="inlineStr">
        <is>
          <t>Jori Women's Cap</t>
        </is>
      </c>
      <c r="D5545" s="0" t="inlineStr">
        <is>
          <t>'104154</t>
        </is>
      </c>
      <c r="E5545" s="0" t="inlineStr">
        <is>
          <t>JORI:104154</t>
        </is>
      </c>
      <c r="F5545" s="0" t="inlineStr">
        <is>
          <t>'000000000000</t>
        </is>
      </c>
      <c r="G5545" s="0" t="inlineStr">
        <is>
          <t>WOMENS</t>
        </is>
      </c>
      <c r="H5545" s="0" t="inlineStr">
        <is>
          <t>WOMENS</t>
        </is>
      </c>
      <c r="I5545" s="0">
        <v>21.99</v>
      </c>
      <c r="J5545" s="0">
        <v>88</v>
      </c>
    </row>
    <row r="5546" spans="1:10" customHeight="0">
      <c r="A5546" s="0">
        <f>HYPERLINK("https://dl.dropboxusercontent.com/scl/fi/ea6k1dg5gu78f25pcb9ys/104377-af.jpg?rlkey=39g68fj4kkm6wozggu4dl6wjk&amp;dl=0","Click to download Image")</f>
      </c>
      <c r="C5546" s="0" t="inlineStr">
        <is>
          <t>Jori Women's Cap</t>
        </is>
      </c>
      <c r="D5546" s="0" t="inlineStr">
        <is>
          <t>'104377</t>
        </is>
      </c>
      <c r="E5546" s="0" t="inlineStr">
        <is>
          <t>JORI:104377</t>
        </is>
      </c>
      <c r="F5546" s="0" t="inlineStr">
        <is>
          <t>'000000000000</t>
        </is>
      </c>
      <c r="G5546" s="0" t="inlineStr">
        <is>
          <t>WOMENS</t>
        </is>
      </c>
      <c r="H5546" s="0" t="inlineStr">
        <is>
          <t>WOMENS</t>
        </is>
      </c>
      <c r="I5546" s="0">
        <v>21.99</v>
      </c>
      <c r="J5546" s="0">
        <v>143</v>
      </c>
    </row>
    <row r="5547" spans="1:10" customHeight="0">
      <c r="A5547" s="0">
        <f>HYPERLINK("https://dl.dropboxusercontent.com/scl/fi/n8h3ta5h3ninyca1ds25r/102999f83516.jpg?rlkey=9c3r42i7xwu1kevikwazo0um3&amp;dl=0","Click to download Image")</f>
      </c>
      <c r="C5547" s="0" t="inlineStr">
        <is>
          <t>Evin Men's Cotton T-Shirt</t>
        </is>
      </c>
      <c r="D5547" s="0" t="inlineStr">
        <is>
          <t>'102999</t>
        </is>
      </c>
      <c r="E5547" s="0" t="inlineStr">
        <is>
          <t>EVIN:102999A-S</t>
        </is>
      </c>
      <c r="F5547" s="0" t="inlineStr">
        <is>
          <t>'000000000000</t>
        </is>
      </c>
      <c r="G5547" s="0" t="inlineStr">
        <is>
          <t>MENS</t>
        </is>
      </c>
      <c r="H5547" s="0" t="inlineStr">
        <is>
          <t>S</t>
        </is>
      </c>
      <c r="I5547" s="0">
        <v>29.99</v>
      </c>
      <c r="J5547" s="0">
        <v>0</v>
      </c>
    </row>
    <row r="5548" spans="1:10" customHeight="0">
      <c r="A5548" s="0">
        <f>HYPERLINK("https://dl.dropboxusercontent.com/scl/fi/n8h3ta5h3ninyca1ds25r/102999f83516.jpg?rlkey=9c3r42i7xwu1kevikwazo0um3&amp;dl=0","Click to download Image")</f>
      </c>
      <c r="C5548" s="0" t="inlineStr">
        <is>
          <t>Evin Men's Cotton T-Shirt</t>
        </is>
      </c>
      <c r="D5548" s="0" t="inlineStr">
        <is>
          <t>'102999</t>
        </is>
      </c>
      <c r="E5548" s="0" t="inlineStr">
        <is>
          <t>EVIN:102999B-M</t>
        </is>
      </c>
      <c r="F5548" s="0" t="inlineStr">
        <is>
          <t>'000000000000</t>
        </is>
      </c>
      <c r="G5548" s="0" t="inlineStr">
        <is>
          <t>MENS</t>
        </is>
      </c>
      <c r="H5548" s="0" t="inlineStr">
        <is>
          <t>M</t>
        </is>
      </c>
      <c r="I5548" s="0">
        <v>29.99</v>
      </c>
      <c r="J5548" s="0">
        <v>2</v>
      </c>
    </row>
    <row r="5549" spans="1:10" customHeight="0">
      <c r="A5549" s="0">
        <f>HYPERLINK("https://dl.dropboxusercontent.com/scl/fi/n8h3ta5h3ninyca1ds25r/102999f83516.jpg?rlkey=9c3r42i7xwu1kevikwazo0um3&amp;dl=0","Click to download Image")</f>
      </c>
      <c r="C5549" s="0" t="inlineStr">
        <is>
          <t>Evin Men's Cotton T-Shirt</t>
        </is>
      </c>
      <c r="D5549" s="0" t="inlineStr">
        <is>
          <t>'102999</t>
        </is>
      </c>
      <c r="E5549" s="0" t="inlineStr">
        <is>
          <t>EVIN:102999C-L</t>
        </is>
      </c>
      <c r="F5549" s="0" t="inlineStr">
        <is>
          <t>'000000000000</t>
        </is>
      </c>
      <c r="G5549" s="0" t="inlineStr">
        <is>
          <t>MENS</t>
        </is>
      </c>
      <c r="H5549" s="0" t="inlineStr">
        <is>
          <t>L</t>
        </is>
      </c>
      <c r="I5549" s="0">
        <v>29.99</v>
      </c>
      <c r="J5549" s="0">
        <v>0</v>
      </c>
    </row>
    <row r="5550" spans="1:10" customHeight="0">
      <c r="A5550" s="0">
        <f>HYPERLINK("https://dl.dropboxusercontent.com/scl/fi/n8h3ta5h3ninyca1ds25r/102999f83516.jpg?rlkey=9c3r42i7xwu1kevikwazo0um3&amp;dl=0","Click to download Image")</f>
      </c>
      <c r="C5550" s="0" t="inlineStr">
        <is>
          <t>Evin Men's Cotton T-Shirt</t>
        </is>
      </c>
      <c r="D5550" s="0" t="inlineStr">
        <is>
          <t>'102999</t>
        </is>
      </c>
      <c r="E5550" s="0" t="inlineStr">
        <is>
          <t>EVIN:102999D-XL</t>
        </is>
      </c>
      <c r="F5550" s="0" t="inlineStr">
        <is>
          <t>'000000000000</t>
        </is>
      </c>
      <c r="G5550" s="0" t="inlineStr">
        <is>
          <t>MENS</t>
        </is>
      </c>
      <c r="H5550" s="0" t="inlineStr">
        <is>
          <t>XL</t>
        </is>
      </c>
      <c r="I5550" s="0">
        <v>29.99</v>
      </c>
      <c r="J5550" s="0">
        <v>5</v>
      </c>
    </row>
    <row r="5551" spans="1:10" customHeight="0">
      <c r="A5551" s="0">
        <f>HYPERLINK("https://dl.dropboxusercontent.com/scl/fi/n8h3ta5h3ninyca1ds25r/102999f83516.jpg?rlkey=9c3r42i7xwu1kevikwazo0um3&amp;dl=0","Click to download Image")</f>
      </c>
      <c r="C5551" s="0" t="inlineStr">
        <is>
          <t>Evin Men's Cotton T-Shirt</t>
        </is>
      </c>
      <c r="D5551" s="0" t="inlineStr">
        <is>
          <t>'102999</t>
        </is>
      </c>
      <c r="E5551" s="0" t="inlineStr">
        <is>
          <t>EVIN:102999E-2XL</t>
        </is>
      </c>
      <c r="F5551" s="0" t="inlineStr">
        <is>
          <t>'000000000000</t>
        </is>
      </c>
      <c r="G5551" s="0" t="inlineStr">
        <is>
          <t>MENS</t>
        </is>
      </c>
      <c r="H5551" s="0" t="inlineStr">
        <is>
          <t>2XL</t>
        </is>
      </c>
      <c r="I5551" s="0">
        <v>29.99</v>
      </c>
      <c r="J5551" s="0">
        <v>9</v>
      </c>
    </row>
    <row r="5552" spans="1:10" customHeight="0">
      <c r="A5552" s="0">
        <f>HYPERLINK("https://dl.dropboxusercontent.com/scl/fi/e0ahxlb3hzqp67i617qmp/sarah.jpg?rlkey=4otolrzhcjxlqo21ynxeisxz2&amp;dl=0","Click to download Image")</f>
      </c>
      <c r="B5552" s="0">
        <f>HYPERLINK("https://dl.dropboxusercontent.com/scl/fi/kgpzlzgyz3sbw3jtywf5d/size-charttoddler-a.jpg?rlkey=9s3oo3pigz8cjke7esjlno8si&amp;dl=0","Click to download SizeChart")</f>
      </c>
      <c r="C5552" s="0" t="inlineStr">
        <is>
          <t>Sarah Toddler Short Sleeve T-Shirt</t>
        </is>
      </c>
      <c r="D5552" s="0" t="inlineStr">
        <is>
          <t>'95660</t>
        </is>
      </c>
      <c r="E5552" s="0" t="inlineStr">
        <is>
          <t>SARAH:95660A-2T</t>
        </is>
      </c>
      <c r="F5552" s="0" t="inlineStr">
        <is>
          <t>'000000000000</t>
        </is>
      </c>
      <c r="G5552" s="0" t="inlineStr">
        <is>
          <t>TODDLER</t>
        </is>
      </c>
      <c r="H5552" s="0" t="inlineStr">
        <is>
          <t>2T</t>
        </is>
      </c>
      <c r="I5552" s="0">
        <v>24.99</v>
      </c>
      <c r="J5552" s="0">
        <v>96</v>
      </c>
    </row>
    <row r="5553" spans="1:10" customHeight="0">
      <c r="A5553" s="0">
        <f>HYPERLINK("https://dl.dropboxusercontent.com/scl/fi/e0ahxlb3hzqp67i617qmp/sarah.jpg?rlkey=4otolrzhcjxlqo21ynxeisxz2&amp;dl=0","Click to download Image")</f>
      </c>
      <c r="B5553" s="0">
        <f>HYPERLINK("https://dl.dropboxusercontent.com/scl/fi/kgpzlzgyz3sbw3jtywf5d/size-charttoddler-a.jpg?rlkey=9s3oo3pigz8cjke7esjlno8si&amp;dl=0","Click to download SizeChart")</f>
      </c>
      <c r="C5553" s="0" t="inlineStr">
        <is>
          <t>Sarah Toddler Short Sleeve T-Shirt</t>
        </is>
      </c>
      <c r="D5553" s="0" t="inlineStr">
        <is>
          <t>'95660</t>
        </is>
      </c>
      <c r="E5553" s="0" t="inlineStr">
        <is>
          <t>SARAH:95660B-3T</t>
        </is>
      </c>
      <c r="F5553" s="0" t="inlineStr">
        <is>
          <t>'000000000000</t>
        </is>
      </c>
      <c r="G5553" s="0" t="inlineStr">
        <is>
          <t>TODDLER</t>
        </is>
      </c>
      <c r="H5553" s="0" t="inlineStr">
        <is>
          <t>3T</t>
        </is>
      </c>
      <c r="I5553" s="0">
        <v>24.99</v>
      </c>
      <c r="J5553" s="0">
        <v>95</v>
      </c>
    </row>
    <row r="5554" spans="1:10" customHeight="0">
      <c r="A5554" s="0">
        <f>HYPERLINK("https://dl.dropboxusercontent.com/scl/fi/e0ahxlb3hzqp67i617qmp/sarah.jpg?rlkey=4otolrzhcjxlqo21ynxeisxz2&amp;dl=0","Click to download Image")</f>
      </c>
      <c r="B5554" s="0">
        <f>HYPERLINK("https://dl.dropboxusercontent.com/scl/fi/kgpzlzgyz3sbw3jtywf5d/size-charttoddler-a.jpg?rlkey=9s3oo3pigz8cjke7esjlno8si&amp;dl=0","Click to download SizeChart")</f>
      </c>
      <c r="C5554" s="0" t="inlineStr">
        <is>
          <t>Sarah Toddler Short Sleeve T-Shirt</t>
        </is>
      </c>
      <c r="D5554" s="0" t="inlineStr">
        <is>
          <t>'95660</t>
        </is>
      </c>
      <c r="E5554" s="0" t="inlineStr">
        <is>
          <t>SARAH:95660C-4T</t>
        </is>
      </c>
      <c r="F5554" s="0" t="inlineStr">
        <is>
          <t>'000000000000</t>
        </is>
      </c>
      <c r="G5554" s="0" t="inlineStr">
        <is>
          <t>TODDLER</t>
        </is>
      </c>
      <c r="H5554" s="0" t="inlineStr">
        <is>
          <t>4T</t>
        </is>
      </c>
      <c r="I5554" s="0">
        <v>24.99</v>
      </c>
      <c r="J5554" s="0">
        <v>93</v>
      </c>
    </row>
    <row r="5555" spans="1:10" customHeight="0">
      <c r="A5555" s="0">
        <f>HYPERLINK("https://dl.dropboxusercontent.com/scl/fi/e0ahxlb3hzqp67i617qmp/sarah.jpg?rlkey=4otolrzhcjxlqo21ynxeisxz2&amp;dl=0","Click to download Image")</f>
      </c>
      <c r="B5555" s="0">
        <f>HYPERLINK("https://dl.dropboxusercontent.com/scl/fi/kgpzlzgyz3sbw3jtywf5d/size-charttoddler-a.jpg?rlkey=9s3oo3pigz8cjke7esjlno8si&amp;dl=0","Click to download SizeChart")</f>
      </c>
      <c r="C5555" s="0" t="inlineStr">
        <is>
          <t>Sarah Toddler Short Sleeve T-Shirt</t>
        </is>
      </c>
      <c r="D5555" s="0" t="inlineStr">
        <is>
          <t>'95660</t>
        </is>
      </c>
      <c r="E5555" s="0" t="inlineStr">
        <is>
          <t>SARAH:95660D-5T</t>
        </is>
      </c>
      <c r="F5555" s="0" t="inlineStr">
        <is>
          <t>'000000000000</t>
        </is>
      </c>
      <c r="G5555" s="0" t="inlineStr">
        <is>
          <t>TODDLER</t>
        </is>
      </c>
      <c r="H5555" s="0" t="inlineStr">
        <is>
          <t>5T</t>
        </is>
      </c>
      <c r="I5555" s="0">
        <v>24.99</v>
      </c>
      <c r="J5555" s="0">
        <v>96</v>
      </c>
    </row>
    <row r="5556" spans="1:10" customHeight="0">
      <c r="A5556" s="0">
        <f>HYPERLINK("https://dl.dropboxusercontent.com/scl/fi/4gcrsnneadhye5h9xeh61/95284f.jpg?rlkey=8fazlm3nt27hts8ytko3nkdtn&amp;dl=0","Click to download Image")</f>
      </c>
      <c r="B5556" s="0">
        <f>HYPERLINK("https://dl.dropboxusercontent.com/scl/fi/ecr88kv8pwbmofmq9i4fn/size-chartyouth-b.jpg?rlkey=5zu46kbeak8xxzroawkk3jt4m&amp;dl=0","Click to download SizeChart")</f>
      </c>
      <c r="C5556" s="0" t="inlineStr">
        <is>
          <t>Samuel Youth T-Shirt Hoodie</t>
        </is>
      </c>
      <c r="D5556" s="0" t="inlineStr">
        <is>
          <t>'95284</t>
        </is>
      </c>
      <c r="E5556" s="0" t="inlineStr">
        <is>
          <t>SAMUEL:95284A-S</t>
        </is>
      </c>
      <c r="F5556" s="0" t="inlineStr">
        <is>
          <t>'000000000000</t>
        </is>
      </c>
      <c r="G5556" s="0" t="inlineStr">
        <is>
          <t>YOUTH</t>
        </is>
      </c>
      <c r="H5556" s="0" t="inlineStr">
        <is>
          <t>YS</t>
        </is>
      </c>
      <c r="I5556" s="0">
        <v>39.99</v>
      </c>
      <c r="J5556" s="0">
        <v>94</v>
      </c>
    </row>
    <row r="5557" spans="1:10" customHeight="0">
      <c r="A5557" s="0">
        <f>HYPERLINK("https://dl.dropboxusercontent.com/scl/fi/4gcrsnneadhye5h9xeh61/95284f.jpg?rlkey=8fazlm3nt27hts8ytko3nkdtn&amp;dl=0","Click to download Image")</f>
      </c>
      <c r="B5557" s="0">
        <f>HYPERLINK("https://dl.dropboxusercontent.com/scl/fi/ecr88kv8pwbmofmq9i4fn/size-chartyouth-b.jpg?rlkey=5zu46kbeak8xxzroawkk3jt4m&amp;dl=0","Click to download SizeChart")</f>
      </c>
      <c r="C5557" s="0" t="inlineStr">
        <is>
          <t>Samuel Youth T-Shirt Hoodie</t>
        </is>
      </c>
      <c r="D5557" s="0" t="inlineStr">
        <is>
          <t>'95284</t>
        </is>
      </c>
      <c r="E5557" s="0" t="inlineStr">
        <is>
          <t>SAMUEL:95284B-M</t>
        </is>
      </c>
      <c r="F5557" s="0" t="inlineStr">
        <is>
          <t>'000000000000</t>
        </is>
      </c>
      <c r="G5557" s="0" t="inlineStr">
        <is>
          <t>YOUTH</t>
        </is>
      </c>
      <c r="H5557" s="0" t="inlineStr">
        <is>
          <t>YM</t>
        </is>
      </c>
      <c r="I5557" s="0">
        <v>39.99</v>
      </c>
      <c r="J5557" s="0">
        <v>88</v>
      </c>
    </row>
    <row r="5558" spans="1:10" customHeight="0">
      <c r="A5558" s="0">
        <f>HYPERLINK("https://dl.dropboxusercontent.com/scl/fi/4gcrsnneadhye5h9xeh61/95284f.jpg?rlkey=8fazlm3nt27hts8ytko3nkdtn&amp;dl=0","Click to download Image")</f>
      </c>
      <c r="B5558" s="0">
        <f>HYPERLINK("https://dl.dropboxusercontent.com/scl/fi/ecr88kv8pwbmofmq9i4fn/size-chartyouth-b.jpg?rlkey=5zu46kbeak8xxzroawkk3jt4m&amp;dl=0","Click to download SizeChart")</f>
      </c>
      <c r="C5558" s="0" t="inlineStr">
        <is>
          <t>Samuel Youth T-Shirt Hoodie</t>
        </is>
      </c>
      <c r="D5558" s="0" t="inlineStr">
        <is>
          <t>'95284</t>
        </is>
      </c>
      <c r="E5558" s="0" t="inlineStr">
        <is>
          <t>SAMUEL:95284C-L</t>
        </is>
      </c>
      <c r="F5558" s="0" t="inlineStr">
        <is>
          <t>'000000000000</t>
        </is>
      </c>
      <c r="G5558" s="0" t="inlineStr">
        <is>
          <t>YOUTH</t>
        </is>
      </c>
      <c r="H5558" s="0" t="inlineStr">
        <is>
          <t>YL</t>
        </is>
      </c>
      <c r="I5558" s="0">
        <v>39.99</v>
      </c>
      <c r="J5558" s="0">
        <v>90</v>
      </c>
    </row>
    <row r="5559" spans="1:10" customHeight="0">
      <c r="A5559" s="0">
        <f>HYPERLINK("https://dl.dropboxusercontent.com/scl/fi/4gcrsnneadhye5h9xeh61/95284f.jpg?rlkey=8fazlm3nt27hts8ytko3nkdtn&amp;dl=0","Click to download Image")</f>
      </c>
      <c r="B5559" s="0">
        <f>HYPERLINK("https://dl.dropboxusercontent.com/scl/fi/ecr88kv8pwbmofmq9i4fn/size-chartyouth-b.jpg?rlkey=5zu46kbeak8xxzroawkk3jt4m&amp;dl=0","Click to download SizeChart")</f>
      </c>
      <c r="C5559" s="0" t="inlineStr">
        <is>
          <t>Samuel Youth T-Shirt Hoodie</t>
        </is>
      </c>
      <c r="D5559" s="0" t="inlineStr">
        <is>
          <t>'95284</t>
        </is>
      </c>
      <c r="E5559" s="0" t="inlineStr">
        <is>
          <t>SAMUEL:95284D-XL</t>
        </is>
      </c>
      <c r="F5559" s="0" t="inlineStr">
        <is>
          <t>'000000000000</t>
        </is>
      </c>
      <c r="G5559" s="0" t="inlineStr">
        <is>
          <t>YOUTH</t>
        </is>
      </c>
      <c r="H5559" s="0" t="inlineStr">
        <is>
          <t>YXL</t>
        </is>
      </c>
      <c r="I5559" s="0">
        <v>39.99</v>
      </c>
      <c r="J5559" s="0">
        <v>87</v>
      </c>
    </row>
    <row r="5560" spans="1:10" customHeight="0">
      <c r="A5560" s="0">
        <f>HYPERLINK("https://dl.dropboxusercontent.com/scl/fi/p3z0hvcyalepgew6gnm7j/103266-af1.jpg?rlkey=x6lerystpsdzm2fnpt8yz3g0j&amp;dl=0","Click to download Image")</f>
      </c>
      <c r="C5560" s="0" t="inlineStr">
        <is>
          <t>Jennings Youth Cap</t>
        </is>
      </c>
      <c r="D5560" s="0" t="inlineStr">
        <is>
          <t>'103266</t>
        </is>
      </c>
      <c r="E5560" s="0" t="inlineStr">
        <is>
          <t>JENNINGS:103266</t>
        </is>
      </c>
      <c r="F5560" s="0" t="inlineStr">
        <is>
          <t>'000000000000</t>
        </is>
      </c>
      <c r="G5560" s="0" t="inlineStr">
        <is>
          <t>YOUTH</t>
        </is>
      </c>
      <c r="H5560" s="0" t="inlineStr">
        <is>
          <t>YOUTH</t>
        </is>
      </c>
      <c r="I5560" s="0">
        <v>19.99</v>
      </c>
      <c r="J5560" s="0">
        <v>46</v>
      </c>
    </row>
    <row r="5561" spans="1:10" customHeight="0">
      <c r="A5561" s="0">
        <f>HYPERLINK("https://dl.dropboxusercontent.com/scl/fi/6wx6gv1ovyiofm8ulhlk3/104336-af.jpg?rlkey=2vf9zcl8opu1tj8vodwc1u54x&amp;dl=0","Click to download Image")</f>
      </c>
      <c r="C5561" s="0" t="inlineStr">
        <is>
          <t>Jennings Youth Cap</t>
        </is>
      </c>
      <c r="D5561" s="0" t="inlineStr">
        <is>
          <t>'104336</t>
        </is>
      </c>
      <c r="E5561" s="0" t="inlineStr">
        <is>
          <t>JENNINGS:104336</t>
        </is>
      </c>
      <c r="F5561" s="0" t="inlineStr">
        <is>
          <t>'000000000000</t>
        </is>
      </c>
      <c r="G5561" s="0" t="inlineStr">
        <is>
          <t>YOUTH</t>
        </is>
      </c>
      <c r="H5561" s="0" t="inlineStr">
        <is>
          <t>YOUTH</t>
        </is>
      </c>
      <c r="I5561" s="0">
        <v>19.99</v>
      </c>
      <c r="J5561" s="0">
        <v>39</v>
      </c>
    </row>
    <row r="5562" spans="1:10" customHeight="0">
      <c r="A5562" s="0">
        <f>HYPERLINK("https://dl.dropboxusercontent.com/scl/fi/m448w205rs65qmatpqvkf/albany.jpg?rlkey=fszbzp569n99kmjswyzwuttji&amp;dl=0","Click to download Image")</f>
      </c>
      <c r="C5562" s="0" t="inlineStr">
        <is>
          <t>Albany Youth Cap</t>
        </is>
      </c>
      <c r="D5562" s="0" t="inlineStr">
        <is>
          <t>'107147</t>
        </is>
      </c>
      <c r="E5562" s="0" t="inlineStr">
        <is>
          <t>ISU ALBANY:107147</t>
        </is>
      </c>
      <c r="F5562" s="0" t="inlineStr">
        <is>
          <t>'700107147010</t>
        </is>
      </c>
      <c r="G5562" s="0" t="inlineStr">
        <is>
          <t>YOUTH</t>
        </is>
      </c>
      <c r="H5562" s="0" t="inlineStr">
        <is>
          <t>YOUTH</t>
        </is>
      </c>
      <c r="I5562" s="0">
        <v>20.99</v>
      </c>
      <c r="J5562" s="0">
        <v>115</v>
      </c>
    </row>
    <row r="5563" spans="1:10" customHeight="0">
      <c r="A5563" s="0">
        <f>HYPERLINK("https://dl.dropboxusercontent.com/scl/fi/lr9rdabqi518lg3j9lyyu/101157-af.jpg?rlkey=25p8uot0nt5lo70m21ha6z8f9&amp;dl=0","Click to download Image")</f>
      </c>
      <c r="C5563" s="0" t="inlineStr">
        <is>
          <t>Noel Youth Cap</t>
        </is>
      </c>
      <c r="D5563" s="0" t="inlineStr">
        <is>
          <t>'101157</t>
        </is>
      </c>
      <c r="E5563" s="0" t="inlineStr">
        <is>
          <t>NOEL:101157</t>
        </is>
      </c>
      <c r="F5563" s="0" t="inlineStr">
        <is>
          <t>'000000000000</t>
        </is>
      </c>
      <c r="G5563" s="0" t="inlineStr">
        <is>
          <t>YOUTH</t>
        </is>
      </c>
      <c r="H5563" s="0" t="inlineStr">
        <is>
          <t>YOUTH</t>
        </is>
      </c>
      <c r="I5563" s="0">
        <v>18.99</v>
      </c>
      <c r="J5563" s="0">
        <v>40</v>
      </c>
    </row>
    <row r="5564" spans="1:10" customHeight="0">
      <c r="A5564" s="0">
        <f>HYPERLINK("https://dl.dropboxusercontent.com/scl/fi/5x29j0rvch1fut0eoq48q/101690-af.jpg?rlkey=zfskjikmw1l5pz2a8tfvawep2&amp;dl=0","Click to download Image")</f>
      </c>
      <c r="C5564" s="0" t="inlineStr">
        <is>
          <t>Noel Youth Cap</t>
        </is>
      </c>
      <c r="D5564" s="0" t="inlineStr">
        <is>
          <t>'101690</t>
        </is>
      </c>
      <c r="E5564" s="0" t="inlineStr">
        <is>
          <t>NOEL:101690</t>
        </is>
      </c>
      <c r="F5564" s="0" t="inlineStr">
        <is>
          <t>'000000000000</t>
        </is>
      </c>
      <c r="G5564" s="0" t="inlineStr">
        <is>
          <t>YOUTH</t>
        </is>
      </c>
      <c r="H5564" s="0" t="inlineStr">
        <is>
          <t>YOUTH</t>
        </is>
      </c>
      <c r="I5564" s="0">
        <v>18.99</v>
      </c>
      <c r="J5564" s="0">
        <v>79</v>
      </c>
    </row>
    <row r="5565" spans="1:10" customHeight="0">
      <c r="A5565" s="0">
        <f>HYPERLINK("https://dl.dropboxusercontent.com/scl/fi/w5t3sagwnss8lfc0qc1d8/101157-af.jpg?rlkey=m4t31nuv5bdi2hmrvc57wtsmz&amp;dl=0","Click to download Image")</f>
      </c>
      <c r="C5565" s="0" t="inlineStr">
        <is>
          <t>Noel Toddler Cap</t>
        </is>
      </c>
      <c r="D5565" s="0" t="inlineStr">
        <is>
          <t>'101887</t>
        </is>
      </c>
      <c r="E5565" s="0" t="inlineStr">
        <is>
          <t>NOEL:101887</t>
        </is>
      </c>
      <c r="F5565" s="0" t="inlineStr">
        <is>
          <t>'000000000000</t>
        </is>
      </c>
      <c r="G5565" s="0" t="inlineStr">
        <is>
          <t>TODDLER</t>
        </is>
      </c>
      <c r="H5565" s="0" t="inlineStr">
        <is>
          <t>TODDLER</t>
        </is>
      </c>
      <c r="I5565" s="0">
        <v>18.99</v>
      </c>
      <c r="J5565" s="0">
        <v>65</v>
      </c>
    </row>
    <row r="5566" spans="1:10" customHeight="0">
      <c r="A5566" s="0">
        <f>HYPERLINK("https://dl.dropboxusercontent.com/scl/fi/gv75yv5gl8i11rtu4ntad/101690-af.jpg?rlkey=1rx0amn3saxarvtnem2c1g1mw&amp;dl=0","Click to download Image")</f>
      </c>
      <c r="C5566" s="0" t="inlineStr">
        <is>
          <t>Noel Toddler Cap</t>
        </is>
      </c>
      <c r="D5566" s="0" t="inlineStr">
        <is>
          <t>'101888</t>
        </is>
      </c>
      <c r="E5566" s="0" t="inlineStr">
        <is>
          <t>NOEL:101888</t>
        </is>
      </c>
      <c r="F5566" s="0" t="inlineStr">
        <is>
          <t>'000000000000</t>
        </is>
      </c>
      <c r="G5566" s="0" t="inlineStr">
        <is>
          <t>TODDLER</t>
        </is>
      </c>
      <c r="H5566" s="0" t="inlineStr">
        <is>
          <t>TODDLER</t>
        </is>
      </c>
      <c r="I5566" s="0">
        <v>18.99</v>
      </c>
      <c r="J5566" s="0">
        <v>127</v>
      </c>
    </row>
    <row r="5567" spans="1:10" customHeight="0">
      <c r="A5567" s="0">
        <f>HYPERLINK("https://dl.dropboxusercontent.com/scl/fi/1q0udify61035nxttegph/ozark.jpg?rlkey=9dp9j5r1brgnols3udtk0pfre&amp;dl=0","Click to download Image")</f>
      </c>
      <c r="B5567" s="0">
        <f>HYPERLINK("https://dl.dropboxusercontent.com/scl/fi/y97y1pp9ac2m4f9vvla4l/mens-jackets-size-charts-ozark.jpg?rlkey=qqoxej9ce5uvmyaw5gvlziw9z&amp;dl=0","Click to download SizeChart")</f>
      </c>
      <c r="C5567" s="0" t="inlineStr">
        <is>
          <t>Ozark Track Jacket</t>
        </is>
      </c>
      <c r="D5567" s="0" t="inlineStr">
        <is>
          <t>'106738</t>
        </is>
      </c>
      <c r="E5567" s="0" t="inlineStr">
        <is>
          <t>IA OZARK:106738A-S</t>
        </is>
      </c>
      <c r="F5567" s="0" t="inlineStr">
        <is>
          <t>'800106738018</t>
        </is>
      </c>
      <c r="G5567" s="0" t="inlineStr">
        <is>
          <t>MENS</t>
        </is>
      </c>
      <c r="H5567" s="0" t="inlineStr">
        <is>
          <t>S</t>
        </is>
      </c>
      <c r="I5567" s="0">
        <v>49.99</v>
      </c>
      <c r="J5567" s="0">
        <v>7</v>
      </c>
    </row>
    <row r="5568" spans="1:10" customHeight="0">
      <c r="A5568" s="0">
        <f>HYPERLINK("https://dl.dropboxusercontent.com/scl/fi/1q0udify61035nxttegph/ozark.jpg?rlkey=9dp9j5r1brgnols3udtk0pfre&amp;dl=0","Click to download Image")</f>
      </c>
      <c r="B5568" s="0">
        <f>HYPERLINK("https://dl.dropboxusercontent.com/scl/fi/y97y1pp9ac2m4f9vvla4l/mens-jackets-size-charts-ozark.jpg?rlkey=qqoxej9ce5uvmyaw5gvlziw9z&amp;dl=0","Click to download SizeChart")</f>
      </c>
      <c r="C5568" s="0" t="inlineStr">
        <is>
          <t>Ozark Track Jacket</t>
        </is>
      </c>
      <c r="D5568" s="0" t="inlineStr">
        <is>
          <t>'106738</t>
        </is>
      </c>
      <c r="E5568" s="0" t="inlineStr">
        <is>
          <t>IA OZARK:106738B-M</t>
        </is>
      </c>
      <c r="F5568" s="0" t="inlineStr">
        <is>
          <t>'800106738025</t>
        </is>
      </c>
      <c r="G5568" s="0" t="inlineStr">
        <is>
          <t>MENS</t>
        </is>
      </c>
      <c r="H5568" s="0" t="inlineStr">
        <is>
          <t>M</t>
        </is>
      </c>
      <c r="I5568" s="0">
        <v>49.99</v>
      </c>
      <c r="J5568" s="0">
        <v>18</v>
      </c>
    </row>
    <row r="5569" spans="1:10" customHeight="0">
      <c r="A5569" s="0">
        <f>HYPERLINK("https://dl.dropboxusercontent.com/scl/fi/1q0udify61035nxttegph/ozark.jpg?rlkey=9dp9j5r1brgnols3udtk0pfre&amp;dl=0","Click to download Image")</f>
      </c>
      <c r="B5569" s="0">
        <f>HYPERLINK("https://dl.dropboxusercontent.com/scl/fi/y97y1pp9ac2m4f9vvla4l/mens-jackets-size-charts-ozark.jpg?rlkey=qqoxej9ce5uvmyaw5gvlziw9z&amp;dl=0","Click to download SizeChart")</f>
      </c>
      <c r="C5569" s="0" t="inlineStr">
        <is>
          <t>Ozark Track Jacket</t>
        </is>
      </c>
      <c r="D5569" s="0" t="inlineStr">
        <is>
          <t>'106738</t>
        </is>
      </c>
      <c r="E5569" s="0" t="inlineStr">
        <is>
          <t>IA OZARK:106738C-L</t>
        </is>
      </c>
      <c r="F5569" s="0" t="inlineStr">
        <is>
          <t>'800106738032</t>
        </is>
      </c>
      <c r="G5569" s="0" t="inlineStr">
        <is>
          <t>MENS</t>
        </is>
      </c>
      <c r="H5569" s="0" t="inlineStr">
        <is>
          <t>L</t>
        </is>
      </c>
      <c r="I5569" s="0">
        <v>49.99</v>
      </c>
      <c r="J5569" s="0">
        <v>29</v>
      </c>
    </row>
    <row r="5570" spans="1:10" customHeight="0">
      <c r="A5570" s="0">
        <f>HYPERLINK("https://dl.dropboxusercontent.com/scl/fi/1q0udify61035nxttegph/ozark.jpg?rlkey=9dp9j5r1brgnols3udtk0pfre&amp;dl=0","Click to download Image")</f>
      </c>
      <c r="B5570" s="0">
        <f>HYPERLINK("https://dl.dropboxusercontent.com/scl/fi/y97y1pp9ac2m4f9vvla4l/mens-jackets-size-charts-ozark.jpg?rlkey=qqoxej9ce5uvmyaw5gvlziw9z&amp;dl=0","Click to download SizeChart")</f>
      </c>
      <c r="C5570" s="0" t="inlineStr">
        <is>
          <t>Ozark Track Jacket</t>
        </is>
      </c>
      <c r="D5570" s="0" t="inlineStr">
        <is>
          <t>'106738</t>
        </is>
      </c>
      <c r="E5570" s="0" t="inlineStr">
        <is>
          <t>IA OZARK:106738D-XL</t>
        </is>
      </c>
      <c r="F5570" s="0" t="inlineStr">
        <is>
          <t>'800106738049</t>
        </is>
      </c>
      <c r="G5570" s="0" t="inlineStr">
        <is>
          <t>MENS</t>
        </is>
      </c>
      <c r="H5570" s="0" t="inlineStr">
        <is>
          <t>XL</t>
        </is>
      </c>
      <c r="I5570" s="0">
        <v>49.99</v>
      </c>
      <c r="J5570" s="0">
        <v>28</v>
      </c>
    </row>
    <row r="5571" spans="1:10" customHeight="0">
      <c r="A5571" s="0">
        <f>HYPERLINK("https://dl.dropboxusercontent.com/scl/fi/1q0udify61035nxttegph/ozark.jpg?rlkey=9dp9j5r1brgnols3udtk0pfre&amp;dl=0","Click to download Image")</f>
      </c>
      <c r="B5571" s="0">
        <f>HYPERLINK("https://dl.dropboxusercontent.com/scl/fi/y97y1pp9ac2m4f9vvla4l/mens-jackets-size-charts-ozark.jpg?rlkey=qqoxej9ce5uvmyaw5gvlziw9z&amp;dl=0","Click to download SizeChart")</f>
      </c>
      <c r="C5571" s="0" t="inlineStr">
        <is>
          <t>Ozark Track Jacket</t>
        </is>
      </c>
      <c r="D5571" s="0" t="inlineStr">
        <is>
          <t>'106738</t>
        </is>
      </c>
      <c r="E5571" s="0" t="inlineStr">
        <is>
          <t>IA OZARK:106738E-2XL</t>
        </is>
      </c>
      <c r="F5571" s="0" t="inlineStr">
        <is>
          <t>'800106738056</t>
        </is>
      </c>
      <c r="G5571" s="0" t="inlineStr">
        <is>
          <t>MENS</t>
        </is>
      </c>
      <c r="H5571" s="0" t="inlineStr">
        <is>
          <t>2XL</t>
        </is>
      </c>
      <c r="I5571" s="0">
        <v>51.99</v>
      </c>
      <c r="J5571" s="0">
        <v>17</v>
      </c>
    </row>
    <row r="5572" spans="1:10" customHeight="0">
      <c r="A5572" s="0">
        <f>HYPERLINK("https://dl.dropboxusercontent.com/scl/fi/1q0udify61035nxttegph/ozark.jpg?rlkey=9dp9j5r1brgnols3udtk0pfre&amp;dl=0","Click to download Image")</f>
      </c>
      <c r="B5572" s="0">
        <f>HYPERLINK("https://dl.dropboxusercontent.com/scl/fi/y97y1pp9ac2m4f9vvla4l/mens-jackets-size-charts-ozark.jpg?rlkey=qqoxej9ce5uvmyaw5gvlziw9z&amp;dl=0","Click to download SizeChart")</f>
      </c>
      <c r="C5572" s="0" t="inlineStr">
        <is>
          <t>Ozark Track Jacket</t>
        </is>
      </c>
      <c r="D5572" s="0" t="inlineStr">
        <is>
          <t>'106738</t>
        </is>
      </c>
      <c r="E5572" s="0" t="inlineStr">
        <is>
          <t>IA OZARK:106738F-3XL</t>
        </is>
      </c>
      <c r="F5572" s="0" t="inlineStr">
        <is>
          <t>'800106738063</t>
        </is>
      </c>
      <c r="G5572" s="0" t="inlineStr">
        <is>
          <t>MENS</t>
        </is>
      </c>
      <c r="H5572" s="0" t="inlineStr">
        <is>
          <t>3XL</t>
        </is>
      </c>
      <c r="I5572" s="0">
        <v>51.99</v>
      </c>
      <c r="J5572" s="0">
        <v>6</v>
      </c>
    </row>
    <row r="5573" spans="1:10" customHeight="0">
      <c r="A5573" s="0">
        <f>HYPERLINK("https://dl.dropboxusercontent.com/scl/fi/16dlgds5kqpm7qzbttv89/98541-af.jpg?rlkey=e80mcm6zi8siw8hrvutnedy1l&amp;dl=0","Click to download Image")</f>
      </c>
      <c r="C5573" s="0" t="inlineStr">
        <is>
          <t>Lincoln Infant Camo Trapper</t>
        </is>
      </c>
      <c r="D5573" s="0" t="inlineStr">
        <is>
          <t>'98541</t>
        </is>
      </c>
      <c r="E5573" s="0" t="inlineStr">
        <is>
          <t>LINCOLN:98541</t>
        </is>
      </c>
      <c r="F5573" s="0" t="inlineStr">
        <is>
          <t>'000000000000</t>
        </is>
      </c>
      <c r="G5573" s="0" t="inlineStr">
        <is>
          <t>INFANT</t>
        </is>
      </c>
      <c r="H5573" s="0" t="inlineStr">
        <is>
          <t>INFANT</t>
        </is>
      </c>
      <c r="I5573" s="0">
        <v>19.99</v>
      </c>
      <c r="J5573" s="0">
        <v>114</v>
      </c>
    </row>
    <row r="5574" spans="1:10" customHeight="0">
      <c r="A5574" s="0">
        <f>HYPERLINK("https://dl.dropboxusercontent.com/scl/fi/1l0ulo36dg9hduenjl498/hartzler.jpg?rlkey=3b09mfbj0msr2ahl2qghvc3gi&amp;dl=0","Click to download Image")</f>
      </c>
      <c r="C5574" s="0" t="inlineStr">
        <is>
          <t>Hartzler Women's Cap</t>
        </is>
      </c>
      <c r="D5574" s="0" t="inlineStr">
        <is>
          <t>'104399</t>
        </is>
      </c>
      <c r="E5574" s="0" t="inlineStr">
        <is>
          <t>HARTZLER:104399</t>
        </is>
      </c>
      <c r="F5574" s="0" t="inlineStr">
        <is>
          <t>'070010439901</t>
        </is>
      </c>
      <c r="G5574" s="0" t="inlineStr">
        <is>
          <t>WOMENS</t>
        </is>
      </c>
      <c r="H5574" s="0" t="inlineStr">
        <is>
          <t>WOMENS</t>
        </is>
      </c>
      <c r="I5574" s="0">
        <v>20.99</v>
      </c>
      <c r="J5574" s="0">
        <v>56</v>
      </c>
    </row>
    <row r="5575" spans="1:10" customHeight="0">
      <c r="A5575" s="0">
        <f>HYPERLINK("https://dl.dropboxusercontent.com/scl/fi/cqbzddxnkjzdj5893lzva/101881-af.jpg?rlkey=33ik0whps0cu5sudgeg7pp8n5&amp;dl=0","Click to download Image")</f>
      </c>
      <c r="C5575" s="0" t="inlineStr">
        <is>
          <t>Fran Youth Beanie</t>
        </is>
      </c>
      <c r="D5575" s="0" t="inlineStr">
        <is>
          <t>'101881</t>
        </is>
      </c>
      <c r="E5575" s="0" t="inlineStr">
        <is>
          <t>FRAN:101881</t>
        </is>
      </c>
      <c r="F5575" s="0" t="inlineStr">
        <is>
          <t>'000000000000</t>
        </is>
      </c>
      <c r="G5575" s="0" t="inlineStr">
        <is>
          <t>YOUTH</t>
        </is>
      </c>
      <c r="H5575" s="0" t="inlineStr">
        <is>
          <t>YOUTH</t>
        </is>
      </c>
      <c r="I5575" s="0">
        <v>22.99</v>
      </c>
      <c r="J5575" s="0">
        <v>123</v>
      </c>
    </row>
    <row r="5576" spans="1:10" customHeight="0">
      <c r="A5576" s="0">
        <f>HYPERLINK("https://dl.dropboxusercontent.com/scl/fi/fksq93kikgma0ophr6qzg/99896-f.jpg?rlkey=v31jqjau13whomql1shqehmss&amp;dl=0","Click to download Image")</f>
      </c>
      <c r="B5576" s="0">
        <f>HYPERLINK("https://dl.dropboxusercontent.com/scl/fi/5m7j1j1tjs78hwnpfh0kp/size-chartswomens-standard-relaxed-fit.jpg?rlkey=eaubx8pddiehrqkz42jfuzw3d&amp;dl=0","Click to download SizeChart")</f>
      </c>
      <c r="C5576" s="0" t="inlineStr">
        <is>
          <t>Samara Women's Fleece Hoodie</t>
        </is>
      </c>
      <c r="D5576" s="0" t="inlineStr">
        <is>
          <t>'99896</t>
        </is>
      </c>
      <c r="E5576" s="0" t="inlineStr">
        <is>
          <t>SAMARA:99896A-S</t>
        </is>
      </c>
      <c r="F5576" s="0" t="inlineStr">
        <is>
          <t>'000000000000</t>
        </is>
      </c>
      <c r="G5576" s="0" t="inlineStr">
        <is>
          <t>WOMENS</t>
        </is>
      </c>
      <c r="H5576" s="0" t="inlineStr">
        <is>
          <t>S</t>
        </is>
      </c>
      <c r="I5576" s="0">
        <v>49.99</v>
      </c>
      <c r="J5576" s="0">
        <v>9</v>
      </c>
    </row>
    <row r="5577" spans="1:10" customHeight="0">
      <c r="A5577" s="0">
        <f>HYPERLINK("https://dl.dropboxusercontent.com/scl/fi/fksq93kikgma0ophr6qzg/99896-f.jpg?rlkey=v31jqjau13whomql1shqehmss&amp;dl=0","Click to download Image")</f>
      </c>
      <c r="B5577" s="0">
        <f>HYPERLINK("https://dl.dropboxusercontent.com/scl/fi/5m7j1j1tjs78hwnpfh0kp/size-chartswomens-standard-relaxed-fit.jpg?rlkey=eaubx8pddiehrqkz42jfuzw3d&amp;dl=0","Click to download SizeChart")</f>
      </c>
      <c r="C5577" s="0" t="inlineStr">
        <is>
          <t>Samara Women's Fleece Hoodie</t>
        </is>
      </c>
      <c r="D5577" s="0" t="inlineStr">
        <is>
          <t>'99896</t>
        </is>
      </c>
      <c r="E5577" s="0" t="inlineStr">
        <is>
          <t>SAMARA:99896B-M</t>
        </is>
      </c>
      <c r="F5577" s="0" t="inlineStr">
        <is>
          <t>'000000000000</t>
        </is>
      </c>
      <c r="G5577" s="0" t="inlineStr">
        <is>
          <t>WOMENS</t>
        </is>
      </c>
      <c r="H5577" s="0" t="inlineStr">
        <is>
          <t>M</t>
        </is>
      </c>
      <c r="I5577" s="0">
        <v>49.99</v>
      </c>
      <c r="J5577" s="0">
        <v>0</v>
      </c>
    </row>
    <row r="5578" spans="1:10" customHeight="0">
      <c r="A5578" s="0">
        <f>HYPERLINK("https://dl.dropboxusercontent.com/scl/fi/fksq93kikgma0ophr6qzg/99896-f.jpg?rlkey=v31jqjau13whomql1shqehmss&amp;dl=0","Click to download Image")</f>
      </c>
      <c r="B5578" s="0">
        <f>HYPERLINK("https://dl.dropboxusercontent.com/scl/fi/5m7j1j1tjs78hwnpfh0kp/size-chartswomens-standard-relaxed-fit.jpg?rlkey=eaubx8pddiehrqkz42jfuzw3d&amp;dl=0","Click to download SizeChart")</f>
      </c>
      <c r="C5578" s="0" t="inlineStr">
        <is>
          <t>Samara Women's Fleece Hoodie</t>
        </is>
      </c>
      <c r="D5578" s="0" t="inlineStr">
        <is>
          <t>'99896</t>
        </is>
      </c>
      <c r="E5578" s="0" t="inlineStr">
        <is>
          <t>SAMARA:99896D-XL</t>
        </is>
      </c>
      <c r="F5578" s="0" t="inlineStr">
        <is>
          <t>'000000000000</t>
        </is>
      </c>
      <c r="G5578" s="0" t="inlineStr">
        <is>
          <t>WOMENS</t>
        </is>
      </c>
      <c r="H5578" s="0" t="inlineStr">
        <is>
          <t>XL</t>
        </is>
      </c>
      <c r="I5578" s="0">
        <v>49.99</v>
      </c>
      <c r="J5578" s="0">
        <v>18</v>
      </c>
    </row>
    <row r="5579" spans="1:10" customHeight="0">
      <c r="A5579" s="0">
        <f>HYPERLINK("https://dl.dropboxusercontent.com/scl/fi/fksq93kikgma0ophr6qzg/99896-f.jpg?rlkey=v31jqjau13whomql1shqehmss&amp;dl=0","Click to download Image")</f>
      </c>
      <c r="B5579" s="0">
        <f>HYPERLINK("https://dl.dropboxusercontent.com/scl/fi/5m7j1j1tjs78hwnpfh0kp/size-chartswomens-standard-relaxed-fit.jpg?rlkey=eaubx8pddiehrqkz42jfuzw3d&amp;dl=0","Click to download SizeChart")</f>
      </c>
      <c r="C5579" s="0" t="inlineStr">
        <is>
          <t>Samara Women's Fleece Hoodie</t>
        </is>
      </c>
      <c r="D5579" s="0" t="inlineStr">
        <is>
          <t>'99896</t>
        </is>
      </c>
      <c r="E5579" s="0" t="inlineStr">
        <is>
          <t>SAMARA:99896E-2XL</t>
        </is>
      </c>
      <c r="F5579" s="0" t="inlineStr">
        <is>
          <t>'000000000000</t>
        </is>
      </c>
      <c r="G5579" s="0" t="inlineStr">
        <is>
          <t>WOMENS</t>
        </is>
      </c>
      <c r="H5579" s="0" t="inlineStr">
        <is>
          <t>2XL</t>
        </is>
      </c>
      <c r="I5579" s="0">
        <v>51.99</v>
      </c>
      <c r="J5579" s="0">
        <v>32</v>
      </c>
    </row>
    <row r="5580" spans="1:10" customHeight="0">
      <c r="A5580" s="0">
        <f>HYPERLINK("https://dl.dropboxusercontent.com/scl/fi/fksq93kikgma0ophr6qzg/99896-f.jpg?rlkey=v31jqjau13whomql1shqehmss&amp;dl=0","Click to download Image")</f>
      </c>
      <c r="B5580" s="0">
        <f>HYPERLINK("https://dl.dropboxusercontent.com/scl/fi/5m7j1j1tjs78hwnpfh0kp/size-chartswomens-standard-relaxed-fit.jpg?rlkey=eaubx8pddiehrqkz42jfuzw3d&amp;dl=0","Click to download SizeChart")</f>
      </c>
      <c r="C5580" s="0" t="inlineStr">
        <is>
          <t>Samara Women's Fleece Hoodie</t>
        </is>
      </c>
      <c r="D5580" s="0" t="inlineStr">
        <is>
          <t>'99896</t>
        </is>
      </c>
      <c r="E5580" s="0" t="inlineStr">
        <is>
          <t>SAMARA:99896F-3XL</t>
        </is>
      </c>
      <c r="F5580" s="0" t="inlineStr">
        <is>
          <t>'000000000000</t>
        </is>
      </c>
      <c r="G5580" s="0" t="inlineStr">
        <is>
          <t>WOMENS</t>
        </is>
      </c>
      <c r="H5580" s="0" t="inlineStr">
        <is>
          <t>3XL</t>
        </is>
      </c>
      <c r="I5580" s="0">
        <v>51.99</v>
      </c>
      <c r="J5580" s="0">
        <v>7</v>
      </c>
    </row>
    <row r="5581" spans="1:10" customHeight="0">
      <c r="A5581" s="0">
        <f>HYPERLINK("https://dl.dropboxusercontent.com/scl/fi/2fixq5tm4dz8ns36j7u7o/100038-f.jpg?rlkey=4mdqwgdaszyy6muizimrknthd&amp;dl=0","Click to download Image")</f>
      </c>
      <c r="B5581" s="0">
        <f>HYPERLINK("https://dl.dropboxusercontent.com/scl/fi/5m7j1j1tjs78hwnpfh0kp/size-chartswomens-standard-relaxed-fit.jpg?rlkey=eaubx8pddiehrqkz42jfuzw3d&amp;dl=0","Click to download SizeChart")</f>
      </c>
      <c r="C5581" s="0" t="inlineStr">
        <is>
          <t>Samara Women's Fleece Hoodie</t>
        </is>
      </c>
      <c r="D5581" s="0" t="inlineStr">
        <is>
          <t>'100038</t>
        </is>
      </c>
      <c r="E5581" s="0" t="inlineStr">
        <is>
          <t>SAMARA:100038A-S</t>
        </is>
      </c>
      <c r="F5581" s="0" t="inlineStr">
        <is>
          <t>'000000000000</t>
        </is>
      </c>
      <c r="G5581" s="0" t="inlineStr">
        <is>
          <t>WOMENS</t>
        </is>
      </c>
      <c r="H5581" s="0" t="inlineStr">
        <is>
          <t>S</t>
        </is>
      </c>
      <c r="I5581" s="0">
        <v>49.99</v>
      </c>
      <c r="J5581" s="0">
        <v>41</v>
      </c>
    </row>
    <row r="5582" spans="1:10" customHeight="0">
      <c r="A5582" s="0">
        <f>HYPERLINK("https://dl.dropboxusercontent.com/scl/fi/2fixq5tm4dz8ns36j7u7o/100038-f.jpg?rlkey=4mdqwgdaszyy6muizimrknthd&amp;dl=0","Click to download Image")</f>
      </c>
      <c r="B5582" s="0">
        <f>HYPERLINK("https://dl.dropboxusercontent.com/scl/fi/5m7j1j1tjs78hwnpfh0kp/size-chartswomens-standard-relaxed-fit.jpg?rlkey=eaubx8pddiehrqkz42jfuzw3d&amp;dl=0","Click to download SizeChart")</f>
      </c>
      <c r="C5582" s="0" t="inlineStr">
        <is>
          <t>Samara Women's Fleece Hoodie</t>
        </is>
      </c>
      <c r="D5582" s="0" t="inlineStr">
        <is>
          <t>'100038</t>
        </is>
      </c>
      <c r="E5582" s="0" t="inlineStr">
        <is>
          <t>SAMARA:100038B-M</t>
        </is>
      </c>
      <c r="F5582" s="0" t="inlineStr">
        <is>
          <t>'000000000000</t>
        </is>
      </c>
      <c r="G5582" s="0" t="inlineStr">
        <is>
          <t>WOMENS</t>
        </is>
      </c>
      <c r="H5582" s="0" t="inlineStr">
        <is>
          <t>M</t>
        </is>
      </c>
      <c r="I5582" s="0">
        <v>49.99</v>
      </c>
      <c r="J5582" s="0">
        <v>48</v>
      </c>
    </row>
    <row r="5583" spans="1:10" customHeight="0">
      <c r="A5583" s="0">
        <f>HYPERLINK("https://dl.dropboxusercontent.com/scl/fi/2fixq5tm4dz8ns36j7u7o/100038-f.jpg?rlkey=4mdqwgdaszyy6muizimrknthd&amp;dl=0","Click to download Image")</f>
      </c>
      <c r="B5583" s="0">
        <f>HYPERLINK("https://dl.dropboxusercontent.com/scl/fi/5m7j1j1tjs78hwnpfh0kp/size-chartswomens-standard-relaxed-fit.jpg?rlkey=eaubx8pddiehrqkz42jfuzw3d&amp;dl=0","Click to download SizeChart")</f>
      </c>
      <c r="C5583" s="0" t="inlineStr">
        <is>
          <t>Samara Women's Fleece Hoodie</t>
        </is>
      </c>
      <c r="D5583" s="0" t="inlineStr">
        <is>
          <t>'100038</t>
        </is>
      </c>
      <c r="E5583" s="0" t="inlineStr">
        <is>
          <t>SAMARA:100038C-L</t>
        </is>
      </c>
      <c r="F5583" s="0" t="inlineStr">
        <is>
          <t>'000000000000</t>
        </is>
      </c>
      <c r="G5583" s="0" t="inlineStr">
        <is>
          <t>WOMENS</t>
        </is>
      </c>
      <c r="H5583" s="0" t="inlineStr">
        <is>
          <t>L</t>
        </is>
      </c>
      <c r="I5583" s="0">
        <v>49.99</v>
      </c>
      <c r="J5583" s="0">
        <v>42</v>
      </c>
    </row>
    <row r="5584" spans="1:10" customHeight="0">
      <c r="A5584" s="0">
        <f>HYPERLINK("https://dl.dropboxusercontent.com/scl/fi/2fixq5tm4dz8ns36j7u7o/100038-f.jpg?rlkey=4mdqwgdaszyy6muizimrknthd&amp;dl=0","Click to download Image")</f>
      </c>
      <c r="B5584" s="0">
        <f>HYPERLINK("https://dl.dropboxusercontent.com/scl/fi/5m7j1j1tjs78hwnpfh0kp/size-chartswomens-standard-relaxed-fit.jpg?rlkey=eaubx8pddiehrqkz42jfuzw3d&amp;dl=0","Click to download SizeChart")</f>
      </c>
      <c r="C5584" s="0" t="inlineStr">
        <is>
          <t>Samara Women's Fleece Hoodie</t>
        </is>
      </c>
      <c r="D5584" s="0" t="inlineStr">
        <is>
          <t>'100038</t>
        </is>
      </c>
      <c r="E5584" s="0" t="inlineStr">
        <is>
          <t>SAMARA:100038D-XL</t>
        </is>
      </c>
      <c r="F5584" s="0" t="inlineStr">
        <is>
          <t>'000000000000</t>
        </is>
      </c>
      <c r="G5584" s="0" t="inlineStr">
        <is>
          <t>WOMENS</t>
        </is>
      </c>
      <c r="H5584" s="0" t="inlineStr">
        <is>
          <t>XL</t>
        </is>
      </c>
      <c r="I5584" s="0">
        <v>49.99</v>
      </c>
      <c r="J5584" s="0">
        <v>63</v>
      </c>
    </row>
    <row r="5585" spans="1:10" customHeight="0">
      <c r="A5585" s="0">
        <f>HYPERLINK("https://dl.dropboxusercontent.com/scl/fi/2fixq5tm4dz8ns36j7u7o/100038-f.jpg?rlkey=4mdqwgdaszyy6muizimrknthd&amp;dl=0","Click to download Image")</f>
      </c>
      <c r="B5585" s="0">
        <f>HYPERLINK("https://dl.dropboxusercontent.com/scl/fi/5m7j1j1tjs78hwnpfh0kp/size-chartswomens-standard-relaxed-fit.jpg?rlkey=eaubx8pddiehrqkz42jfuzw3d&amp;dl=0","Click to download SizeChart")</f>
      </c>
      <c r="C5585" s="0" t="inlineStr">
        <is>
          <t>Samara Women's Fleece Hoodie</t>
        </is>
      </c>
      <c r="D5585" s="0" t="inlineStr">
        <is>
          <t>'100038</t>
        </is>
      </c>
      <c r="E5585" s="0" t="inlineStr">
        <is>
          <t>SAMARA:100038E-2XL</t>
        </is>
      </c>
      <c r="F5585" s="0" t="inlineStr">
        <is>
          <t>'000000000000</t>
        </is>
      </c>
      <c r="G5585" s="0" t="inlineStr">
        <is>
          <t>WOMENS</t>
        </is>
      </c>
      <c r="H5585" s="0" t="inlineStr">
        <is>
          <t>2XL</t>
        </is>
      </c>
      <c r="I5585" s="0">
        <v>51.99</v>
      </c>
      <c r="J5585" s="0">
        <v>18</v>
      </c>
    </row>
    <row r="5586" spans="1:10" customHeight="0">
      <c r="A5586" s="0">
        <f>HYPERLINK("https://dl.dropboxusercontent.com/scl/fi/2fixq5tm4dz8ns36j7u7o/100038-f.jpg?rlkey=4mdqwgdaszyy6muizimrknthd&amp;dl=0","Click to download Image")</f>
      </c>
      <c r="B5586" s="0">
        <f>HYPERLINK("https://dl.dropboxusercontent.com/scl/fi/5m7j1j1tjs78hwnpfh0kp/size-chartswomens-standard-relaxed-fit.jpg?rlkey=eaubx8pddiehrqkz42jfuzw3d&amp;dl=0","Click to download SizeChart")</f>
      </c>
      <c r="C5586" s="0" t="inlineStr">
        <is>
          <t>Samara Women's Fleece Hoodie</t>
        </is>
      </c>
      <c r="D5586" s="0" t="inlineStr">
        <is>
          <t>'100038</t>
        </is>
      </c>
      <c r="E5586" s="0" t="inlineStr">
        <is>
          <t>SAMARA:100038F-3XL</t>
        </is>
      </c>
      <c r="F5586" s="0" t="inlineStr">
        <is>
          <t>'000000000000</t>
        </is>
      </c>
      <c r="G5586" s="0" t="inlineStr">
        <is>
          <t>WOMENS</t>
        </is>
      </c>
      <c r="H5586" s="0" t="inlineStr">
        <is>
          <t>3XL</t>
        </is>
      </c>
      <c r="I5586" s="0">
        <v>51.99</v>
      </c>
      <c r="J5586" s="0">
        <v>24</v>
      </c>
    </row>
    <row r="5587" spans="1:10" customHeight="0">
      <c r="A5587" s="0">
        <f>HYPERLINK("https://dl.dropboxusercontent.com/scl/fi/fg9fqv3huo1nins2uyzdp/darian.jpg?rlkey=8zkvfir8ayledjqgz4pol0r8d&amp;dl=0","Click to download Image")</f>
      </c>
      <c r="C5587" s="0" t="inlineStr">
        <is>
          <t>Darian Youth Cotton Cap</t>
        </is>
      </c>
      <c r="D5587" s="0" t="inlineStr">
        <is>
          <t>'106744</t>
        </is>
      </c>
      <c r="E5587" s="0" t="inlineStr">
        <is>
          <t>ISU DARIAN:106744STANDARD-55CM</t>
        </is>
      </c>
      <c r="F5587" s="0" t="inlineStr">
        <is>
          <t>'700106744012</t>
        </is>
      </c>
      <c r="G5587" s="0" t="inlineStr">
        <is>
          <t>YOUTH</t>
        </is>
      </c>
      <c r="H5587" s="0" t="inlineStr">
        <is>
          <t>YOUTH</t>
        </is>
      </c>
      <c r="I5587" s="0">
        <v>15.99</v>
      </c>
      <c r="J5587" s="0">
        <v>38</v>
      </c>
    </row>
    <row r="5588" spans="1:10" customHeight="0">
      <c r="A5588" s="0">
        <f>HYPERLINK("https://dl.dropboxusercontent.com/scl/fi/8dv91cnhximwbwrqmnfbp/101726-af.jpg?rlkey=w843op94fquvu7j2sdc2gwz03&amp;dl=0","Click to download Image")</f>
      </c>
      <c r="C5588" s="0" t="inlineStr">
        <is>
          <t>Bridgette Women's Cap</t>
        </is>
      </c>
      <c r="D5588" s="0" t="inlineStr">
        <is>
          <t>'101726</t>
        </is>
      </c>
      <c r="E5588" s="0" t="inlineStr">
        <is>
          <t>BRIDGETTE:101726</t>
        </is>
      </c>
      <c r="F5588" s="0" t="inlineStr">
        <is>
          <t>'000000000000</t>
        </is>
      </c>
      <c r="G5588" s="0" t="inlineStr">
        <is>
          <t>WOMENS</t>
        </is>
      </c>
      <c r="H5588" s="0" t="inlineStr">
        <is>
          <t>WOMENS</t>
        </is>
      </c>
      <c r="I5588" s="0">
        <v>18.99</v>
      </c>
      <c r="J5588" s="0">
        <v>109</v>
      </c>
    </row>
    <row r="5589" spans="1:10" customHeight="0">
      <c r="A5589" s="0">
        <f>HYPERLINK("https://dl.dropboxusercontent.com/scl/fi/6ksk7ccwptvwiq7az9uem/107167af31177.jpg?rlkey=ap3njgo2q9qr2zcfmgolo3znu&amp;dl=0","Click to download Image")</f>
      </c>
      <c r="C5589" s="0" t="inlineStr">
        <is>
          <t>Portland Headband</t>
        </is>
      </c>
      <c r="D5589" s="0" t="inlineStr">
        <is>
          <t>'107164</t>
        </is>
      </c>
      <c r="E5589" s="0" t="inlineStr">
        <is>
          <t>IOWA PORTLAND:107164</t>
        </is>
      </c>
      <c r="F5589" s="0" t="inlineStr">
        <is>
          <t>'700107164017</t>
        </is>
      </c>
      <c r="G5589" s="0" t="inlineStr">
        <is>
          <t>WOMENS</t>
        </is>
      </c>
      <c r="H5589" s="0" t="inlineStr">
        <is>
          <t>WOMENS</t>
        </is>
      </c>
      <c r="I5589" s="0">
        <v>24.99</v>
      </c>
      <c r="J5589" s="0">
        <v>231</v>
      </c>
    </row>
    <row r="5590" spans="1:10" customHeight="0">
      <c r="A5590" s="0">
        <f>HYPERLINK("https://dl.dropboxusercontent.com/scl/fi/yilu0wgj33dhz6oc5cgsb/107150af81887.jpg?rlkey=n22et39qoajg45okp73omso5y&amp;dl=0","Click to download Image")</f>
      </c>
      <c r="C5590" s="0" t="inlineStr">
        <is>
          <t>Chandler Men's Long Sleeve</t>
        </is>
      </c>
      <c r="D5590" s="0" t="inlineStr">
        <is>
          <t>'107150</t>
        </is>
      </c>
      <c r="E5590" s="0" t="inlineStr">
        <is>
          <t>ISU CHANDLER:107150E-2XL</t>
        </is>
      </c>
      <c r="F5590" s="0" t="inlineStr">
        <is>
          <t>'800107150055</t>
        </is>
      </c>
      <c r="G5590" s="0" t="inlineStr">
        <is>
          <t>MENS</t>
        </is>
      </c>
      <c r="H5590" s="0" t="inlineStr">
        <is>
          <t>2XL</t>
        </is>
      </c>
      <c r="I5590" s="0">
        <v>31.99</v>
      </c>
      <c r="J5590" s="0">
        <v>6</v>
      </c>
    </row>
    <row r="5591" spans="1:10" customHeight="0">
      <c r="A5591" s="0">
        <f>HYPERLINK("https://dl.dropboxusercontent.com/scl/fi/qxgp1d0zpk2u4g0vteo8g/darby.jpg?rlkey=76irajswo0jzvn2d37d5pq2jd&amp;dl=0","Click to download Image")</f>
      </c>
      <c r="C5591" s="0" t="inlineStr">
        <is>
          <t>Darby Teddy Bear Cap</t>
        </is>
      </c>
      <c r="D5591" s="0" t="inlineStr">
        <is>
          <t>'101756</t>
        </is>
      </c>
      <c r="E5591" s="0" t="inlineStr">
        <is>
          <t>DARBY:101756</t>
        </is>
      </c>
      <c r="F5591" s="0" t="inlineStr">
        <is>
          <t>'070010175601</t>
        </is>
      </c>
      <c r="G5591" s="0" t="inlineStr">
        <is>
          <t>INFANT</t>
        </is>
      </c>
      <c r="H5591" s="0" t="inlineStr">
        <is>
          <t>INFANT</t>
        </is>
      </c>
      <c r="I5591" s="0">
        <v>18.99</v>
      </c>
      <c r="J5591" s="0">
        <v>166</v>
      </c>
    </row>
    <row r="5592" spans="1:10" customHeight="0">
      <c r="A5592" s="0">
        <f>HYPERLINK("https://dl.dropboxusercontent.com/scl/fi/1crf20yv5c8yugdeom8m6/101138-af.jpg?rlkey=blnd4x1zwvp98eihgmeqgp1ra&amp;dl=0","Click to download Image")</f>
      </c>
      <c r="B5592" s="0">
        <f>HYPERLINK("https://dl.dropboxusercontent.com/scl/fi/dj1a4gzix5grmkw0wugud/graphic-update2022-mens.jpg?rlkey=815zcq2knti9h9r62r1dnbbvp&amp;dl=0","Click to download SizeChart")</f>
      </c>
      <c r="C5592" s="0" t="inlineStr">
        <is>
          <t>Dale Men's Polo</t>
        </is>
      </c>
      <c r="D5592" s="0" t="inlineStr">
        <is>
          <t>'101138</t>
        </is>
      </c>
      <c r="E5592" s="0" t="inlineStr">
        <is>
          <t>DALE:101138A-S</t>
        </is>
      </c>
      <c r="F5592" s="0" t="inlineStr">
        <is>
          <t>'000000000000</t>
        </is>
      </c>
      <c r="G5592" s="0" t="inlineStr">
        <is>
          <t>MENS</t>
        </is>
      </c>
      <c r="H5592" s="0" t="inlineStr">
        <is>
          <t>S</t>
        </is>
      </c>
      <c r="I5592" s="0">
        <v>44.99</v>
      </c>
      <c r="J5592" s="0">
        <v>63</v>
      </c>
    </row>
    <row r="5593" spans="1:10" customHeight="0">
      <c r="A5593" s="0">
        <f>HYPERLINK("https://dl.dropboxusercontent.com/scl/fi/1crf20yv5c8yugdeom8m6/101138-af.jpg?rlkey=blnd4x1zwvp98eihgmeqgp1ra&amp;dl=0","Click to download Image")</f>
      </c>
      <c r="B5593" s="0">
        <f>HYPERLINK("https://dl.dropboxusercontent.com/scl/fi/dj1a4gzix5grmkw0wugud/graphic-update2022-mens.jpg?rlkey=815zcq2knti9h9r62r1dnbbvp&amp;dl=0","Click to download SizeChart")</f>
      </c>
      <c r="C5593" s="0" t="inlineStr">
        <is>
          <t>Dale Men's Polo</t>
        </is>
      </c>
      <c r="D5593" s="0" t="inlineStr">
        <is>
          <t>'101138</t>
        </is>
      </c>
      <c r="E5593" s="0" t="inlineStr">
        <is>
          <t>DALE:101138B-M</t>
        </is>
      </c>
      <c r="F5593" s="0" t="inlineStr">
        <is>
          <t>'000000000000</t>
        </is>
      </c>
      <c r="G5593" s="0" t="inlineStr">
        <is>
          <t>MENS</t>
        </is>
      </c>
      <c r="H5593" s="0" t="inlineStr">
        <is>
          <t>M</t>
        </is>
      </c>
      <c r="I5593" s="0">
        <v>44.99</v>
      </c>
      <c r="J5593" s="0">
        <v>60</v>
      </c>
    </row>
    <row r="5594" spans="1:10" customHeight="0">
      <c r="A5594" s="0">
        <f>HYPERLINK("https://dl.dropboxusercontent.com/scl/fi/1crf20yv5c8yugdeom8m6/101138-af.jpg?rlkey=blnd4x1zwvp98eihgmeqgp1ra&amp;dl=0","Click to download Image")</f>
      </c>
      <c r="B5594" s="0">
        <f>HYPERLINK("https://dl.dropboxusercontent.com/scl/fi/dj1a4gzix5grmkw0wugud/graphic-update2022-mens.jpg?rlkey=815zcq2knti9h9r62r1dnbbvp&amp;dl=0","Click to download SizeChart")</f>
      </c>
      <c r="C5594" s="0" t="inlineStr">
        <is>
          <t>Dale Men's Polo</t>
        </is>
      </c>
      <c r="D5594" s="0" t="inlineStr">
        <is>
          <t>'101138</t>
        </is>
      </c>
      <c r="E5594" s="0" t="inlineStr">
        <is>
          <t>DALE:101138C-L</t>
        </is>
      </c>
      <c r="F5594" s="0" t="inlineStr">
        <is>
          <t>'000000000000</t>
        </is>
      </c>
      <c r="G5594" s="0" t="inlineStr">
        <is>
          <t>MENS</t>
        </is>
      </c>
      <c r="H5594" s="0" t="inlineStr">
        <is>
          <t>L</t>
        </is>
      </c>
      <c r="I5594" s="0">
        <v>44.99</v>
      </c>
      <c r="J5594" s="0">
        <v>47</v>
      </c>
    </row>
    <row r="5595" spans="1:10" customHeight="0">
      <c r="A5595" s="0">
        <f>HYPERLINK("https://dl.dropboxusercontent.com/scl/fi/1crf20yv5c8yugdeom8m6/101138-af.jpg?rlkey=blnd4x1zwvp98eihgmeqgp1ra&amp;dl=0","Click to download Image")</f>
      </c>
      <c r="B5595" s="0">
        <f>HYPERLINK("https://dl.dropboxusercontent.com/scl/fi/dj1a4gzix5grmkw0wugud/graphic-update2022-mens.jpg?rlkey=815zcq2knti9h9r62r1dnbbvp&amp;dl=0","Click to download SizeChart")</f>
      </c>
      <c r="C5595" s="0" t="inlineStr">
        <is>
          <t>Dale Men's Polo</t>
        </is>
      </c>
      <c r="D5595" s="0" t="inlineStr">
        <is>
          <t>'101138</t>
        </is>
      </c>
      <c r="E5595" s="0" t="inlineStr">
        <is>
          <t>DALE:101138D-XL</t>
        </is>
      </c>
      <c r="F5595" s="0" t="inlineStr">
        <is>
          <t>'000000000000</t>
        </is>
      </c>
      <c r="G5595" s="0" t="inlineStr">
        <is>
          <t>MENS</t>
        </is>
      </c>
      <c r="H5595" s="0" t="inlineStr">
        <is>
          <t>XL</t>
        </is>
      </c>
      <c r="I5595" s="0">
        <v>44.99</v>
      </c>
      <c r="J5595" s="0">
        <v>51</v>
      </c>
    </row>
    <row r="5596" spans="1:10" customHeight="0">
      <c r="A5596" s="0">
        <f>HYPERLINK("https://dl.dropboxusercontent.com/scl/fi/1crf20yv5c8yugdeom8m6/101138-af.jpg?rlkey=blnd4x1zwvp98eihgmeqgp1ra&amp;dl=0","Click to download Image")</f>
      </c>
      <c r="B5596" s="0">
        <f>HYPERLINK("https://dl.dropboxusercontent.com/scl/fi/dj1a4gzix5grmkw0wugud/graphic-update2022-mens.jpg?rlkey=815zcq2knti9h9r62r1dnbbvp&amp;dl=0","Click to download SizeChart")</f>
      </c>
      <c r="C5596" s="0" t="inlineStr">
        <is>
          <t>Dale Men's Polo</t>
        </is>
      </c>
      <c r="D5596" s="0" t="inlineStr">
        <is>
          <t>'101138</t>
        </is>
      </c>
      <c r="E5596" s="0" t="inlineStr">
        <is>
          <t>DALE:101138E-2XL</t>
        </is>
      </c>
      <c r="F5596" s="0" t="inlineStr">
        <is>
          <t>'000000000000</t>
        </is>
      </c>
      <c r="G5596" s="0" t="inlineStr">
        <is>
          <t>MENS</t>
        </is>
      </c>
      <c r="H5596" s="0" t="inlineStr">
        <is>
          <t>2XL</t>
        </is>
      </c>
      <c r="I5596" s="0">
        <v>46.99</v>
      </c>
      <c r="J5596" s="0">
        <v>40</v>
      </c>
    </row>
    <row r="5597" spans="1:10" customHeight="0">
      <c r="A5597" s="0">
        <f>HYPERLINK("https://dl.dropboxusercontent.com/scl/fi/1crf20yv5c8yugdeom8m6/101138-af.jpg?rlkey=blnd4x1zwvp98eihgmeqgp1ra&amp;dl=0","Click to download Image")</f>
      </c>
      <c r="B5597" s="0">
        <f>HYPERLINK("https://dl.dropboxusercontent.com/scl/fi/dj1a4gzix5grmkw0wugud/graphic-update2022-mens.jpg?rlkey=815zcq2knti9h9r62r1dnbbvp&amp;dl=0","Click to download SizeChart")</f>
      </c>
      <c r="C5597" s="0" t="inlineStr">
        <is>
          <t>Dale Men's Polo</t>
        </is>
      </c>
      <c r="D5597" s="0" t="inlineStr">
        <is>
          <t>'101138</t>
        </is>
      </c>
      <c r="E5597" s="0" t="inlineStr">
        <is>
          <t>DALE:101138F-3XL</t>
        </is>
      </c>
      <c r="F5597" s="0" t="inlineStr">
        <is>
          <t>'000000000000</t>
        </is>
      </c>
      <c r="G5597" s="0" t="inlineStr">
        <is>
          <t>MENS</t>
        </is>
      </c>
      <c r="H5597" s="0" t="inlineStr">
        <is>
          <t>3XL</t>
        </is>
      </c>
      <c r="I5597" s="0">
        <v>46.99</v>
      </c>
      <c r="J5597" s="0">
        <v>17</v>
      </c>
    </row>
    <row r="5598" spans="1:10" customHeight="0">
      <c r="A5598" s="0">
        <f>HYPERLINK("https://dl.dropboxusercontent.com/scl/fi/2775igmg5c1r64z00hkqj/101699-af.jpg?rlkey=e45sqidyebr7u3pipgoxdm14n&amp;dl=0","Click to download Image")</f>
      </c>
      <c r="B5598" s="0">
        <f>HYPERLINK("https://dl.dropboxusercontent.com/scl/fi/dj1a4gzix5grmkw0wugud/graphic-update2022-mens.jpg?rlkey=815zcq2knti9h9r62r1dnbbvp&amp;dl=0","Click to download SizeChart")</f>
      </c>
      <c r="C5598" s="0" t="inlineStr">
        <is>
          <t>Dale Men's Polo</t>
        </is>
      </c>
      <c r="D5598" s="0" t="inlineStr">
        <is>
          <t>'101699</t>
        </is>
      </c>
      <c r="E5598" s="0" t="inlineStr">
        <is>
          <t>DALE:101699A-S</t>
        </is>
      </c>
      <c r="F5598" s="0" t="inlineStr">
        <is>
          <t>'000000000000</t>
        </is>
      </c>
      <c r="G5598" s="0" t="inlineStr">
        <is>
          <t>MENS</t>
        </is>
      </c>
      <c r="H5598" s="0" t="inlineStr">
        <is>
          <t>S</t>
        </is>
      </c>
      <c r="I5598" s="0">
        <v>44.99</v>
      </c>
      <c r="J5598" s="0">
        <v>7</v>
      </c>
    </row>
    <row r="5599" spans="1:10" customHeight="0">
      <c r="A5599" s="0">
        <f>HYPERLINK("https://dl.dropboxusercontent.com/scl/fi/2775igmg5c1r64z00hkqj/101699-af.jpg?rlkey=e45sqidyebr7u3pipgoxdm14n&amp;dl=0","Click to download Image")</f>
      </c>
      <c r="B5599" s="0">
        <f>HYPERLINK("https://dl.dropboxusercontent.com/scl/fi/dj1a4gzix5grmkw0wugud/graphic-update2022-mens.jpg?rlkey=815zcq2knti9h9r62r1dnbbvp&amp;dl=0","Click to download SizeChart")</f>
      </c>
      <c r="C5599" s="0" t="inlineStr">
        <is>
          <t>Dale Men's Polo</t>
        </is>
      </c>
      <c r="D5599" s="0" t="inlineStr">
        <is>
          <t>'101699</t>
        </is>
      </c>
      <c r="E5599" s="0" t="inlineStr">
        <is>
          <t>DALE:101699B-M</t>
        </is>
      </c>
      <c r="F5599" s="0" t="inlineStr">
        <is>
          <t>'000000000000</t>
        </is>
      </c>
      <c r="G5599" s="0" t="inlineStr">
        <is>
          <t>MENS</t>
        </is>
      </c>
      <c r="H5599" s="0" t="inlineStr">
        <is>
          <t>M</t>
        </is>
      </c>
      <c r="I5599" s="0">
        <v>44.99</v>
      </c>
      <c r="J5599" s="0">
        <v>5</v>
      </c>
    </row>
    <row r="5600" spans="1:10" customHeight="0">
      <c r="A5600" s="0">
        <f>HYPERLINK("https://dl.dropboxusercontent.com/scl/fi/2775igmg5c1r64z00hkqj/101699-af.jpg?rlkey=e45sqidyebr7u3pipgoxdm14n&amp;dl=0","Click to download Image")</f>
      </c>
      <c r="B5600" s="0">
        <f>HYPERLINK("https://dl.dropboxusercontent.com/scl/fi/dj1a4gzix5grmkw0wugud/graphic-update2022-mens.jpg?rlkey=815zcq2knti9h9r62r1dnbbvp&amp;dl=0","Click to download SizeChart")</f>
      </c>
      <c r="C5600" s="0" t="inlineStr">
        <is>
          <t>Dale Men's Polo</t>
        </is>
      </c>
      <c r="D5600" s="0" t="inlineStr">
        <is>
          <t>'101699</t>
        </is>
      </c>
      <c r="E5600" s="0" t="inlineStr">
        <is>
          <t>DALE:101699C-L</t>
        </is>
      </c>
      <c r="F5600" s="0" t="inlineStr">
        <is>
          <t>'000000000000</t>
        </is>
      </c>
      <c r="G5600" s="0" t="inlineStr">
        <is>
          <t>MENS</t>
        </is>
      </c>
      <c r="H5600" s="0" t="inlineStr">
        <is>
          <t>L</t>
        </is>
      </c>
      <c r="I5600" s="0">
        <v>44.99</v>
      </c>
      <c r="J5600" s="0">
        <v>0</v>
      </c>
    </row>
    <row r="5601" spans="1:10" customHeight="0">
      <c r="A5601" s="0">
        <f>HYPERLINK("https://dl.dropboxusercontent.com/scl/fi/2775igmg5c1r64z00hkqj/101699-af.jpg?rlkey=e45sqidyebr7u3pipgoxdm14n&amp;dl=0","Click to download Image")</f>
      </c>
      <c r="B5601" s="0">
        <f>HYPERLINK("https://dl.dropboxusercontent.com/scl/fi/dj1a4gzix5grmkw0wugud/graphic-update2022-mens.jpg?rlkey=815zcq2knti9h9r62r1dnbbvp&amp;dl=0","Click to download SizeChart")</f>
      </c>
      <c r="C5601" s="0" t="inlineStr">
        <is>
          <t>Dale Men's Polo</t>
        </is>
      </c>
      <c r="D5601" s="0" t="inlineStr">
        <is>
          <t>'101699</t>
        </is>
      </c>
      <c r="E5601" s="0" t="inlineStr">
        <is>
          <t>DALE:101699D-XL</t>
        </is>
      </c>
      <c r="F5601" s="0" t="inlineStr">
        <is>
          <t>'000000000000</t>
        </is>
      </c>
      <c r="G5601" s="0" t="inlineStr">
        <is>
          <t>MENS</t>
        </is>
      </c>
      <c r="H5601" s="0" t="inlineStr">
        <is>
          <t>XL</t>
        </is>
      </c>
      <c r="I5601" s="0">
        <v>44.99</v>
      </c>
      <c r="J5601" s="0">
        <v>0</v>
      </c>
    </row>
    <row r="5602" spans="1:10" customHeight="0">
      <c r="A5602" s="0">
        <f>HYPERLINK("https://dl.dropboxusercontent.com/scl/fi/2775igmg5c1r64z00hkqj/101699-af.jpg?rlkey=e45sqidyebr7u3pipgoxdm14n&amp;dl=0","Click to download Image")</f>
      </c>
      <c r="B5602" s="0">
        <f>HYPERLINK("https://dl.dropboxusercontent.com/scl/fi/dj1a4gzix5grmkw0wugud/graphic-update2022-mens.jpg?rlkey=815zcq2knti9h9r62r1dnbbvp&amp;dl=0","Click to download SizeChart")</f>
      </c>
      <c r="C5602" s="0" t="inlineStr">
        <is>
          <t>Dale Men's Polo</t>
        </is>
      </c>
      <c r="D5602" s="0" t="inlineStr">
        <is>
          <t>'101699</t>
        </is>
      </c>
      <c r="E5602" s="0" t="inlineStr">
        <is>
          <t>DALE:101699E-2XL</t>
        </is>
      </c>
      <c r="F5602" s="0" t="inlineStr">
        <is>
          <t>'000000000000</t>
        </is>
      </c>
      <c r="G5602" s="0" t="inlineStr">
        <is>
          <t>MENS</t>
        </is>
      </c>
      <c r="H5602" s="0" t="inlineStr">
        <is>
          <t>2XL</t>
        </is>
      </c>
      <c r="I5602" s="0">
        <v>46.99</v>
      </c>
      <c r="J5602" s="0">
        <v>5</v>
      </c>
    </row>
    <row r="5603" spans="1:10" customHeight="0">
      <c r="A5603" s="0">
        <f>HYPERLINK("https://dl.dropboxusercontent.com/scl/fi/2775igmg5c1r64z00hkqj/101699-af.jpg?rlkey=e45sqidyebr7u3pipgoxdm14n&amp;dl=0","Click to download Image")</f>
      </c>
      <c r="B5603" s="0">
        <f>HYPERLINK("https://dl.dropboxusercontent.com/scl/fi/dj1a4gzix5grmkw0wugud/graphic-update2022-mens.jpg?rlkey=815zcq2knti9h9r62r1dnbbvp&amp;dl=0","Click to download SizeChart")</f>
      </c>
      <c r="C5603" s="0" t="inlineStr">
        <is>
          <t>Dale Men's Polo</t>
        </is>
      </c>
      <c r="D5603" s="0" t="inlineStr">
        <is>
          <t>'101699</t>
        </is>
      </c>
      <c r="E5603" s="0" t="inlineStr">
        <is>
          <t>DALE:101699F-3XL</t>
        </is>
      </c>
      <c r="F5603" s="0" t="inlineStr">
        <is>
          <t>'000000000000</t>
        </is>
      </c>
      <c r="G5603" s="0" t="inlineStr">
        <is>
          <t>MENS</t>
        </is>
      </c>
      <c r="H5603" s="0" t="inlineStr">
        <is>
          <t>3XL</t>
        </is>
      </c>
      <c r="I5603" s="0">
        <v>46.99</v>
      </c>
      <c r="J5603" s="0">
        <v>0</v>
      </c>
    </row>
    <row r="5604" spans="1:10" customHeight="0">
      <c r="A5604" s="0">
        <f>HYPERLINK("https://dl.dropboxusercontent.com/scl/fi/xqr9c3hgcknmasfmwdm8h/95538f.jpg?rlkey=kabnmpqcod4ucuf6fxtmeemug&amp;dl=0","Click to download Image")</f>
      </c>
      <c r="C5604" s="0" t="inlineStr">
        <is>
          <t>Samantha Youth Jacket</t>
        </is>
      </c>
      <c r="D5604" s="0" t="inlineStr">
        <is>
          <t>'95538</t>
        </is>
      </c>
      <c r="E5604" s="0" t="inlineStr">
        <is>
          <t>SAMANTHA:95538A-S</t>
        </is>
      </c>
      <c r="F5604" s="0" t="inlineStr">
        <is>
          <t>'000000000000</t>
        </is>
      </c>
      <c r="G5604" s="0" t="inlineStr">
        <is>
          <t>YOUTH</t>
        </is>
      </c>
      <c r="H5604" s="0" t="inlineStr">
        <is>
          <t>YS</t>
        </is>
      </c>
      <c r="I5604" s="0">
        <v>39.99</v>
      </c>
      <c r="J5604" s="0">
        <v>103</v>
      </c>
    </row>
    <row r="5605" spans="1:10" customHeight="0">
      <c r="A5605" s="0">
        <f>HYPERLINK("https://dl.dropboxusercontent.com/scl/fi/xqr9c3hgcknmasfmwdm8h/95538f.jpg?rlkey=kabnmpqcod4ucuf6fxtmeemug&amp;dl=0","Click to download Image")</f>
      </c>
      <c r="C5605" s="0" t="inlineStr">
        <is>
          <t>Samantha Youth Jacket</t>
        </is>
      </c>
      <c r="D5605" s="0" t="inlineStr">
        <is>
          <t>'95538</t>
        </is>
      </c>
      <c r="E5605" s="0" t="inlineStr">
        <is>
          <t>SAMANTHA:95538B-M</t>
        </is>
      </c>
      <c r="F5605" s="0" t="inlineStr">
        <is>
          <t>'000000000000</t>
        </is>
      </c>
      <c r="G5605" s="0" t="inlineStr">
        <is>
          <t>YOUTH</t>
        </is>
      </c>
      <c r="H5605" s="0" t="inlineStr">
        <is>
          <t>YM</t>
        </is>
      </c>
      <c r="I5605" s="0">
        <v>39.99</v>
      </c>
      <c r="J5605" s="0">
        <v>99</v>
      </c>
    </row>
    <row r="5606" spans="1:10" customHeight="0">
      <c r="A5606" s="0">
        <f>HYPERLINK("https://dl.dropboxusercontent.com/scl/fi/xqr9c3hgcknmasfmwdm8h/95538f.jpg?rlkey=kabnmpqcod4ucuf6fxtmeemug&amp;dl=0","Click to download Image")</f>
      </c>
      <c r="C5606" s="0" t="inlineStr">
        <is>
          <t>Samantha Youth Jacket</t>
        </is>
      </c>
      <c r="D5606" s="0" t="inlineStr">
        <is>
          <t>'95538</t>
        </is>
      </c>
      <c r="E5606" s="0" t="inlineStr">
        <is>
          <t>SAMANTHA:95538C-L</t>
        </is>
      </c>
      <c r="F5606" s="0" t="inlineStr">
        <is>
          <t>'000000000000</t>
        </is>
      </c>
      <c r="G5606" s="0" t="inlineStr">
        <is>
          <t>YOUTH</t>
        </is>
      </c>
      <c r="H5606" s="0" t="inlineStr">
        <is>
          <t>YL</t>
        </is>
      </c>
      <c r="I5606" s="0">
        <v>39.99</v>
      </c>
      <c r="J5606" s="0">
        <v>105</v>
      </c>
    </row>
    <row r="5607" spans="1:10" customHeight="0">
      <c r="A5607" s="0">
        <f>HYPERLINK("https://dl.dropboxusercontent.com/scl/fi/xqr9c3hgcknmasfmwdm8h/95538f.jpg?rlkey=kabnmpqcod4ucuf6fxtmeemug&amp;dl=0","Click to download Image")</f>
      </c>
      <c r="C5607" s="0" t="inlineStr">
        <is>
          <t>Samantha Youth Jacket</t>
        </is>
      </c>
      <c r="D5607" s="0" t="inlineStr">
        <is>
          <t>'95538</t>
        </is>
      </c>
      <c r="E5607" s="0" t="inlineStr">
        <is>
          <t>SAMANTHA:95538D-XL</t>
        </is>
      </c>
      <c r="F5607" s="0" t="inlineStr">
        <is>
          <t>'000000000000</t>
        </is>
      </c>
      <c r="G5607" s="0" t="inlineStr">
        <is>
          <t>YOUTH</t>
        </is>
      </c>
      <c r="H5607" s="0" t="inlineStr">
        <is>
          <t>YXL</t>
        </is>
      </c>
      <c r="I5607" s="0">
        <v>39.99</v>
      </c>
      <c r="J5607" s="0">
        <v>108</v>
      </c>
    </row>
    <row r="5608" spans="1:10" customHeight="0">
      <c r="A5608" s="0">
        <f>HYPERLINK("https://dl.dropboxusercontent.com/scl/fi/iakyqc7fxjzf4v8uv9klp/98812-af.jpg?rlkey=6mi397xyndsy6nd7dd4imx6o5&amp;dl=0","Click to download Image")</f>
      </c>
      <c r="B5608" s="0">
        <f>HYPERLINK("https://dl.dropboxusercontent.com/scl/fi/dtldccomwno6b16mj3c1h/graphic-update22022-toddler.jpg?rlkey=ysboxfdixk3x9ukxj88cf9zt1&amp;dl=0","Click to download SizeChart")</f>
      </c>
      <c r="C5608" s="0" t="inlineStr">
        <is>
          <t>Monika Toddler T-Shirt</t>
        </is>
      </c>
      <c r="D5608" s="0" t="inlineStr">
        <is>
          <t>'101917</t>
        </is>
      </c>
      <c r="E5608" s="0" t="inlineStr">
        <is>
          <t>MONICA:101917A-2T</t>
        </is>
      </c>
      <c r="F5608" s="0" t="inlineStr">
        <is>
          <t>'000000000000</t>
        </is>
      </c>
      <c r="G5608" s="0" t="inlineStr">
        <is>
          <t>TODDLER</t>
        </is>
      </c>
      <c r="H5608" s="0" t="inlineStr">
        <is>
          <t>2T</t>
        </is>
      </c>
      <c r="I5608" s="0">
        <v>29.99</v>
      </c>
      <c r="J5608" s="0">
        <v>9</v>
      </c>
    </row>
    <row r="5609" spans="1:10" customHeight="0">
      <c r="A5609" s="0">
        <f>HYPERLINK("https://dl.dropboxusercontent.com/scl/fi/iakyqc7fxjzf4v8uv9klp/98812-af.jpg?rlkey=6mi397xyndsy6nd7dd4imx6o5&amp;dl=0","Click to download Image")</f>
      </c>
      <c r="B5609" s="0">
        <f>HYPERLINK("https://dl.dropboxusercontent.com/scl/fi/dtldccomwno6b16mj3c1h/graphic-update22022-toddler.jpg?rlkey=ysboxfdixk3x9ukxj88cf9zt1&amp;dl=0","Click to download SizeChart")</f>
      </c>
      <c r="C5609" s="0" t="inlineStr">
        <is>
          <t>Monika Toddler T-Shirt</t>
        </is>
      </c>
      <c r="D5609" s="0" t="inlineStr">
        <is>
          <t>'101917</t>
        </is>
      </c>
      <c r="E5609" s="0" t="inlineStr">
        <is>
          <t>MONICA:101917B-3T</t>
        </is>
      </c>
      <c r="F5609" s="0" t="inlineStr">
        <is>
          <t>'000000000000</t>
        </is>
      </c>
      <c r="G5609" s="0" t="inlineStr">
        <is>
          <t>TODDLER</t>
        </is>
      </c>
      <c r="H5609" s="0" t="inlineStr">
        <is>
          <t>3T</t>
        </is>
      </c>
      <c r="I5609" s="0">
        <v>29.99</v>
      </c>
      <c r="J5609" s="0">
        <v>2</v>
      </c>
    </row>
    <row r="5610" spans="1:10" customHeight="0">
      <c r="A5610" s="0">
        <f>HYPERLINK("https://dl.dropboxusercontent.com/scl/fi/iakyqc7fxjzf4v8uv9klp/98812-af.jpg?rlkey=6mi397xyndsy6nd7dd4imx6o5&amp;dl=0","Click to download Image")</f>
      </c>
      <c r="B5610" s="0">
        <f>HYPERLINK("https://dl.dropboxusercontent.com/scl/fi/dtldccomwno6b16mj3c1h/graphic-update22022-toddler.jpg?rlkey=ysboxfdixk3x9ukxj88cf9zt1&amp;dl=0","Click to download SizeChart")</f>
      </c>
      <c r="C5610" s="0" t="inlineStr">
        <is>
          <t>Monika Toddler T-Shirt</t>
        </is>
      </c>
      <c r="D5610" s="0" t="inlineStr">
        <is>
          <t>'101917</t>
        </is>
      </c>
      <c r="E5610" s="0" t="inlineStr">
        <is>
          <t>MONICA:101917C-4T</t>
        </is>
      </c>
      <c r="F5610" s="0" t="inlineStr">
        <is>
          <t>'000000000000</t>
        </is>
      </c>
      <c r="G5610" s="0" t="inlineStr">
        <is>
          <t>TODDLER</t>
        </is>
      </c>
      <c r="H5610" s="0" t="inlineStr">
        <is>
          <t>4T</t>
        </is>
      </c>
      <c r="I5610" s="0">
        <v>29.99</v>
      </c>
      <c r="J5610" s="0">
        <v>8</v>
      </c>
    </row>
    <row r="5611" spans="1:10" customHeight="0">
      <c r="A5611" s="0">
        <f>HYPERLINK("https://dl.dropboxusercontent.com/scl/fi/iakyqc7fxjzf4v8uv9klp/98812-af.jpg?rlkey=6mi397xyndsy6nd7dd4imx6o5&amp;dl=0","Click to download Image")</f>
      </c>
      <c r="B5611" s="0">
        <f>HYPERLINK("https://dl.dropboxusercontent.com/scl/fi/dtldccomwno6b16mj3c1h/graphic-update22022-toddler.jpg?rlkey=ysboxfdixk3x9ukxj88cf9zt1&amp;dl=0","Click to download SizeChart")</f>
      </c>
      <c r="C5611" s="0" t="inlineStr">
        <is>
          <t>Monika Toddler T-Shirt</t>
        </is>
      </c>
      <c r="D5611" s="0" t="inlineStr">
        <is>
          <t>'101917</t>
        </is>
      </c>
      <c r="E5611" s="0" t="inlineStr">
        <is>
          <t>MONICA:101917D-5T</t>
        </is>
      </c>
      <c r="F5611" s="0" t="inlineStr">
        <is>
          <t>'000000000000</t>
        </is>
      </c>
      <c r="G5611" s="0" t="inlineStr">
        <is>
          <t>TODDLER</t>
        </is>
      </c>
      <c r="H5611" s="0" t="inlineStr">
        <is>
          <t>5T</t>
        </is>
      </c>
      <c r="I5611" s="0">
        <v>29.99</v>
      </c>
      <c r="J5611" s="0">
        <v>10</v>
      </c>
    </row>
    <row r="5612" spans="1:10" customHeight="0">
      <c r="A5612" s="0">
        <f>HYPERLINK("https://dl.dropboxusercontent.com/scl/fi/exk1rstwwbkvhuqlgzyye/101627-af.jpg?rlkey=glmgx3tcr80sm0o2uw4knjm18&amp;dl=0","Click to download Image")</f>
      </c>
      <c r="B5612" s="0">
        <f>HYPERLINK("https://dl.dropboxusercontent.com/scl/fi/dtldccomwno6b16mj3c1h/graphic-update22022-toddler.jpg?rlkey=ysboxfdixk3x9ukxj88cf9zt1&amp;dl=0","Click to download SizeChart")</f>
      </c>
      <c r="C5612" s="0" t="inlineStr">
        <is>
          <t>Monika Toddler T-Shirt</t>
        </is>
      </c>
      <c r="D5612" s="0" t="inlineStr">
        <is>
          <t>'101920</t>
        </is>
      </c>
      <c r="E5612" s="0" t="inlineStr">
        <is>
          <t>MONICA:101920A-2T</t>
        </is>
      </c>
      <c r="F5612" s="0" t="inlineStr">
        <is>
          <t>'000000000000</t>
        </is>
      </c>
      <c r="G5612" s="0" t="inlineStr">
        <is>
          <t>TODDLER</t>
        </is>
      </c>
      <c r="H5612" s="0" t="inlineStr">
        <is>
          <t>2T</t>
        </is>
      </c>
      <c r="I5612" s="0">
        <v>29.99</v>
      </c>
      <c r="J5612" s="0">
        <v>19</v>
      </c>
    </row>
    <row r="5613" spans="1:10" customHeight="0">
      <c r="A5613" s="0">
        <f>HYPERLINK("https://dl.dropboxusercontent.com/scl/fi/exk1rstwwbkvhuqlgzyye/101627-af.jpg?rlkey=glmgx3tcr80sm0o2uw4knjm18&amp;dl=0","Click to download Image")</f>
      </c>
      <c r="B5613" s="0">
        <f>HYPERLINK("https://dl.dropboxusercontent.com/scl/fi/dtldccomwno6b16mj3c1h/graphic-update22022-toddler.jpg?rlkey=ysboxfdixk3x9ukxj88cf9zt1&amp;dl=0","Click to download SizeChart")</f>
      </c>
      <c r="C5613" s="0" t="inlineStr">
        <is>
          <t>Monika Toddler T-Shirt</t>
        </is>
      </c>
      <c r="D5613" s="0" t="inlineStr">
        <is>
          <t>'101920</t>
        </is>
      </c>
      <c r="E5613" s="0" t="inlineStr">
        <is>
          <t>MONICA:101920B-3T</t>
        </is>
      </c>
      <c r="F5613" s="0" t="inlineStr">
        <is>
          <t>'000000000000</t>
        </is>
      </c>
      <c r="G5613" s="0" t="inlineStr">
        <is>
          <t>TODDLER</t>
        </is>
      </c>
      <c r="H5613" s="0" t="inlineStr">
        <is>
          <t>3T</t>
        </is>
      </c>
      <c r="I5613" s="0">
        <v>29.99</v>
      </c>
      <c r="J5613" s="0">
        <v>19</v>
      </c>
    </row>
    <row r="5614" spans="1:10" customHeight="0">
      <c r="A5614" s="0">
        <f>HYPERLINK("https://dl.dropboxusercontent.com/scl/fi/exk1rstwwbkvhuqlgzyye/101627-af.jpg?rlkey=glmgx3tcr80sm0o2uw4knjm18&amp;dl=0","Click to download Image")</f>
      </c>
      <c r="B5614" s="0">
        <f>HYPERLINK("https://dl.dropboxusercontent.com/scl/fi/dtldccomwno6b16mj3c1h/graphic-update22022-toddler.jpg?rlkey=ysboxfdixk3x9ukxj88cf9zt1&amp;dl=0","Click to download SizeChart")</f>
      </c>
      <c r="C5614" s="0" t="inlineStr">
        <is>
          <t>Monika Toddler T-Shirt</t>
        </is>
      </c>
      <c r="D5614" s="0" t="inlineStr">
        <is>
          <t>'101920</t>
        </is>
      </c>
      <c r="E5614" s="0" t="inlineStr">
        <is>
          <t>MONICA:101920C-4T</t>
        </is>
      </c>
      <c r="F5614" s="0" t="inlineStr">
        <is>
          <t>'000000000000</t>
        </is>
      </c>
      <c r="G5614" s="0" t="inlineStr">
        <is>
          <t>TODDLER</t>
        </is>
      </c>
      <c r="H5614" s="0" t="inlineStr">
        <is>
          <t>4T</t>
        </is>
      </c>
      <c r="I5614" s="0">
        <v>29.99</v>
      </c>
      <c r="J5614" s="0">
        <v>19</v>
      </c>
    </row>
    <row r="5615" spans="1:10" customHeight="0">
      <c r="A5615" s="0">
        <f>HYPERLINK("https://dl.dropboxusercontent.com/scl/fi/exk1rstwwbkvhuqlgzyye/101627-af.jpg?rlkey=glmgx3tcr80sm0o2uw4knjm18&amp;dl=0","Click to download Image")</f>
      </c>
      <c r="B5615" s="0">
        <f>HYPERLINK("https://dl.dropboxusercontent.com/scl/fi/dtldccomwno6b16mj3c1h/graphic-update22022-toddler.jpg?rlkey=ysboxfdixk3x9ukxj88cf9zt1&amp;dl=0","Click to download SizeChart")</f>
      </c>
      <c r="C5615" s="0" t="inlineStr">
        <is>
          <t>Monika Toddler T-Shirt</t>
        </is>
      </c>
      <c r="D5615" s="0" t="inlineStr">
        <is>
          <t>'101920</t>
        </is>
      </c>
      <c r="E5615" s="0" t="inlineStr">
        <is>
          <t>MONICA:101920D-5T</t>
        </is>
      </c>
      <c r="F5615" s="0" t="inlineStr">
        <is>
          <t>'000000000000</t>
        </is>
      </c>
      <c r="G5615" s="0" t="inlineStr">
        <is>
          <t>TODDLER</t>
        </is>
      </c>
      <c r="H5615" s="0" t="inlineStr">
        <is>
          <t>5T</t>
        </is>
      </c>
      <c r="I5615" s="0">
        <v>29.99</v>
      </c>
      <c r="J5615" s="0">
        <v>18</v>
      </c>
    </row>
    <row r="5616" spans="1:10" customHeight="0">
      <c r="A5616" s="0">
        <f>HYPERLINK("https://dl.dropboxusercontent.com/scl/fi/igj3l1uj6jfny0gfyl1kw/103260-f.jpg?rlkey=pfhn73irkow3vxu9pxwdqmijr&amp;dl=0","Click to download Image")</f>
      </c>
      <c r="C5616" s="0" t="inlineStr">
        <is>
          <t>Sally Women's Polo</t>
        </is>
      </c>
      <c r="D5616" s="0" t="inlineStr">
        <is>
          <t>'103260</t>
        </is>
      </c>
      <c r="E5616" s="0" t="inlineStr">
        <is>
          <t>BLACK BASIC:103260A-S</t>
        </is>
      </c>
      <c r="F5616" s="0" t="inlineStr">
        <is>
          <t>'000000000000</t>
        </is>
      </c>
      <c r="G5616" s="0" t="inlineStr">
        <is>
          <t>WOMENS</t>
        </is>
      </c>
      <c r="H5616" s="0" t="inlineStr">
        <is>
          <t>S</t>
        </is>
      </c>
      <c r="I5616" s="0">
        <v>44.99</v>
      </c>
      <c r="J5616" s="0">
        <v>14</v>
      </c>
    </row>
    <row r="5617" spans="1:10" customHeight="0">
      <c r="A5617" s="0">
        <f>HYPERLINK("https://dl.dropboxusercontent.com/scl/fi/igj3l1uj6jfny0gfyl1kw/103260-f.jpg?rlkey=pfhn73irkow3vxu9pxwdqmijr&amp;dl=0","Click to download Image")</f>
      </c>
      <c r="C5617" s="0" t="inlineStr">
        <is>
          <t>Sally Women's Polo</t>
        </is>
      </c>
      <c r="D5617" s="0" t="inlineStr">
        <is>
          <t>'103260</t>
        </is>
      </c>
      <c r="E5617" s="0" t="inlineStr">
        <is>
          <t>BLACK BASIC:103260B-M</t>
        </is>
      </c>
      <c r="F5617" s="0" t="inlineStr">
        <is>
          <t>'000000000000</t>
        </is>
      </c>
      <c r="G5617" s="0" t="inlineStr">
        <is>
          <t>WOMENS</t>
        </is>
      </c>
      <c r="H5617" s="0" t="inlineStr">
        <is>
          <t>M</t>
        </is>
      </c>
      <c r="I5617" s="0">
        <v>44.99</v>
      </c>
      <c r="J5617" s="0">
        <v>19</v>
      </c>
    </row>
    <row r="5618" spans="1:10" customHeight="0">
      <c r="A5618" s="0">
        <f>HYPERLINK("https://dl.dropboxusercontent.com/scl/fi/igj3l1uj6jfny0gfyl1kw/103260-f.jpg?rlkey=pfhn73irkow3vxu9pxwdqmijr&amp;dl=0","Click to download Image")</f>
      </c>
      <c r="C5618" s="0" t="inlineStr">
        <is>
          <t>Sally Women's Polo</t>
        </is>
      </c>
      <c r="D5618" s="0" t="inlineStr">
        <is>
          <t>'103260</t>
        </is>
      </c>
      <c r="E5618" s="0" t="inlineStr">
        <is>
          <t>BLACK BASIC:103260C-L</t>
        </is>
      </c>
      <c r="F5618" s="0" t="inlineStr">
        <is>
          <t>'000000000000</t>
        </is>
      </c>
      <c r="G5618" s="0" t="inlineStr">
        <is>
          <t>WOMENS</t>
        </is>
      </c>
      <c r="H5618" s="0" t="inlineStr">
        <is>
          <t>L</t>
        </is>
      </c>
      <c r="I5618" s="0">
        <v>44.99</v>
      </c>
      <c r="J5618" s="0">
        <v>40</v>
      </c>
    </row>
    <row r="5619" spans="1:10" customHeight="0">
      <c r="A5619" s="0">
        <f>HYPERLINK("https://dl.dropboxusercontent.com/scl/fi/igj3l1uj6jfny0gfyl1kw/103260-f.jpg?rlkey=pfhn73irkow3vxu9pxwdqmijr&amp;dl=0","Click to download Image")</f>
      </c>
      <c r="C5619" s="0" t="inlineStr">
        <is>
          <t>Sally Women's Polo</t>
        </is>
      </c>
      <c r="D5619" s="0" t="inlineStr">
        <is>
          <t>'103260</t>
        </is>
      </c>
      <c r="E5619" s="0" t="inlineStr">
        <is>
          <t>BLACK BASIC:103260D-XL</t>
        </is>
      </c>
      <c r="F5619" s="0" t="inlineStr">
        <is>
          <t>'000000000000</t>
        </is>
      </c>
      <c r="G5619" s="0" t="inlineStr">
        <is>
          <t>WOMENS</t>
        </is>
      </c>
      <c r="H5619" s="0" t="inlineStr">
        <is>
          <t>XL</t>
        </is>
      </c>
      <c r="I5619" s="0">
        <v>44.99</v>
      </c>
      <c r="J5619" s="0">
        <v>40</v>
      </c>
    </row>
    <row r="5620" spans="1:10" customHeight="0">
      <c r="A5620" s="0">
        <f>HYPERLINK("https://dl.dropboxusercontent.com/scl/fi/igj3l1uj6jfny0gfyl1kw/103260-f.jpg?rlkey=pfhn73irkow3vxu9pxwdqmijr&amp;dl=0","Click to download Image")</f>
      </c>
      <c r="C5620" s="0" t="inlineStr">
        <is>
          <t>Sally Women's Polo</t>
        </is>
      </c>
      <c r="D5620" s="0" t="inlineStr">
        <is>
          <t>'103260</t>
        </is>
      </c>
      <c r="E5620" s="0" t="inlineStr">
        <is>
          <t>BLACK BASIC:103260E-2XL</t>
        </is>
      </c>
      <c r="F5620" s="0" t="inlineStr">
        <is>
          <t>'000000000000</t>
        </is>
      </c>
      <c r="G5620" s="0" t="inlineStr">
        <is>
          <t>WOMENS</t>
        </is>
      </c>
      <c r="H5620" s="0" t="inlineStr">
        <is>
          <t>2XL</t>
        </is>
      </c>
      <c r="I5620" s="0">
        <v>44.99</v>
      </c>
      <c r="J5620" s="0">
        <v>20</v>
      </c>
    </row>
    <row r="5621" spans="1:10" customHeight="0">
      <c r="A5621" s="0">
        <f>HYPERLINK("https://dl.dropboxusercontent.com/scl/fi/igj3l1uj6jfny0gfyl1kw/103260-f.jpg?rlkey=pfhn73irkow3vxu9pxwdqmijr&amp;dl=0","Click to download Image")</f>
      </c>
      <c r="C5621" s="0" t="inlineStr">
        <is>
          <t>Sally Women's Polo</t>
        </is>
      </c>
      <c r="D5621" s="0" t="inlineStr">
        <is>
          <t>'103260</t>
        </is>
      </c>
      <c r="E5621" s="0" t="inlineStr">
        <is>
          <t>BLACK BASIC:103260F-3XL</t>
        </is>
      </c>
      <c r="F5621" s="0" t="inlineStr">
        <is>
          <t>'000000000000</t>
        </is>
      </c>
      <c r="G5621" s="0" t="inlineStr">
        <is>
          <t>WOMENS</t>
        </is>
      </c>
      <c r="H5621" s="0" t="inlineStr">
        <is>
          <t>3XL</t>
        </is>
      </c>
      <c r="I5621" s="0">
        <v>44.99</v>
      </c>
      <c r="J5621" s="0">
        <v>15</v>
      </c>
    </row>
    <row r="5622" spans="1:10" customHeight="0">
      <c r="A5622" s="0">
        <f>HYPERLINK("https://dl.dropboxusercontent.com/scl/fi/1exckac7sfhicc1gzf877/103259-f.jpg?rlkey=rfypr3krcfwyj3rlrlxd17vhv&amp;dl=0","Click to download Image")</f>
      </c>
      <c r="C5622" s="0" t="inlineStr">
        <is>
          <t>Sal Men's Polo</t>
        </is>
      </c>
      <c r="D5622" s="0" t="inlineStr">
        <is>
          <t>'103259</t>
        </is>
      </c>
      <c r="E5622" s="0" t="inlineStr">
        <is>
          <t>BLACK BASIC:103259A-S</t>
        </is>
      </c>
      <c r="F5622" s="0" t="inlineStr">
        <is>
          <t>'000000000000</t>
        </is>
      </c>
      <c r="G5622" s="0" t="inlineStr">
        <is>
          <t>MENS</t>
        </is>
      </c>
      <c r="H5622" s="0" t="inlineStr">
        <is>
          <t>S</t>
        </is>
      </c>
      <c r="I5622" s="0">
        <v>44.99</v>
      </c>
      <c r="J5622" s="0">
        <v>15</v>
      </c>
    </row>
    <row r="5623" spans="1:10" customHeight="0">
      <c r="A5623" s="0">
        <f>HYPERLINK("https://dl.dropboxusercontent.com/scl/fi/1exckac7sfhicc1gzf877/103259-f.jpg?rlkey=rfypr3krcfwyj3rlrlxd17vhv&amp;dl=0","Click to download Image")</f>
      </c>
      <c r="C5623" s="0" t="inlineStr">
        <is>
          <t>Sal Men's Polo</t>
        </is>
      </c>
      <c r="D5623" s="0" t="inlineStr">
        <is>
          <t>'103259</t>
        </is>
      </c>
      <c r="E5623" s="0" t="inlineStr">
        <is>
          <t>BLACK BASIC:103259B-M</t>
        </is>
      </c>
      <c r="F5623" s="0" t="inlineStr">
        <is>
          <t>'000000000000</t>
        </is>
      </c>
      <c r="G5623" s="0" t="inlineStr">
        <is>
          <t>MENS</t>
        </is>
      </c>
      <c r="H5623" s="0" t="inlineStr">
        <is>
          <t>M</t>
        </is>
      </c>
      <c r="I5623" s="0">
        <v>44.99</v>
      </c>
      <c r="J5623" s="0">
        <v>19</v>
      </c>
    </row>
    <row r="5624" spans="1:10" customHeight="0">
      <c r="A5624" s="0">
        <f>HYPERLINK("https://dl.dropboxusercontent.com/scl/fi/1exckac7sfhicc1gzf877/103259-f.jpg?rlkey=rfypr3krcfwyj3rlrlxd17vhv&amp;dl=0","Click to download Image")</f>
      </c>
      <c r="C5624" s="0" t="inlineStr">
        <is>
          <t>Sal Men's Polo</t>
        </is>
      </c>
      <c r="D5624" s="0" t="inlineStr">
        <is>
          <t>'103259</t>
        </is>
      </c>
      <c r="E5624" s="0" t="inlineStr">
        <is>
          <t>BLACK BASIC:103259C-L</t>
        </is>
      </c>
      <c r="F5624" s="0" t="inlineStr">
        <is>
          <t>'000000000000</t>
        </is>
      </c>
      <c r="G5624" s="0" t="inlineStr">
        <is>
          <t>MENS</t>
        </is>
      </c>
      <c r="H5624" s="0" t="inlineStr">
        <is>
          <t>L</t>
        </is>
      </c>
      <c r="I5624" s="0">
        <v>44.99</v>
      </c>
      <c r="J5624" s="0">
        <v>32</v>
      </c>
    </row>
    <row r="5625" spans="1:10" customHeight="0">
      <c r="A5625" s="0">
        <f>HYPERLINK("https://dl.dropboxusercontent.com/scl/fi/1exckac7sfhicc1gzf877/103259-f.jpg?rlkey=rfypr3krcfwyj3rlrlxd17vhv&amp;dl=0","Click to download Image")</f>
      </c>
      <c r="C5625" s="0" t="inlineStr">
        <is>
          <t>Sal Men's Polo</t>
        </is>
      </c>
      <c r="D5625" s="0" t="inlineStr">
        <is>
          <t>'103259</t>
        </is>
      </c>
      <c r="E5625" s="0" t="inlineStr">
        <is>
          <t>BLACK BASIC:103259D-XL</t>
        </is>
      </c>
      <c r="F5625" s="0" t="inlineStr">
        <is>
          <t>'000000000000</t>
        </is>
      </c>
      <c r="G5625" s="0" t="inlineStr">
        <is>
          <t>MENS</t>
        </is>
      </c>
      <c r="H5625" s="0" t="inlineStr">
        <is>
          <t>XL</t>
        </is>
      </c>
      <c r="I5625" s="0">
        <v>44.99</v>
      </c>
      <c r="J5625" s="0">
        <v>36</v>
      </c>
    </row>
    <row r="5626" spans="1:10" customHeight="0">
      <c r="A5626" s="0">
        <f>HYPERLINK("https://dl.dropboxusercontent.com/scl/fi/1exckac7sfhicc1gzf877/103259-f.jpg?rlkey=rfypr3krcfwyj3rlrlxd17vhv&amp;dl=0","Click to download Image")</f>
      </c>
      <c r="C5626" s="0" t="inlineStr">
        <is>
          <t>Sal Men's Polo</t>
        </is>
      </c>
      <c r="D5626" s="0" t="inlineStr">
        <is>
          <t>'103259</t>
        </is>
      </c>
      <c r="E5626" s="0" t="inlineStr">
        <is>
          <t>BLACK BASIC:103259E-2XL</t>
        </is>
      </c>
      <c r="F5626" s="0" t="inlineStr">
        <is>
          <t>'000000000000</t>
        </is>
      </c>
      <c r="G5626" s="0" t="inlineStr">
        <is>
          <t>MENS</t>
        </is>
      </c>
      <c r="H5626" s="0" t="inlineStr">
        <is>
          <t>2XL</t>
        </is>
      </c>
      <c r="I5626" s="0">
        <v>46.99</v>
      </c>
      <c r="J5626" s="0">
        <v>16</v>
      </c>
    </row>
    <row r="5627" spans="1:10" customHeight="0">
      <c r="A5627" s="0">
        <f>HYPERLINK("https://dl.dropboxusercontent.com/scl/fi/1exckac7sfhicc1gzf877/103259-f.jpg?rlkey=rfypr3krcfwyj3rlrlxd17vhv&amp;dl=0","Click to download Image")</f>
      </c>
      <c r="C5627" s="0" t="inlineStr">
        <is>
          <t>Sal Men's Polo</t>
        </is>
      </c>
      <c r="D5627" s="0" t="inlineStr">
        <is>
          <t>'103259</t>
        </is>
      </c>
      <c r="E5627" s="0" t="inlineStr">
        <is>
          <t>BLACK BASIC:103259F-3XL</t>
        </is>
      </c>
      <c r="F5627" s="0" t="inlineStr">
        <is>
          <t>'000000000000</t>
        </is>
      </c>
      <c r="G5627" s="0" t="inlineStr">
        <is>
          <t>MENS</t>
        </is>
      </c>
      <c r="H5627" s="0" t="inlineStr">
        <is>
          <t>3XL</t>
        </is>
      </c>
      <c r="I5627" s="0">
        <v>46.99</v>
      </c>
      <c r="J5627" s="0">
        <v>14</v>
      </c>
    </row>
    <row r="5628" spans="1:10" customHeight="0">
      <c r="A5628" s="0">
        <f>HYPERLINK("https://dl.dropboxusercontent.com/scl/fi/kc3uvef6750y9i0wc81mv/sage.jpg?rlkey=n45lkzyxyvnhzlmuyi8ax4dzi&amp;dl=0","Click to download Image")</f>
      </c>
      <c r="B5628" s="0">
        <f>HYPERLINK("https://dl.dropboxusercontent.com/scl/fi/vizl2y3v84zw6ikbpg44b/size-chartyouth-e.jpg?rlkey=qqcpk3zwadnx1wi94zmjpvp1l&amp;dl=0","Click to download SizeChart")</f>
      </c>
      <c r="C5628" s="0" t="inlineStr">
        <is>
          <t>Sage Youth Athletic Shorts</t>
        </is>
      </c>
      <c r="D5628" s="0" t="inlineStr">
        <is>
          <t>'96929</t>
        </is>
      </c>
      <c r="E5628" s="0" t="inlineStr">
        <is>
          <t>SAGE:96929A-S</t>
        </is>
      </c>
      <c r="F5628" s="0" t="inlineStr">
        <is>
          <t>'000000000000</t>
        </is>
      </c>
      <c r="G5628" s="0" t="inlineStr">
        <is>
          <t>YOUTH</t>
        </is>
      </c>
      <c r="H5628" s="0" t="inlineStr">
        <is>
          <t>YS</t>
        </is>
      </c>
      <c r="I5628" s="0">
        <v>32.99</v>
      </c>
      <c r="J5628" s="0">
        <v>35</v>
      </c>
    </row>
    <row r="5629" spans="1:10" customHeight="0">
      <c r="A5629" s="0">
        <f>HYPERLINK("https://dl.dropboxusercontent.com/scl/fi/kc3uvef6750y9i0wc81mv/sage.jpg?rlkey=n45lkzyxyvnhzlmuyi8ax4dzi&amp;dl=0","Click to download Image")</f>
      </c>
      <c r="B5629" s="0">
        <f>HYPERLINK("https://dl.dropboxusercontent.com/scl/fi/vizl2y3v84zw6ikbpg44b/size-chartyouth-e.jpg?rlkey=qqcpk3zwadnx1wi94zmjpvp1l&amp;dl=0","Click to download SizeChart")</f>
      </c>
      <c r="C5629" s="0" t="inlineStr">
        <is>
          <t>Sage Youth Athletic Shorts</t>
        </is>
      </c>
      <c r="D5629" s="0" t="inlineStr">
        <is>
          <t>'96929</t>
        </is>
      </c>
      <c r="E5629" s="0" t="inlineStr">
        <is>
          <t>SAGE:96929B-M</t>
        </is>
      </c>
      <c r="F5629" s="0" t="inlineStr">
        <is>
          <t>'000000000000</t>
        </is>
      </c>
      <c r="G5629" s="0" t="inlineStr">
        <is>
          <t>YOUTH</t>
        </is>
      </c>
      <c r="H5629" s="0" t="inlineStr">
        <is>
          <t>YM</t>
        </is>
      </c>
      <c r="I5629" s="0">
        <v>32.99</v>
      </c>
      <c r="J5629" s="0">
        <v>36</v>
      </c>
    </row>
    <row r="5630" spans="1:10" customHeight="0">
      <c r="A5630" s="0">
        <f>HYPERLINK("https://dl.dropboxusercontent.com/scl/fi/kc3uvef6750y9i0wc81mv/sage.jpg?rlkey=n45lkzyxyvnhzlmuyi8ax4dzi&amp;dl=0","Click to download Image")</f>
      </c>
      <c r="B5630" s="0">
        <f>HYPERLINK("https://dl.dropboxusercontent.com/scl/fi/vizl2y3v84zw6ikbpg44b/size-chartyouth-e.jpg?rlkey=qqcpk3zwadnx1wi94zmjpvp1l&amp;dl=0","Click to download SizeChart")</f>
      </c>
      <c r="C5630" s="0" t="inlineStr">
        <is>
          <t>Sage Youth Athletic Shorts</t>
        </is>
      </c>
      <c r="D5630" s="0" t="inlineStr">
        <is>
          <t>'96929</t>
        </is>
      </c>
      <c r="E5630" s="0" t="inlineStr">
        <is>
          <t>SAGE:96929C-L</t>
        </is>
      </c>
      <c r="F5630" s="0" t="inlineStr">
        <is>
          <t>'000000000000</t>
        </is>
      </c>
      <c r="G5630" s="0" t="inlineStr">
        <is>
          <t>YOUTH</t>
        </is>
      </c>
      <c r="H5630" s="0" t="inlineStr">
        <is>
          <t>YL</t>
        </is>
      </c>
      <c r="I5630" s="0">
        <v>32.99</v>
      </c>
      <c r="J5630" s="0">
        <v>37</v>
      </c>
    </row>
    <row r="5631" spans="1:10" customHeight="0">
      <c r="A5631" s="0">
        <f>HYPERLINK("https://dl.dropboxusercontent.com/scl/fi/kc3uvef6750y9i0wc81mv/sage.jpg?rlkey=n45lkzyxyvnhzlmuyi8ax4dzi&amp;dl=0","Click to download Image")</f>
      </c>
      <c r="B5631" s="0">
        <f>HYPERLINK("https://dl.dropboxusercontent.com/scl/fi/vizl2y3v84zw6ikbpg44b/size-chartyouth-e.jpg?rlkey=qqcpk3zwadnx1wi94zmjpvp1l&amp;dl=0","Click to download SizeChart")</f>
      </c>
      <c r="C5631" s="0" t="inlineStr">
        <is>
          <t>Sage Youth Athletic Shorts</t>
        </is>
      </c>
      <c r="D5631" s="0" t="inlineStr">
        <is>
          <t>'96929</t>
        </is>
      </c>
      <c r="E5631" s="0" t="inlineStr">
        <is>
          <t>SAGE:96929D-XL</t>
        </is>
      </c>
      <c r="F5631" s="0" t="inlineStr">
        <is>
          <t>'000000000000</t>
        </is>
      </c>
      <c r="G5631" s="0" t="inlineStr">
        <is>
          <t>YOUTH</t>
        </is>
      </c>
      <c r="H5631" s="0" t="inlineStr">
        <is>
          <t>YXL</t>
        </is>
      </c>
      <c r="I5631" s="0">
        <v>32.99</v>
      </c>
      <c r="J5631" s="0">
        <v>37</v>
      </c>
    </row>
    <row r="5632" spans="1:10" customHeight="0">
      <c r="A5632" s="0">
        <f>HYPERLINK("https://dl.dropboxusercontent.com/scl/fi/wzi5ho88a3l54qgms7gz5/99843f.jpg?rlkey=tdl8uglzyhz8s58buftj9ab3r&amp;dl=0","Click to download Image")</f>
      </c>
      <c r="C5632" s="0" t="inlineStr">
        <is>
          <t>Hayes Infant Bucket Hat</t>
        </is>
      </c>
      <c r="D5632" s="0" t="inlineStr">
        <is>
          <t>'99843</t>
        </is>
      </c>
      <c r="E5632" s="0" t="inlineStr">
        <is>
          <t>HAYES:99843</t>
        </is>
      </c>
      <c r="F5632" s="0" t="inlineStr">
        <is>
          <t>'070009984301</t>
        </is>
      </c>
      <c r="G5632" s="0" t="inlineStr">
        <is>
          <t>INFANT</t>
        </is>
      </c>
      <c r="H5632" s="0" t="inlineStr">
        <is>
          <t>INFANT</t>
        </is>
      </c>
      <c r="I5632" s="0">
        <v>14.99</v>
      </c>
      <c r="J5632" s="0">
        <v>178</v>
      </c>
    </row>
    <row r="5633" spans="1:10" customHeight="0">
      <c r="A5633" s="0">
        <f>HYPERLINK("https://dl.dropboxusercontent.com/scl/fi/xrjba4l8en6a8fqa6g6pa/101773af.jpg?rlkey=3asiwxx6fpkwlcfjj8oad3iwi&amp;dl=0","Click to download Image")</f>
      </c>
      <c r="B5633" s="0">
        <f>HYPERLINK("https://dl.dropboxusercontent.com/scl/fi/1muksa4xl3kg7dgbgx14r/size-charts-women-s-standard-fitted-hoodie.jpg?rlkey=8ouhesiv8e0n2jhh324d22q19&amp;dl=0","Click to download SizeChart")</f>
      </c>
      <c r="C5633" s="0" t="inlineStr">
        <is>
          <t>Gretta Women's Hoodie</t>
        </is>
      </c>
      <c r="D5633" s="0" t="inlineStr">
        <is>
          <t>'101773</t>
        </is>
      </c>
      <c r="E5633" s="0" t="inlineStr">
        <is>
          <t>GRETTA:101773C-L</t>
        </is>
      </c>
      <c r="F5633" s="0" t="inlineStr">
        <is>
          <t>'080010177303</t>
        </is>
      </c>
      <c r="G5633" s="0" t="inlineStr">
        <is>
          <t>WOMENS</t>
        </is>
      </c>
      <c r="H5633" s="0" t="inlineStr">
        <is>
          <t>L</t>
        </is>
      </c>
      <c r="I5633" s="0">
        <v>52.99</v>
      </c>
      <c r="J5633" s="0">
        <v>13</v>
      </c>
    </row>
    <row r="5634" spans="1:10" customHeight="0">
      <c r="A5634" s="0">
        <f>HYPERLINK("https://dl.dropboxusercontent.com/scl/fi/fhrx56r2nknzquauzaqty/sage.jpg?rlkey=bk4ufisij1u488nhfcl5elt6s&amp;dl=0","Click to download Image")</f>
      </c>
      <c r="C5634" s="0" t="inlineStr">
        <is>
          <t>Stella Head Tie</t>
        </is>
      </c>
      <c r="D5634" s="0" t="inlineStr">
        <is>
          <t>'96919</t>
        </is>
      </c>
      <c r="E5634" s="0" t="inlineStr">
        <is>
          <t>STELLA:96919</t>
        </is>
      </c>
      <c r="F5634" s="0" t="inlineStr">
        <is>
          <t>'000000000000</t>
        </is>
      </c>
      <c r="G5634" s="0" t="inlineStr">
        <is>
          <t>WOMENS</t>
        </is>
      </c>
      <c r="H5634" s="0" t="inlineStr">
        <is>
          <t>OSFM</t>
        </is>
      </c>
      <c r="I5634" s="0">
        <v>19.99</v>
      </c>
      <c r="J5634" s="0">
        <v>71</v>
      </c>
    </row>
    <row r="5635" spans="1:10" customHeight="0">
      <c r="A5635" s="0">
        <f>HYPERLINK("https://dl.dropboxusercontent.com/scl/fi/aerk6ik38p23s6kft0dxx/99830af.jpg?rlkey=chh4tsg6p09s7ibh517vv5l5h&amp;dl=0","Click to download Image")</f>
      </c>
      <c r="C5635" s="0" t="inlineStr">
        <is>
          <t>Hudson Youth Cap</t>
        </is>
      </c>
      <c r="D5635" s="0" t="inlineStr">
        <is>
          <t>'99830-Y</t>
        </is>
      </c>
      <c r="E5635" s="0" t="inlineStr">
        <is>
          <t>HUDSON:99830-Y</t>
        </is>
      </c>
      <c r="F5635" s="0" t="inlineStr">
        <is>
          <t>'000000000000</t>
        </is>
      </c>
      <c r="G5635" s="0" t="inlineStr">
        <is>
          <t>YOUTH</t>
        </is>
      </c>
      <c r="H5635" s="0" t="inlineStr">
        <is>
          <t>YOUTH</t>
        </is>
      </c>
      <c r="I5635" s="0">
        <v>21.99</v>
      </c>
      <c r="J5635" s="0">
        <v>94</v>
      </c>
    </row>
    <row r="5636" spans="1:10" customHeight="0">
      <c r="A5636" s="0">
        <f>HYPERLINK("https://dl.dropboxusercontent.com/scl/fi/19yhc0ilmr0cvt6kikyz7/99889af.jpg?rlkey=enq1k284op12vhlaggtfurtcs&amp;dl=0","Click to download Image")</f>
      </c>
      <c r="C5636" s="0" t="inlineStr">
        <is>
          <t>Hudson Youth Cap</t>
        </is>
      </c>
      <c r="D5636" s="0" t="inlineStr">
        <is>
          <t>'99889-Y</t>
        </is>
      </c>
      <c r="E5636" s="0" t="inlineStr">
        <is>
          <t>HUDSON:99889-Y</t>
        </is>
      </c>
      <c r="F5636" s="0" t="inlineStr">
        <is>
          <t>'000000000000</t>
        </is>
      </c>
      <c r="G5636" s="0" t="inlineStr">
        <is>
          <t>YOUTH</t>
        </is>
      </c>
      <c r="H5636" s="0" t="inlineStr">
        <is>
          <t>YOUTH</t>
        </is>
      </c>
      <c r="I5636" s="0">
        <v>21.99</v>
      </c>
      <c r="J5636" s="0">
        <v>81</v>
      </c>
    </row>
    <row r="5637" spans="1:10" customHeight="0">
      <c r="A5637" s="0">
        <f>HYPERLINK("https://dl.dropboxusercontent.com/scl/fi/p3ivwfohgi79zwz6khduy/ryan.jpg?rlkey=xayq04197fls82sc7zahtco4t&amp;dl=0","Click to download Image")</f>
      </c>
      <c r="C5637" s="0" t="inlineStr">
        <is>
          <t>Ryan Youth Stretch Fit Cap</t>
        </is>
      </c>
      <c r="D5637" s="0" t="inlineStr">
        <is>
          <t>'97844</t>
        </is>
      </c>
      <c r="E5637" s="0" t="inlineStr">
        <is>
          <t>RYAN:97844Y</t>
        </is>
      </c>
      <c r="F5637" s="0" t="inlineStr">
        <is>
          <t>'000000000000</t>
        </is>
      </c>
      <c r="G5637" s="0" t="inlineStr">
        <is>
          <t>YOUTH</t>
        </is>
      </c>
      <c r="H5637" s="0" t="inlineStr">
        <is>
          <t>YOUTH</t>
        </is>
      </c>
      <c r="I5637" s="0">
        <v>24.99</v>
      </c>
      <c r="J5637" s="0">
        <v>94</v>
      </c>
    </row>
    <row r="5638" spans="1:10" customHeight="0">
      <c r="A5638" s="0">
        <f>HYPERLINK("https://dl.dropboxusercontent.com/scl/fi/7epca2s75e98qi9lxdfr1/99830af.jpg?rlkey=lra5of25lzfpraopv58zwc8bz&amp;dl=0","Click to download Image")</f>
      </c>
      <c r="C5638" s="0" t="inlineStr">
        <is>
          <t>Hudson Toddler Cap</t>
        </is>
      </c>
      <c r="D5638" s="0" t="inlineStr">
        <is>
          <t>'100675-T</t>
        </is>
      </c>
      <c r="E5638" s="0" t="inlineStr">
        <is>
          <t>HUDSON:100675-T</t>
        </is>
      </c>
      <c r="F5638" s="0" t="inlineStr">
        <is>
          <t>'000000000000</t>
        </is>
      </c>
      <c r="G5638" s="0" t="inlineStr">
        <is>
          <t>TODDLER</t>
        </is>
      </c>
      <c r="H5638" s="0" t="inlineStr">
        <is>
          <t>TODDLER</t>
        </is>
      </c>
      <c r="I5638" s="0">
        <v>21.99</v>
      </c>
      <c r="J5638" s="0">
        <v>54</v>
      </c>
    </row>
    <row r="5639" spans="1:10" customHeight="0">
      <c r="A5639" s="0">
        <f>HYPERLINK("https://dl.dropboxusercontent.com/scl/fi/besh6cb8en00kblzneag3/99889af.jpg?rlkey=x2w6rtue3yqinhk9j5bixb6gq&amp;dl=0","Click to download Image")</f>
      </c>
      <c r="C5639" s="0" t="inlineStr">
        <is>
          <t>Hudson Toddler Cap</t>
        </is>
      </c>
      <c r="D5639" s="0" t="inlineStr">
        <is>
          <t>'100674-T</t>
        </is>
      </c>
      <c r="E5639" s="0" t="inlineStr">
        <is>
          <t>HUDSON:100674-T</t>
        </is>
      </c>
      <c r="F5639" s="0" t="inlineStr">
        <is>
          <t>'000000000000</t>
        </is>
      </c>
      <c r="G5639" s="0" t="inlineStr">
        <is>
          <t>TODDLER</t>
        </is>
      </c>
      <c r="H5639" s="0" t="inlineStr">
        <is>
          <t>TODDLER</t>
        </is>
      </c>
      <c r="I5639" s="0">
        <v>21.99</v>
      </c>
      <c r="J5639" s="0">
        <v>108</v>
      </c>
    </row>
    <row r="5640" spans="1:10" customHeight="0">
      <c r="A5640" s="0">
        <f>HYPERLINK("https://dl.dropboxusercontent.com/scl/fi/uymz1l50ye3ll4p35z7vo/94564af26994.jpg?rlkey=ngkhbu8whspp7yw3klpmc4mqb&amp;dl=0","Click to download Image")</f>
      </c>
      <c r="B5640" s="0">
        <f>HYPERLINK("https://dl.dropboxusercontent.com/scl/fi/a72zkzcz6z6jry8n0rup6/size-chartyouth-a.jpg?rlkey=amers1vb50i7nuvmhyi122kgp&amp;dl=0","Click to download SizeChart")</f>
      </c>
      <c r="C5640" s="0" t="inlineStr">
        <is>
          <t>Rucker Toddler Hooded Shirt</t>
        </is>
      </c>
      <c r="D5640" s="0" t="inlineStr">
        <is>
          <t>'95355</t>
        </is>
      </c>
      <c r="E5640" s="0" t="inlineStr">
        <is>
          <t>RUCKER TODDLER:95355B-3T</t>
        </is>
      </c>
      <c r="F5640" s="0" t="inlineStr">
        <is>
          <t>'000000000000</t>
        </is>
      </c>
      <c r="G5640" s="0" t="inlineStr">
        <is>
          <t>TODDLER</t>
        </is>
      </c>
      <c r="H5640" s="0" t="inlineStr">
        <is>
          <t>3T</t>
        </is>
      </c>
      <c r="I5640" s="0">
        <v>39.99</v>
      </c>
      <c r="J5640" s="0">
        <v>5</v>
      </c>
    </row>
    <row r="5641" spans="1:10" customHeight="0">
      <c r="A5641" s="0">
        <f>HYPERLINK("https://dl.dropboxusercontent.com/scl/fi/uymz1l50ye3ll4p35z7vo/94564af26994.jpg?rlkey=ngkhbu8whspp7yw3klpmc4mqb&amp;dl=0","Click to download Image")</f>
      </c>
      <c r="B5641" s="0">
        <f>HYPERLINK("https://dl.dropboxusercontent.com/scl/fi/a72zkzcz6z6jry8n0rup6/size-chartyouth-a.jpg?rlkey=amers1vb50i7nuvmhyi122kgp&amp;dl=0","Click to download SizeChart")</f>
      </c>
      <c r="C5641" s="0" t="inlineStr">
        <is>
          <t>Rucker Toddler Hooded Shirt</t>
        </is>
      </c>
      <c r="D5641" s="0" t="inlineStr">
        <is>
          <t>'95355</t>
        </is>
      </c>
      <c r="E5641" s="0" t="inlineStr">
        <is>
          <t>RUCKER TODDLER:95355C-4T</t>
        </is>
      </c>
      <c r="F5641" s="0" t="inlineStr">
        <is>
          <t>'000000000000</t>
        </is>
      </c>
      <c r="G5641" s="0" t="inlineStr">
        <is>
          <t>TODDLER</t>
        </is>
      </c>
      <c r="H5641" s="0" t="inlineStr">
        <is>
          <t>4T</t>
        </is>
      </c>
      <c r="I5641" s="0">
        <v>39.99</v>
      </c>
      <c r="J5641" s="0">
        <v>2</v>
      </c>
    </row>
    <row r="5642" spans="1:10" customHeight="0">
      <c r="A5642" s="0">
        <f>HYPERLINK("https://dl.dropboxusercontent.com/scl/fi/uymz1l50ye3ll4p35z7vo/94564af26994.jpg?rlkey=ngkhbu8whspp7yw3klpmc4mqb&amp;dl=0","Click to download Image")</f>
      </c>
      <c r="B5642" s="0">
        <f>HYPERLINK("https://dl.dropboxusercontent.com/scl/fi/a72zkzcz6z6jry8n0rup6/size-chartyouth-a.jpg?rlkey=amers1vb50i7nuvmhyi122kgp&amp;dl=0","Click to download SizeChart")</f>
      </c>
      <c r="C5642" s="0" t="inlineStr">
        <is>
          <t>Rucker Toddler Hooded Shirt</t>
        </is>
      </c>
      <c r="D5642" s="0" t="inlineStr">
        <is>
          <t>'95355</t>
        </is>
      </c>
      <c r="E5642" s="0" t="inlineStr">
        <is>
          <t>RUCKER TODDLER:95355D-5T</t>
        </is>
      </c>
      <c r="F5642" s="0" t="inlineStr">
        <is>
          <t>'000000000000</t>
        </is>
      </c>
      <c r="G5642" s="0" t="inlineStr">
        <is>
          <t>TODDLER</t>
        </is>
      </c>
      <c r="H5642" s="0" t="inlineStr">
        <is>
          <t>5T</t>
        </is>
      </c>
      <c r="I5642" s="0">
        <v>39.99</v>
      </c>
      <c r="J5642" s="0">
        <v>10</v>
      </c>
    </row>
    <row r="5643" spans="1:10" customHeight="0">
      <c r="A5643" s="0">
        <f>HYPERLINK("https://dl.dropboxusercontent.com/scl/fi/ujzvzabbbh8t9tqbajd2f/101731af23253.jpg?rlkey=s01c9orfwxe38yshzr9klgk8u&amp;dl=0","Click to download Image")</f>
      </c>
      <c r="C5643" s="0" t="inlineStr">
        <is>
          <t>Paul Men's Hoodie</t>
        </is>
      </c>
      <c r="D5643" s="0" t="inlineStr">
        <is>
          <t>'101731</t>
        </is>
      </c>
      <c r="E5643" s="0" t="inlineStr">
        <is>
          <t>PAUL:101731A-S</t>
        </is>
      </c>
      <c r="F5643" s="0" t="inlineStr">
        <is>
          <t>'080010173101</t>
        </is>
      </c>
      <c r="G5643" s="0" t="inlineStr">
        <is>
          <t>MENS</t>
        </is>
      </c>
      <c r="H5643" s="0" t="inlineStr">
        <is>
          <t>S</t>
        </is>
      </c>
      <c r="I5643" s="0">
        <v>52.99</v>
      </c>
      <c r="J5643" s="0">
        <v>15</v>
      </c>
    </row>
    <row r="5644" spans="1:10" customHeight="0">
      <c r="A5644" s="0">
        <f>HYPERLINK("https://dl.dropboxusercontent.com/scl/fi/ujzvzabbbh8t9tqbajd2f/101731af23253.jpg?rlkey=s01c9orfwxe38yshzr9klgk8u&amp;dl=0","Click to download Image")</f>
      </c>
      <c r="C5644" s="0" t="inlineStr">
        <is>
          <t>Paul Men's Hoodie</t>
        </is>
      </c>
      <c r="D5644" s="0" t="inlineStr">
        <is>
          <t>'101731</t>
        </is>
      </c>
      <c r="E5644" s="0" t="inlineStr">
        <is>
          <t>PAUL:101731B-M</t>
        </is>
      </c>
      <c r="F5644" s="0" t="inlineStr">
        <is>
          <t>'080010173102</t>
        </is>
      </c>
      <c r="G5644" s="0" t="inlineStr">
        <is>
          <t>MENS</t>
        </is>
      </c>
      <c r="H5644" s="0" t="inlineStr">
        <is>
          <t>M</t>
        </is>
      </c>
      <c r="I5644" s="0">
        <v>52.99</v>
      </c>
      <c r="J5644" s="0">
        <v>19</v>
      </c>
    </row>
    <row r="5645" spans="1:10" customHeight="0">
      <c r="A5645" s="0">
        <f>HYPERLINK("https://dl.dropboxusercontent.com/scl/fi/ujzvzabbbh8t9tqbajd2f/101731af23253.jpg?rlkey=s01c9orfwxe38yshzr9klgk8u&amp;dl=0","Click to download Image")</f>
      </c>
      <c r="C5645" s="0" t="inlineStr">
        <is>
          <t>Paul Men's Hoodie</t>
        </is>
      </c>
      <c r="D5645" s="0" t="inlineStr">
        <is>
          <t>'101731</t>
        </is>
      </c>
      <c r="E5645" s="0" t="inlineStr">
        <is>
          <t>PAUL:101731C-L</t>
        </is>
      </c>
      <c r="F5645" s="0" t="inlineStr">
        <is>
          <t>'080010173103</t>
        </is>
      </c>
      <c r="G5645" s="0" t="inlineStr">
        <is>
          <t>MENS</t>
        </is>
      </c>
      <c r="H5645" s="0" t="inlineStr">
        <is>
          <t>L</t>
        </is>
      </c>
      <c r="I5645" s="0">
        <v>52.99</v>
      </c>
      <c r="J5645" s="0">
        <v>34</v>
      </c>
    </row>
    <row r="5646" spans="1:10" customHeight="0">
      <c r="A5646" s="0">
        <f>HYPERLINK("https://dl.dropboxusercontent.com/scl/fi/ujzvzabbbh8t9tqbajd2f/101731af23253.jpg?rlkey=s01c9orfwxe38yshzr9klgk8u&amp;dl=0","Click to download Image")</f>
      </c>
      <c r="C5646" s="0" t="inlineStr">
        <is>
          <t>Paul Men's Hoodie</t>
        </is>
      </c>
      <c r="D5646" s="0" t="inlineStr">
        <is>
          <t>'101731</t>
        </is>
      </c>
      <c r="E5646" s="0" t="inlineStr">
        <is>
          <t>PAUL:101731D-XL</t>
        </is>
      </c>
      <c r="F5646" s="0" t="inlineStr">
        <is>
          <t>'080010173104</t>
        </is>
      </c>
      <c r="G5646" s="0" t="inlineStr">
        <is>
          <t>MENS</t>
        </is>
      </c>
      <c r="H5646" s="0" t="inlineStr">
        <is>
          <t>XL</t>
        </is>
      </c>
      <c r="I5646" s="0">
        <v>52.99</v>
      </c>
      <c r="J5646" s="0">
        <v>35</v>
      </c>
    </row>
    <row r="5647" spans="1:10" customHeight="0">
      <c r="A5647" s="0">
        <f>HYPERLINK("https://dl.dropboxusercontent.com/scl/fi/ujzvzabbbh8t9tqbajd2f/101731af23253.jpg?rlkey=s01c9orfwxe38yshzr9klgk8u&amp;dl=0","Click to download Image")</f>
      </c>
      <c r="C5647" s="0" t="inlineStr">
        <is>
          <t>Paul Men's Hoodie</t>
        </is>
      </c>
      <c r="D5647" s="0" t="inlineStr">
        <is>
          <t>'101731</t>
        </is>
      </c>
      <c r="E5647" s="0" t="inlineStr">
        <is>
          <t>PAUL:101731E-2XL</t>
        </is>
      </c>
      <c r="F5647" s="0" t="inlineStr">
        <is>
          <t>'080010173105</t>
        </is>
      </c>
      <c r="G5647" s="0" t="inlineStr">
        <is>
          <t>MENS</t>
        </is>
      </c>
      <c r="H5647" s="0" t="inlineStr">
        <is>
          <t>2XL</t>
        </is>
      </c>
      <c r="I5647" s="0">
        <v>54.99</v>
      </c>
      <c r="J5647" s="0">
        <v>17</v>
      </c>
    </row>
    <row r="5648" spans="1:10" customHeight="0">
      <c r="A5648" s="0">
        <f>HYPERLINK("https://dl.dropboxusercontent.com/scl/fi/ujzvzabbbh8t9tqbajd2f/101731af23253.jpg?rlkey=s01c9orfwxe38yshzr9klgk8u&amp;dl=0","Click to download Image")</f>
      </c>
      <c r="C5648" s="0" t="inlineStr">
        <is>
          <t>Paul Men's Hoodie</t>
        </is>
      </c>
      <c r="D5648" s="0" t="inlineStr">
        <is>
          <t>'101731</t>
        </is>
      </c>
      <c r="E5648" s="0" t="inlineStr">
        <is>
          <t>PAUL:101731F-3XL</t>
        </is>
      </c>
      <c r="F5648" s="0" t="inlineStr">
        <is>
          <t>'080010173106</t>
        </is>
      </c>
      <c r="G5648" s="0" t="inlineStr">
        <is>
          <t>MENS</t>
        </is>
      </c>
      <c r="H5648" s="0" t="inlineStr">
        <is>
          <t>3XL</t>
        </is>
      </c>
      <c r="I5648" s="0">
        <v>54.99</v>
      </c>
      <c r="J5648" s="0">
        <v>14</v>
      </c>
    </row>
    <row r="5649" spans="1:10" customHeight="0">
      <c r="A5649" s="0">
        <f>HYPERLINK("https://dl.dropboxusercontent.com/scl/fi/cqfg6xullesv4ddqihn29/97849af78606.jpg?rlkey=ghfg8gt2d42wt0uzp1wbqxw8f&amp;dl=0","Click to download Image")</f>
      </c>
      <c r="C5649" s="0" t="inlineStr">
        <is>
          <t>Roger Men's Camo Cap</t>
        </is>
      </c>
      <c r="D5649" s="0" t="inlineStr">
        <is>
          <t>'97849</t>
        </is>
      </c>
      <c r="E5649" s="0" t="inlineStr">
        <is>
          <t>ROGER:97849</t>
        </is>
      </c>
      <c r="F5649" s="0" t="inlineStr">
        <is>
          <t>'000000000000</t>
        </is>
      </c>
      <c r="G5649" s="0" t="inlineStr">
        <is>
          <t>MENS</t>
        </is>
      </c>
      <c r="H5649" s="0" t="inlineStr">
        <is>
          <t>STANDARD MENS</t>
        </is>
      </c>
      <c r="I5649" s="0">
        <v>24.99</v>
      </c>
      <c r="J5649" s="0">
        <v>46</v>
      </c>
    </row>
    <row r="5650" spans="1:10" customHeight="0">
      <c r="A5650" s="0">
        <f>HYPERLINK("https://dl.dropboxusercontent.com/scl/fi/u6mvps0hbm484kkpubw73/103219af24216.jpg?rlkey=c562n30ftfzcb4xcr87cnw0e2&amp;dl=0","Click to download Image")</f>
      </c>
      <c r="C5650" s="0" t="inlineStr">
        <is>
          <t>Roberts Men's Visor</t>
        </is>
      </c>
      <c r="D5650" s="0" t="inlineStr">
        <is>
          <t>'104406</t>
        </is>
      </c>
      <c r="E5650" s="0" t="inlineStr">
        <is>
          <t>ROBERTS:104406</t>
        </is>
      </c>
      <c r="F5650" s="0" t="inlineStr">
        <is>
          <t>'000000000000</t>
        </is>
      </c>
      <c r="G5650" s="0" t="inlineStr">
        <is>
          <t>MENS</t>
        </is>
      </c>
      <c r="H5650" s="0" t="inlineStr">
        <is>
          <t>STANDARD MENS</t>
        </is>
      </c>
      <c r="I5650" s="0">
        <v>24.99</v>
      </c>
      <c r="J5650" s="0">
        <v>21</v>
      </c>
    </row>
    <row r="5651" spans="1:10" customHeight="0">
      <c r="A5651" s="0">
        <f>HYPERLINK("https://dl.dropboxusercontent.com/scl/fi/czk2pxjzgrtrnfyuhy799/97193af.jpg?rlkey=5ojgk9uyj72g9jb7g4hv6v6fb&amp;dl=0","Click to download Image")</f>
      </c>
      <c r="B5651" s="0">
        <f>HYPERLINK("https://dl.dropboxusercontent.com/scl/fi/pmnp9n8mjl0s1pzo36dl1/mens-c.jpg?rlkey=hwv1si3hf8xemkca0ostqn0fv&amp;dl=0","Click to download SizeChart")</f>
      </c>
      <c r="C5651" s="0" t="inlineStr">
        <is>
          <t>River Men's Tank Top</t>
        </is>
      </c>
      <c r="D5651" s="0" t="inlineStr">
        <is>
          <t>'97193</t>
        </is>
      </c>
      <c r="E5651" s="0" t="inlineStr">
        <is>
          <t>RIVER:97193A-S</t>
        </is>
      </c>
      <c r="F5651" s="0" t="inlineStr">
        <is>
          <t>'000000000000</t>
        </is>
      </c>
      <c r="G5651" s="0" t="inlineStr">
        <is>
          <t>MENS</t>
        </is>
      </c>
      <c r="H5651" s="0" t="inlineStr">
        <is>
          <t>S</t>
        </is>
      </c>
      <c r="I5651" s="0">
        <v>34.99</v>
      </c>
      <c r="J5651" s="0">
        <v>21</v>
      </c>
    </row>
    <row r="5652" spans="1:10" customHeight="0">
      <c r="A5652" s="0">
        <f>HYPERLINK("https://dl.dropboxusercontent.com/scl/fi/czk2pxjzgrtrnfyuhy799/97193af.jpg?rlkey=5ojgk9uyj72g9jb7g4hv6v6fb&amp;dl=0","Click to download Image")</f>
      </c>
      <c r="B5652" s="0">
        <f>HYPERLINK("https://dl.dropboxusercontent.com/scl/fi/pmnp9n8mjl0s1pzo36dl1/mens-c.jpg?rlkey=hwv1si3hf8xemkca0ostqn0fv&amp;dl=0","Click to download SizeChart")</f>
      </c>
      <c r="C5652" s="0" t="inlineStr">
        <is>
          <t>River Men's Tank Top</t>
        </is>
      </c>
      <c r="D5652" s="0" t="inlineStr">
        <is>
          <t>'97193</t>
        </is>
      </c>
      <c r="E5652" s="0" t="inlineStr">
        <is>
          <t>RIVER:97193B-M</t>
        </is>
      </c>
      <c r="F5652" s="0" t="inlineStr">
        <is>
          <t>'000000000000</t>
        </is>
      </c>
      <c r="G5652" s="0" t="inlineStr">
        <is>
          <t>MENS</t>
        </is>
      </c>
      <c r="H5652" s="0" t="inlineStr">
        <is>
          <t>M</t>
        </is>
      </c>
      <c r="I5652" s="0">
        <v>34.99</v>
      </c>
      <c r="J5652" s="0">
        <v>32</v>
      </c>
    </row>
    <row r="5653" spans="1:10" customHeight="0">
      <c r="A5653" s="0">
        <f>HYPERLINK("https://dl.dropboxusercontent.com/scl/fi/czk2pxjzgrtrnfyuhy799/97193af.jpg?rlkey=5ojgk9uyj72g9jb7g4hv6v6fb&amp;dl=0","Click to download Image")</f>
      </c>
      <c r="B5653" s="0">
        <f>HYPERLINK("https://dl.dropboxusercontent.com/scl/fi/pmnp9n8mjl0s1pzo36dl1/mens-c.jpg?rlkey=hwv1si3hf8xemkca0ostqn0fv&amp;dl=0","Click to download SizeChart")</f>
      </c>
      <c r="C5653" s="0" t="inlineStr">
        <is>
          <t>River Men's Tank Top</t>
        </is>
      </c>
      <c r="D5653" s="0" t="inlineStr">
        <is>
          <t>'97193</t>
        </is>
      </c>
      <c r="E5653" s="0" t="inlineStr">
        <is>
          <t>RIVER:97193C-L</t>
        </is>
      </c>
      <c r="F5653" s="0" t="inlineStr">
        <is>
          <t>'000000000000</t>
        </is>
      </c>
      <c r="G5653" s="0" t="inlineStr">
        <is>
          <t>MENS</t>
        </is>
      </c>
      <c r="H5653" s="0" t="inlineStr">
        <is>
          <t>L</t>
        </is>
      </c>
      <c r="I5653" s="0">
        <v>34.99</v>
      </c>
      <c r="J5653" s="0">
        <v>31</v>
      </c>
    </row>
    <row r="5654" spans="1:10" customHeight="0">
      <c r="A5654" s="0">
        <f>HYPERLINK("https://dl.dropboxusercontent.com/scl/fi/czk2pxjzgrtrnfyuhy799/97193af.jpg?rlkey=5ojgk9uyj72g9jb7g4hv6v6fb&amp;dl=0","Click to download Image")</f>
      </c>
      <c r="B5654" s="0">
        <f>HYPERLINK("https://dl.dropboxusercontent.com/scl/fi/pmnp9n8mjl0s1pzo36dl1/mens-c.jpg?rlkey=hwv1si3hf8xemkca0ostqn0fv&amp;dl=0","Click to download SizeChart")</f>
      </c>
      <c r="C5654" s="0" t="inlineStr">
        <is>
          <t>River Men's Tank Top</t>
        </is>
      </c>
      <c r="D5654" s="0" t="inlineStr">
        <is>
          <t>'97193</t>
        </is>
      </c>
      <c r="E5654" s="0" t="inlineStr">
        <is>
          <t>RIVER:97193D-XL</t>
        </is>
      </c>
      <c r="F5654" s="0" t="inlineStr">
        <is>
          <t>'000000000000</t>
        </is>
      </c>
      <c r="G5654" s="0" t="inlineStr">
        <is>
          <t>MENS</t>
        </is>
      </c>
      <c r="H5654" s="0" t="inlineStr">
        <is>
          <t>XL</t>
        </is>
      </c>
      <c r="I5654" s="0">
        <v>34.99</v>
      </c>
      <c r="J5654" s="0">
        <v>34</v>
      </c>
    </row>
    <row r="5655" spans="1:10" customHeight="0">
      <c r="A5655" s="0">
        <f>HYPERLINK("https://dl.dropboxusercontent.com/scl/fi/czk2pxjzgrtrnfyuhy799/97193af.jpg?rlkey=5ojgk9uyj72g9jb7g4hv6v6fb&amp;dl=0","Click to download Image")</f>
      </c>
      <c r="B5655" s="0">
        <f>HYPERLINK("https://dl.dropboxusercontent.com/scl/fi/pmnp9n8mjl0s1pzo36dl1/mens-c.jpg?rlkey=hwv1si3hf8xemkca0ostqn0fv&amp;dl=0","Click to download SizeChart")</f>
      </c>
      <c r="C5655" s="0" t="inlineStr">
        <is>
          <t>River Men's Tank Top</t>
        </is>
      </c>
      <c r="D5655" s="0" t="inlineStr">
        <is>
          <t>'97193</t>
        </is>
      </c>
      <c r="E5655" s="0" t="inlineStr">
        <is>
          <t>RIVER:97193E-2XL</t>
        </is>
      </c>
      <c r="F5655" s="0" t="inlineStr">
        <is>
          <t>'000000000000</t>
        </is>
      </c>
      <c r="G5655" s="0" t="inlineStr">
        <is>
          <t>MENS</t>
        </is>
      </c>
      <c r="H5655" s="0" t="inlineStr">
        <is>
          <t>2XL</t>
        </is>
      </c>
      <c r="I5655" s="0">
        <v>36.99</v>
      </c>
      <c r="J5655" s="0">
        <v>33</v>
      </c>
    </row>
    <row r="5656" spans="1:10" customHeight="0">
      <c r="A5656" s="0">
        <f>HYPERLINK("https://dl.dropboxusercontent.com/scl/fi/czk2pxjzgrtrnfyuhy799/97193af.jpg?rlkey=5ojgk9uyj72g9jb7g4hv6v6fb&amp;dl=0","Click to download Image")</f>
      </c>
      <c r="B5656" s="0">
        <f>HYPERLINK("https://dl.dropboxusercontent.com/scl/fi/pmnp9n8mjl0s1pzo36dl1/mens-c.jpg?rlkey=hwv1si3hf8xemkca0ostqn0fv&amp;dl=0","Click to download SizeChart")</f>
      </c>
      <c r="C5656" s="0" t="inlineStr">
        <is>
          <t>River Men's Tank Top</t>
        </is>
      </c>
      <c r="D5656" s="0" t="inlineStr">
        <is>
          <t>'97193</t>
        </is>
      </c>
      <c r="E5656" s="0" t="inlineStr">
        <is>
          <t>RIVER:97193F-3XL</t>
        </is>
      </c>
      <c r="F5656" s="0" t="inlineStr">
        <is>
          <t>'000000000000</t>
        </is>
      </c>
      <c r="G5656" s="0" t="inlineStr">
        <is>
          <t>MENS</t>
        </is>
      </c>
      <c r="H5656" s="0" t="inlineStr">
        <is>
          <t>3XL</t>
        </is>
      </c>
      <c r="I5656" s="0">
        <v>36.99</v>
      </c>
      <c r="J5656" s="0">
        <v>22</v>
      </c>
    </row>
    <row r="5657" spans="1:10" customHeight="0">
      <c r="A5657" s="0">
        <f>HYPERLINK("https://dl.dropboxusercontent.com/scl/fi/0tq10ev79h3bs2y86nys7/ia-richard-copy.jpg?rlkey=orz4ga2ynnlypiw759mdllcdc&amp;dl=0","Click to download Image")</f>
      </c>
      <c r="B5657" s="0">
        <f>HYPERLINK("https://dl.dropboxusercontent.com/scl/fi/rrqlansaic57r8y8j89rx/mens-jackets-size-chartsrichard.jpg?rlkey=c1tslhki8xil1yofoykmrvwqf&amp;dl=0","Click to download SizeChart")</f>
      </c>
      <c r="C5657" s="0" t="inlineStr">
        <is>
          <t>Richard Men's Hooded Puffer Jacket</t>
        </is>
      </c>
      <c r="D5657" s="0" t="inlineStr">
        <is>
          <t>'101404</t>
        </is>
      </c>
      <c r="E5657" s="0" t="inlineStr">
        <is>
          <t>RICHARD:101404A-S</t>
        </is>
      </c>
      <c r="F5657" s="0" t="inlineStr">
        <is>
          <t>'000000000000</t>
        </is>
      </c>
      <c r="G5657" s="0" t="inlineStr">
        <is>
          <t>MENS</t>
        </is>
      </c>
      <c r="H5657" s="0" t="inlineStr">
        <is>
          <t>S</t>
        </is>
      </c>
      <c r="I5657" s="0">
        <v>149.99</v>
      </c>
      <c r="J5657" s="0">
        <v>11</v>
      </c>
    </row>
    <row r="5658" spans="1:10" customHeight="0">
      <c r="A5658" s="0">
        <f>HYPERLINK("https://dl.dropboxusercontent.com/scl/fi/0tq10ev79h3bs2y86nys7/ia-richard-copy.jpg?rlkey=orz4ga2ynnlypiw759mdllcdc&amp;dl=0","Click to download Image")</f>
      </c>
      <c r="B5658" s="0">
        <f>HYPERLINK("https://dl.dropboxusercontent.com/scl/fi/rrqlansaic57r8y8j89rx/mens-jackets-size-chartsrichard.jpg?rlkey=c1tslhki8xil1yofoykmrvwqf&amp;dl=0","Click to download SizeChart")</f>
      </c>
      <c r="C5658" s="0" t="inlineStr">
        <is>
          <t>Richard Men's Hooded Puffer Jacket</t>
        </is>
      </c>
      <c r="D5658" s="0" t="inlineStr">
        <is>
          <t>'101404</t>
        </is>
      </c>
      <c r="E5658" s="0" t="inlineStr">
        <is>
          <t>RICHARD:101404B-M</t>
        </is>
      </c>
      <c r="F5658" s="0" t="inlineStr">
        <is>
          <t>'000000000000</t>
        </is>
      </c>
      <c r="G5658" s="0" t="inlineStr">
        <is>
          <t>MENS</t>
        </is>
      </c>
      <c r="H5658" s="0" t="inlineStr">
        <is>
          <t>M</t>
        </is>
      </c>
      <c r="I5658" s="0">
        <v>149.99</v>
      </c>
      <c r="J5658" s="0">
        <v>12</v>
      </c>
    </row>
    <row r="5659" spans="1:10" customHeight="0">
      <c r="A5659" s="0">
        <f>HYPERLINK("https://dl.dropboxusercontent.com/scl/fi/0tq10ev79h3bs2y86nys7/ia-richard-copy.jpg?rlkey=orz4ga2ynnlypiw759mdllcdc&amp;dl=0","Click to download Image")</f>
      </c>
      <c r="B5659" s="0">
        <f>HYPERLINK("https://dl.dropboxusercontent.com/scl/fi/rrqlansaic57r8y8j89rx/mens-jackets-size-chartsrichard.jpg?rlkey=c1tslhki8xil1yofoykmrvwqf&amp;dl=0","Click to download SizeChart")</f>
      </c>
      <c r="C5659" s="0" t="inlineStr">
        <is>
          <t>Richard Men's Hooded Puffer Jacket</t>
        </is>
      </c>
      <c r="D5659" s="0" t="inlineStr">
        <is>
          <t>'101404</t>
        </is>
      </c>
      <c r="E5659" s="0" t="inlineStr">
        <is>
          <t>RICHARD:101404C-L</t>
        </is>
      </c>
      <c r="F5659" s="0" t="inlineStr">
        <is>
          <t>'000000000000</t>
        </is>
      </c>
      <c r="G5659" s="0" t="inlineStr">
        <is>
          <t>MENS</t>
        </is>
      </c>
      <c r="H5659" s="0" t="inlineStr">
        <is>
          <t>L</t>
        </is>
      </c>
      <c r="I5659" s="0">
        <v>149.99</v>
      </c>
      <c r="J5659" s="0">
        <v>18</v>
      </c>
    </row>
    <row r="5660" spans="1:10" customHeight="0">
      <c r="A5660" s="0">
        <f>HYPERLINK("https://dl.dropboxusercontent.com/scl/fi/0tq10ev79h3bs2y86nys7/ia-richard-copy.jpg?rlkey=orz4ga2ynnlypiw759mdllcdc&amp;dl=0","Click to download Image")</f>
      </c>
      <c r="B5660" s="0">
        <f>HYPERLINK("https://dl.dropboxusercontent.com/scl/fi/rrqlansaic57r8y8j89rx/mens-jackets-size-chartsrichard.jpg?rlkey=c1tslhki8xil1yofoykmrvwqf&amp;dl=0","Click to download SizeChart")</f>
      </c>
      <c r="C5660" s="0" t="inlineStr">
        <is>
          <t>Richard Men's Hooded Puffer Jacket</t>
        </is>
      </c>
      <c r="D5660" s="0" t="inlineStr">
        <is>
          <t>'101404</t>
        </is>
      </c>
      <c r="E5660" s="0" t="inlineStr">
        <is>
          <t>RICHARD:101404D-XL</t>
        </is>
      </c>
      <c r="F5660" s="0" t="inlineStr">
        <is>
          <t>'000000000000</t>
        </is>
      </c>
      <c r="G5660" s="0" t="inlineStr">
        <is>
          <t>MENS</t>
        </is>
      </c>
      <c r="H5660" s="0" t="inlineStr">
        <is>
          <t>XL</t>
        </is>
      </c>
      <c r="I5660" s="0">
        <v>149.99</v>
      </c>
      <c r="J5660" s="0">
        <v>14</v>
      </c>
    </row>
    <row r="5661" spans="1:10" customHeight="0">
      <c r="A5661" s="0">
        <f>HYPERLINK("https://dl.dropboxusercontent.com/scl/fi/0tq10ev79h3bs2y86nys7/ia-richard-copy.jpg?rlkey=orz4ga2ynnlypiw759mdllcdc&amp;dl=0","Click to download Image")</f>
      </c>
      <c r="B5661" s="0">
        <f>HYPERLINK("https://dl.dropboxusercontent.com/scl/fi/rrqlansaic57r8y8j89rx/mens-jackets-size-chartsrichard.jpg?rlkey=c1tslhki8xil1yofoykmrvwqf&amp;dl=0","Click to download SizeChart")</f>
      </c>
      <c r="C5661" s="0" t="inlineStr">
        <is>
          <t>Richard Men's Hooded Puffer Jacket</t>
        </is>
      </c>
      <c r="D5661" s="0" t="inlineStr">
        <is>
          <t>'101404</t>
        </is>
      </c>
      <c r="E5661" s="0" t="inlineStr">
        <is>
          <t>RICHARD:101404E-2XL</t>
        </is>
      </c>
      <c r="F5661" s="0" t="inlineStr">
        <is>
          <t>'000000000000</t>
        </is>
      </c>
      <c r="G5661" s="0" t="inlineStr">
        <is>
          <t>MENS</t>
        </is>
      </c>
      <c r="H5661" s="0" t="inlineStr">
        <is>
          <t>2XL</t>
        </is>
      </c>
      <c r="I5661" s="0">
        <v>151.99</v>
      </c>
      <c r="J5661" s="0">
        <v>4</v>
      </c>
    </row>
    <row r="5662" spans="1:10" customHeight="0">
      <c r="A5662" s="0">
        <f>HYPERLINK("https://dl.dropboxusercontent.com/scl/fi/0tq10ev79h3bs2y86nys7/ia-richard-copy.jpg?rlkey=orz4ga2ynnlypiw759mdllcdc&amp;dl=0","Click to download Image")</f>
      </c>
      <c r="B5662" s="0">
        <f>HYPERLINK("https://dl.dropboxusercontent.com/scl/fi/rrqlansaic57r8y8j89rx/mens-jackets-size-chartsrichard.jpg?rlkey=c1tslhki8xil1yofoykmrvwqf&amp;dl=0","Click to download SizeChart")</f>
      </c>
      <c r="C5662" s="0" t="inlineStr">
        <is>
          <t>Richard Men's Hooded Puffer Jacket</t>
        </is>
      </c>
      <c r="D5662" s="0" t="inlineStr">
        <is>
          <t>'101404</t>
        </is>
      </c>
      <c r="E5662" s="0" t="inlineStr">
        <is>
          <t>RICHARD:101404F-3XL</t>
        </is>
      </c>
      <c r="F5662" s="0" t="inlineStr">
        <is>
          <t>'000000000000</t>
        </is>
      </c>
      <c r="G5662" s="0" t="inlineStr">
        <is>
          <t>MENS</t>
        </is>
      </c>
      <c r="H5662" s="0" t="inlineStr">
        <is>
          <t>3XL</t>
        </is>
      </c>
      <c r="I5662" s="0">
        <v>151.99</v>
      </c>
      <c r="J5662" s="0">
        <v>6</v>
      </c>
    </row>
    <row r="5663" spans="1:10" customHeight="0">
      <c r="A5663" s="0">
        <f>HYPERLINK("https://dl.dropboxusercontent.com/scl/fi/262l9rqnjsfhttgovtu1d/richard-axel-3-copy.jpg?rlkey=h47awwlv99xiqe0fl2ieuhvoc&amp;dl=0","Click to download Image")</f>
      </c>
      <c r="B5663" s="0">
        <f>HYPERLINK("https://dl.dropboxusercontent.com/scl/fi/rrqlansaic57r8y8j89rx/mens-jackets-size-chartsrichard.jpg?rlkey=c1tslhki8xil1yofoykmrvwqf&amp;dl=0","Click to download SizeChart")</f>
      </c>
      <c r="C5663" s="0" t="inlineStr">
        <is>
          <t>Richard Men's Hooded Puffer Jacket</t>
        </is>
      </c>
      <c r="D5663" s="0" t="inlineStr">
        <is>
          <t>'101708</t>
        </is>
      </c>
      <c r="E5663" s="0" t="inlineStr">
        <is>
          <t>RICHARD:101708A-S</t>
        </is>
      </c>
      <c r="F5663" s="0" t="inlineStr">
        <is>
          <t>'000000000000</t>
        </is>
      </c>
      <c r="G5663" s="0" t="inlineStr">
        <is>
          <t>MENS</t>
        </is>
      </c>
      <c r="H5663" s="0" t="inlineStr">
        <is>
          <t>S</t>
        </is>
      </c>
      <c r="I5663" s="0">
        <v>149.99</v>
      </c>
      <c r="J5663" s="0">
        <v>7</v>
      </c>
    </row>
    <row r="5664" spans="1:10" customHeight="0">
      <c r="A5664" s="0">
        <f>HYPERLINK("https://dl.dropboxusercontent.com/scl/fi/262l9rqnjsfhttgovtu1d/richard-axel-3-copy.jpg?rlkey=h47awwlv99xiqe0fl2ieuhvoc&amp;dl=0","Click to download Image")</f>
      </c>
      <c r="B5664" s="0">
        <f>HYPERLINK("https://dl.dropboxusercontent.com/scl/fi/rrqlansaic57r8y8j89rx/mens-jackets-size-chartsrichard.jpg?rlkey=c1tslhki8xil1yofoykmrvwqf&amp;dl=0","Click to download SizeChart")</f>
      </c>
      <c r="C5664" s="0" t="inlineStr">
        <is>
          <t>Richard Men's Hooded Puffer Jacket</t>
        </is>
      </c>
      <c r="D5664" s="0" t="inlineStr">
        <is>
          <t>'101708</t>
        </is>
      </c>
      <c r="E5664" s="0" t="inlineStr">
        <is>
          <t>RICHARD:101708B-M</t>
        </is>
      </c>
      <c r="F5664" s="0" t="inlineStr">
        <is>
          <t>'000000000000</t>
        </is>
      </c>
      <c r="G5664" s="0" t="inlineStr">
        <is>
          <t>MENS</t>
        </is>
      </c>
      <c r="H5664" s="0" t="inlineStr">
        <is>
          <t>M</t>
        </is>
      </c>
      <c r="I5664" s="0">
        <v>149.99</v>
      </c>
      <c r="J5664" s="0">
        <v>9</v>
      </c>
    </row>
    <row r="5665" spans="1:10" customHeight="0">
      <c r="A5665" s="0">
        <f>HYPERLINK("https://dl.dropboxusercontent.com/scl/fi/262l9rqnjsfhttgovtu1d/richard-axel-3-copy.jpg?rlkey=h47awwlv99xiqe0fl2ieuhvoc&amp;dl=0","Click to download Image")</f>
      </c>
      <c r="B5665" s="0">
        <f>HYPERLINK("https://dl.dropboxusercontent.com/scl/fi/rrqlansaic57r8y8j89rx/mens-jackets-size-chartsrichard.jpg?rlkey=c1tslhki8xil1yofoykmrvwqf&amp;dl=0","Click to download SizeChart")</f>
      </c>
      <c r="C5665" s="0" t="inlineStr">
        <is>
          <t>Richard Men's Hooded Puffer Jacket</t>
        </is>
      </c>
      <c r="D5665" s="0" t="inlineStr">
        <is>
          <t>'101708</t>
        </is>
      </c>
      <c r="E5665" s="0" t="inlineStr">
        <is>
          <t>RICHARD:101708C-L</t>
        </is>
      </c>
      <c r="F5665" s="0" t="inlineStr">
        <is>
          <t>'000000000000</t>
        </is>
      </c>
      <c r="G5665" s="0" t="inlineStr">
        <is>
          <t>MENS</t>
        </is>
      </c>
      <c r="H5665" s="0" t="inlineStr">
        <is>
          <t>L</t>
        </is>
      </c>
      <c r="I5665" s="0">
        <v>149.99</v>
      </c>
      <c r="J5665" s="0">
        <v>17</v>
      </c>
    </row>
    <row r="5666" spans="1:10" customHeight="0">
      <c r="A5666" s="0">
        <f>HYPERLINK("https://dl.dropboxusercontent.com/scl/fi/262l9rqnjsfhttgovtu1d/richard-axel-3-copy.jpg?rlkey=h47awwlv99xiqe0fl2ieuhvoc&amp;dl=0","Click to download Image")</f>
      </c>
      <c r="B5666" s="0">
        <f>HYPERLINK("https://dl.dropboxusercontent.com/scl/fi/rrqlansaic57r8y8j89rx/mens-jackets-size-chartsrichard.jpg?rlkey=c1tslhki8xil1yofoykmrvwqf&amp;dl=0","Click to download SizeChart")</f>
      </c>
      <c r="C5666" s="0" t="inlineStr">
        <is>
          <t>Richard Men's Hooded Puffer Jacket</t>
        </is>
      </c>
      <c r="D5666" s="0" t="inlineStr">
        <is>
          <t>'101708</t>
        </is>
      </c>
      <c r="E5666" s="0" t="inlineStr">
        <is>
          <t>RICHARD:101708D-XL</t>
        </is>
      </c>
      <c r="F5666" s="0" t="inlineStr">
        <is>
          <t>'000000000000</t>
        </is>
      </c>
      <c r="G5666" s="0" t="inlineStr">
        <is>
          <t>MENS</t>
        </is>
      </c>
      <c r="H5666" s="0" t="inlineStr">
        <is>
          <t>XL</t>
        </is>
      </c>
      <c r="I5666" s="0">
        <v>149.99</v>
      </c>
      <c r="J5666" s="0">
        <v>13</v>
      </c>
    </row>
    <row r="5667" spans="1:10" customHeight="0">
      <c r="A5667" s="0">
        <f>HYPERLINK("https://dl.dropboxusercontent.com/scl/fi/262l9rqnjsfhttgovtu1d/richard-axel-3-copy.jpg?rlkey=h47awwlv99xiqe0fl2ieuhvoc&amp;dl=0","Click to download Image")</f>
      </c>
      <c r="B5667" s="0">
        <f>HYPERLINK("https://dl.dropboxusercontent.com/scl/fi/rrqlansaic57r8y8j89rx/mens-jackets-size-chartsrichard.jpg?rlkey=c1tslhki8xil1yofoykmrvwqf&amp;dl=0","Click to download SizeChart")</f>
      </c>
      <c r="C5667" s="0" t="inlineStr">
        <is>
          <t>Richard Men's Hooded Puffer Jacket</t>
        </is>
      </c>
      <c r="D5667" s="0" t="inlineStr">
        <is>
          <t>'101708</t>
        </is>
      </c>
      <c r="E5667" s="0" t="inlineStr">
        <is>
          <t>RICHARD:101708E-2XL</t>
        </is>
      </c>
      <c r="F5667" s="0" t="inlineStr">
        <is>
          <t>'000000000000</t>
        </is>
      </c>
      <c r="G5667" s="0" t="inlineStr">
        <is>
          <t>MENS</t>
        </is>
      </c>
      <c r="H5667" s="0" t="inlineStr">
        <is>
          <t>2XL</t>
        </is>
      </c>
      <c r="I5667" s="0">
        <v>151.99</v>
      </c>
      <c r="J5667" s="0">
        <v>8</v>
      </c>
    </row>
    <row r="5668" spans="1:10" customHeight="0">
      <c r="A5668" s="0">
        <f>HYPERLINK("https://dl.dropboxusercontent.com/scl/fi/262l9rqnjsfhttgovtu1d/richard-axel-3-copy.jpg?rlkey=h47awwlv99xiqe0fl2ieuhvoc&amp;dl=0","Click to download Image")</f>
      </c>
      <c r="B5668" s="0">
        <f>HYPERLINK("https://dl.dropboxusercontent.com/scl/fi/rrqlansaic57r8y8j89rx/mens-jackets-size-chartsrichard.jpg?rlkey=c1tslhki8xil1yofoykmrvwqf&amp;dl=0","Click to download SizeChart")</f>
      </c>
      <c r="C5668" s="0" t="inlineStr">
        <is>
          <t>Richard Men's Hooded Puffer Jacket</t>
        </is>
      </c>
      <c r="D5668" s="0" t="inlineStr">
        <is>
          <t>'101708</t>
        </is>
      </c>
      <c r="E5668" s="0" t="inlineStr">
        <is>
          <t>RICHARD:101708F-3XL</t>
        </is>
      </c>
      <c r="F5668" s="0" t="inlineStr">
        <is>
          <t>'000000000000</t>
        </is>
      </c>
      <c r="G5668" s="0" t="inlineStr">
        <is>
          <t>MENS</t>
        </is>
      </c>
      <c r="H5668" s="0" t="inlineStr">
        <is>
          <t>3XL</t>
        </is>
      </c>
      <c r="I5668" s="0">
        <v>151.99</v>
      </c>
      <c r="J5668" s="0">
        <v>6</v>
      </c>
    </row>
    <row r="5669" spans="1:10" customHeight="0">
      <c r="A5669" s="0">
        <f>HYPERLINK("https://dl.dropboxusercontent.com/scl/fi/fzkj3qviktsi2exw2rfv4/rhett.jpg?rlkey=ezcqosr749yxo5tv0kv0n5f7u&amp;dl=0","Click to download Image")</f>
      </c>
      <c r="C5669" s="0" t="inlineStr">
        <is>
          <t>Rhett Men's Football Cap</t>
        </is>
      </c>
      <c r="D5669" s="0" t="inlineStr">
        <is>
          <t>'101714A-L</t>
        </is>
      </c>
      <c r="E5669" s="0" t="inlineStr">
        <is>
          <t>RHETT:101714A-L</t>
        </is>
      </c>
      <c r="F5669" s="0" t="inlineStr">
        <is>
          <t>'000000000000</t>
        </is>
      </c>
      <c r="G5669" s="0" t="inlineStr">
        <is>
          <t>MENS</t>
        </is>
      </c>
      <c r="H5669" s="0" t="inlineStr">
        <is>
          <t>STANDARD MENS</t>
        </is>
      </c>
      <c r="I5669" s="0">
        <v>24.99</v>
      </c>
      <c r="J5669" s="0">
        <v>25</v>
      </c>
    </row>
    <row r="5670" spans="1:10" customHeight="0">
      <c r="A5670" s="0">
        <f>HYPERLINK("https://dl.dropboxusercontent.com/scl/fi/u7ct8u9i1h36ltty1hj2a/rhett.jpg?rlkey=bmstcym5ge6m00bkgvkeumfmy&amp;dl=0","Click to download Image")</f>
      </c>
      <c r="C5670" s="0" t="inlineStr">
        <is>
          <t>Rhett Men's Football Cap</t>
        </is>
      </c>
      <c r="D5670" s="0" t="inlineStr">
        <is>
          <t>'101714B-XL</t>
        </is>
      </c>
      <c r="E5670" s="0" t="inlineStr">
        <is>
          <t>RHETT:101714B-XL</t>
        </is>
      </c>
      <c r="F5670" s="0" t="inlineStr">
        <is>
          <t>'000000000000</t>
        </is>
      </c>
      <c r="G5670" s="0" t="inlineStr">
        <is>
          <t>MENS</t>
        </is>
      </c>
      <c r="H5670" s="0" t="inlineStr">
        <is>
          <t>MENS XL</t>
        </is>
      </c>
      <c r="I5670" s="0">
        <v>24.99</v>
      </c>
      <c r="J5670" s="0">
        <v>43</v>
      </c>
    </row>
    <row r="5671" spans="1:10" customHeight="0">
      <c r="A5671" s="0">
        <f>HYPERLINK("https://dl.dropboxusercontent.com/scl/fi/l57f99kwtxhvg7pmmv5t1/remy-02.jpg?rlkey=8jdmctxi916naied8mhqavpmh&amp;dl=0","Click to download Image")</f>
      </c>
      <c r="B5671" s="0">
        <f>HYPERLINK("https://dl.dropboxusercontent.com/scl/fi/049dqsnch6hctz5onjhxy/size-chartyouth-c.jpg?rlkey=xsurw4lufkdodef4rujd4dhqz&amp;dl=0","Click to download SizeChart")</f>
      </c>
      <c r="C5671" s="0" t="inlineStr">
        <is>
          <t>Remy Youth Glow In The Dark Short Sleeve Shirt</t>
        </is>
      </c>
      <c r="D5671" s="0" t="inlineStr">
        <is>
          <t>'96763</t>
        </is>
      </c>
      <c r="E5671" s="0" t="inlineStr">
        <is>
          <t>REMY:96763A-S</t>
        </is>
      </c>
      <c r="F5671" s="0" t="inlineStr">
        <is>
          <t>'000000000000</t>
        </is>
      </c>
      <c r="G5671" s="0" t="inlineStr">
        <is>
          <t>YOUTH</t>
        </is>
      </c>
      <c r="H5671" s="0" t="inlineStr">
        <is>
          <t>YS</t>
        </is>
      </c>
      <c r="I5671" s="0">
        <v>34.99</v>
      </c>
      <c r="J5671" s="0">
        <v>68</v>
      </c>
    </row>
    <row r="5672" spans="1:10" customHeight="0">
      <c r="A5672" s="0">
        <f>HYPERLINK("https://dl.dropboxusercontent.com/scl/fi/l57f99kwtxhvg7pmmv5t1/remy-02.jpg?rlkey=8jdmctxi916naied8mhqavpmh&amp;dl=0","Click to download Image")</f>
      </c>
      <c r="B5672" s="0">
        <f>HYPERLINK("https://dl.dropboxusercontent.com/scl/fi/049dqsnch6hctz5onjhxy/size-chartyouth-c.jpg?rlkey=xsurw4lufkdodef4rujd4dhqz&amp;dl=0","Click to download SizeChart")</f>
      </c>
      <c r="C5672" s="0" t="inlineStr">
        <is>
          <t>Remy Youth Glow In The Dark Short Sleeve Shirt</t>
        </is>
      </c>
      <c r="D5672" s="0" t="inlineStr">
        <is>
          <t>'96763</t>
        </is>
      </c>
      <c r="E5672" s="0" t="inlineStr">
        <is>
          <t>REMY:96763B-M</t>
        </is>
      </c>
      <c r="F5672" s="0" t="inlineStr">
        <is>
          <t>'000000000000</t>
        </is>
      </c>
      <c r="G5672" s="0" t="inlineStr">
        <is>
          <t>YOUTH</t>
        </is>
      </c>
      <c r="H5672" s="0" t="inlineStr">
        <is>
          <t>YM</t>
        </is>
      </c>
      <c r="I5672" s="0">
        <v>34.99</v>
      </c>
      <c r="J5672" s="0">
        <v>83</v>
      </c>
    </row>
    <row r="5673" spans="1:10" customHeight="0">
      <c r="A5673" s="0">
        <f>HYPERLINK("https://dl.dropboxusercontent.com/scl/fi/l57f99kwtxhvg7pmmv5t1/remy-02.jpg?rlkey=8jdmctxi916naied8mhqavpmh&amp;dl=0","Click to download Image")</f>
      </c>
      <c r="B5673" s="0">
        <f>HYPERLINK("https://dl.dropboxusercontent.com/scl/fi/049dqsnch6hctz5onjhxy/size-chartyouth-c.jpg?rlkey=xsurw4lufkdodef4rujd4dhqz&amp;dl=0","Click to download SizeChart")</f>
      </c>
      <c r="C5673" s="0" t="inlineStr">
        <is>
          <t>Remy Youth Glow In The Dark Short Sleeve Shirt</t>
        </is>
      </c>
      <c r="D5673" s="0" t="inlineStr">
        <is>
          <t>'96763</t>
        </is>
      </c>
      <c r="E5673" s="0" t="inlineStr">
        <is>
          <t>REMY:96763C-L</t>
        </is>
      </c>
      <c r="F5673" s="0" t="inlineStr">
        <is>
          <t>'000000000000</t>
        </is>
      </c>
      <c r="G5673" s="0" t="inlineStr">
        <is>
          <t>YOUTH</t>
        </is>
      </c>
      <c r="H5673" s="0" t="inlineStr">
        <is>
          <t>YL</t>
        </is>
      </c>
      <c r="I5673" s="0">
        <v>34.99</v>
      </c>
      <c r="J5673" s="0">
        <v>0</v>
      </c>
    </row>
    <row r="5674" spans="1:10" customHeight="0">
      <c r="A5674" s="0">
        <f>HYPERLINK("https://dl.dropboxusercontent.com/scl/fi/l57f99kwtxhvg7pmmv5t1/remy-02.jpg?rlkey=8jdmctxi916naied8mhqavpmh&amp;dl=0","Click to download Image")</f>
      </c>
      <c r="B5674" s="0">
        <f>HYPERLINK("https://dl.dropboxusercontent.com/scl/fi/049dqsnch6hctz5onjhxy/size-chartyouth-c.jpg?rlkey=xsurw4lufkdodef4rujd4dhqz&amp;dl=0","Click to download SizeChart")</f>
      </c>
      <c r="C5674" s="0" t="inlineStr">
        <is>
          <t>Remy Youth Glow In The Dark Short Sleeve Shirt</t>
        </is>
      </c>
      <c r="D5674" s="0" t="inlineStr">
        <is>
          <t>'96763</t>
        </is>
      </c>
      <c r="E5674" s="0" t="inlineStr">
        <is>
          <t>REMY:96763D-XL</t>
        </is>
      </c>
      <c r="F5674" s="0" t="inlineStr">
        <is>
          <t>'000000000000</t>
        </is>
      </c>
      <c r="G5674" s="0" t="inlineStr">
        <is>
          <t>YOUTH</t>
        </is>
      </c>
      <c r="H5674" s="0" t="inlineStr">
        <is>
          <t>YXL</t>
        </is>
      </c>
      <c r="I5674" s="0">
        <v>34.99</v>
      </c>
      <c r="J5674" s="0">
        <v>67</v>
      </c>
    </row>
    <row r="5675" spans="1:10" customHeight="0">
      <c r="A5675" s="0">
        <f>HYPERLINK("https://dl.dropboxusercontent.com/scl/fi/vghtzvd5md0bje1bwnxe8/remy-03.jpg?rlkey=vzjf70m83nww1adusixujj3fe&amp;dl=0","Click to download Image")</f>
      </c>
      <c r="B5675" s="0">
        <f>HYPERLINK("https://dl.dropboxusercontent.com/scl/fi/049dqsnch6hctz5onjhxy/size-chartyouth-c.jpg?rlkey=xsurw4lufkdodef4rujd4dhqz&amp;dl=0","Click to download SizeChart")</f>
      </c>
      <c r="C5675" s="0" t="inlineStr">
        <is>
          <t>Remy Youth Glow In The Dark Short Sleeve Shirt</t>
        </is>
      </c>
      <c r="D5675" s="0" t="inlineStr">
        <is>
          <t>'97838</t>
        </is>
      </c>
      <c r="E5675" s="0" t="inlineStr">
        <is>
          <t>REMY:97838A-S</t>
        </is>
      </c>
      <c r="F5675" s="0" t="inlineStr">
        <is>
          <t>'000000000000</t>
        </is>
      </c>
      <c r="G5675" s="0" t="inlineStr">
        <is>
          <t>YOUTH</t>
        </is>
      </c>
      <c r="H5675" s="0" t="inlineStr">
        <is>
          <t>S</t>
        </is>
      </c>
      <c r="I5675" s="0">
        <v>34.99</v>
      </c>
      <c r="J5675" s="0">
        <v>25</v>
      </c>
    </row>
    <row r="5676" spans="1:10" customHeight="0">
      <c r="A5676" s="0">
        <f>HYPERLINK("https://dl.dropboxusercontent.com/scl/fi/vghtzvd5md0bje1bwnxe8/remy-03.jpg?rlkey=vzjf70m83nww1adusixujj3fe&amp;dl=0","Click to download Image")</f>
      </c>
      <c r="B5676" s="0">
        <f>HYPERLINK("https://dl.dropboxusercontent.com/scl/fi/049dqsnch6hctz5onjhxy/size-chartyouth-c.jpg?rlkey=xsurw4lufkdodef4rujd4dhqz&amp;dl=0","Click to download SizeChart")</f>
      </c>
      <c r="C5676" s="0" t="inlineStr">
        <is>
          <t>Remy Youth Glow In The Dark Short Sleeve Shirt</t>
        </is>
      </c>
      <c r="D5676" s="0" t="inlineStr">
        <is>
          <t>'97838</t>
        </is>
      </c>
      <c r="E5676" s="0" t="inlineStr">
        <is>
          <t>REMY:97838B-M</t>
        </is>
      </c>
      <c r="F5676" s="0" t="inlineStr">
        <is>
          <t>'000000000000</t>
        </is>
      </c>
      <c r="G5676" s="0" t="inlineStr">
        <is>
          <t>YOUTH</t>
        </is>
      </c>
      <c r="H5676" s="0" t="inlineStr">
        <is>
          <t>M</t>
        </is>
      </c>
      <c r="I5676" s="0">
        <v>34.99</v>
      </c>
      <c r="J5676" s="0">
        <v>24</v>
      </c>
    </row>
    <row r="5677" spans="1:10" customHeight="0">
      <c r="A5677" s="0">
        <f>HYPERLINK("https://dl.dropboxusercontent.com/scl/fi/vghtzvd5md0bje1bwnxe8/remy-03.jpg?rlkey=vzjf70m83nww1adusixujj3fe&amp;dl=0","Click to download Image")</f>
      </c>
      <c r="B5677" s="0">
        <f>HYPERLINK("https://dl.dropboxusercontent.com/scl/fi/049dqsnch6hctz5onjhxy/size-chartyouth-c.jpg?rlkey=xsurw4lufkdodef4rujd4dhqz&amp;dl=0","Click to download SizeChart")</f>
      </c>
      <c r="C5677" s="0" t="inlineStr">
        <is>
          <t>Remy Youth Glow In The Dark Short Sleeve Shirt</t>
        </is>
      </c>
      <c r="D5677" s="0" t="inlineStr">
        <is>
          <t>'97838</t>
        </is>
      </c>
      <c r="E5677" s="0" t="inlineStr">
        <is>
          <t>REMY:97838C-L</t>
        </is>
      </c>
      <c r="F5677" s="0" t="inlineStr">
        <is>
          <t>'000000000000</t>
        </is>
      </c>
      <c r="G5677" s="0" t="inlineStr">
        <is>
          <t>YOUTH</t>
        </is>
      </c>
      <c r="H5677" s="0" t="inlineStr">
        <is>
          <t>L</t>
        </is>
      </c>
      <c r="I5677" s="0">
        <v>34.99</v>
      </c>
      <c r="J5677" s="0">
        <v>24</v>
      </c>
    </row>
    <row r="5678" spans="1:10" customHeight="0">
      <c r="A5678" s="0">
        <f>HYPERLINK("https://dl.dropboxusercontent.com/scl/fi/vghtzvd5md0bje1bwnxe8/remy-03.jpg?rlkey=vzjf70m83nww1adusixujj3fe&amp;dl=0","Click to download Image")</f>
      </c>
      <c r="B5678" s="0">
        <f>HYPERLINK("https://dl.dropboxusercontent.com/scl/fi/049dqsnch6hctz5onjhxy/size-chartyouth-c.jpg?rlkey=xsurw4lufkdodef4rujd4dhqz&amp;dl=0","Click to download SizeChart")</f>
      </c>
      <c r="C5678" s="0" t="inlineStr">
        <is>
          <t>Remy Youth Glow In The Dark Short Sleeve Shirt</t>
        </is>
      </c>
      <c r="D5678" s="0" t="inlineStr">
        <is>
          <t>'97838</t>
        </is>
      </c>
      <c r="E5678" s="0" t="inlineStr">
        <is>
          <t>REMY:97838D-XL</t>
        </is>
      </c>
      <c r="F5678" s="0" t="inlineStr">
        <is>
          <t>'000000000000</t>
        </is>
      </c>
      <c r="G5678" s="0" t="inlineStr">
        <is>
          <t>YOUTH</t>
        </is>
      </c>
      <c r="H5678" s="0" t="inlineStr">
        <is>
          <t>XL</t>
        </is>
      </c>
      <c r="I5678" s="0">
        <v>34.99</v>
      </c>
      <c r="J5678" s="0">
        <v>31</v>
      </c>
    </row>
    <row r="5679" spans="1:10" customHeight="0">
      <c r="A5679" s="0">
        <f>HYPERLINK("https://dl.dropboxusercontent.com/scl/fi/sq7l62lrp84nwn0al8urz/103985af.jpg?rlkey=omo11gdp1id4ru5im3afx3dmj&amp;dl=0","Click to download Image")</f>
      </c>
      <c r="C5679" s="0" t="inlineStr">
        <is>
          <t>Adriana Women's Tank</t>
        </is>
      </c>
      <c r="D5679" s="0" t="inlineStr">
        <is>
          <t>'104400</t>
        </is>
      </c>
      <c r="E5679" s="0" t="inlineStr">
        <is>
          <t>ADRIANA:104400A-S</t>
        </is>
      </c>
      <c r="F5679" s="0" t="inlineStr">
        <is>
          <t>'000000000000</t>
        </is>
      </c>
      <c r="G5679" s="0" t="inlineStr">
        <is>
          <t>WOMENS</t>
        </is>
      </c>
      <c r="H5679" s="0" t="inlineStr">
        <is>
          <t>S</t>
        </is>
      </c>
      <c r="I5679" s="0">
        <v>34.99</v>
      </c>
      <c r="J5679" s="0">
        <v>11</v>
      </c>
    </row>
    <row r="5680" spans="1:10" customHeight="0">
      <c r="A5680" s="0">
        <f>HYPERLINK("https://dl.dropboxusercontent.com/scl/fi/sq7l62lrp84nwn0al8urz/103985af.jpg?rlkey=omo11gdp1id4ru5im3afx3dmj&amp;dl=0","Click to download Image")</f>
      </c>
      <c r="C5680" s="0" t="inlineStr">
        <is>
          <t>Adriana Women's Tank</t>
        </is>
      </c>
      <c r="D5680" s="0" t="inlineStr">
        <is>
          <t>'104400</t>
        </is>
      </c>
      <c r="E5680" s="0" t="inlineStr">
        <is>
          <t>ADRIANA:104400B-M</t>
        </is>
      </c>
      <c r="F5680" s="0" t="inlineStr">
        <is>
          <t>'000000000000</t>
        </is>
      </c>
      <c r="G5680" s="0" t="inlineStr">
        <is>
          <t>WOMENS</t>
        </is>
      </c>
      <c r="H5680" s="0" t="inlineStr">
        <is>
          <t>M</t>
        </is>
      </c>
      <c r="I5680" s="0">
        <v>34.99</v>
      </c>
      <c r="J5680" s="0">
        <v>4</v>
      </c>
    </row>
    <row r="5681" spans="1:10" customHeight="0">
      <c r="A5681" s="0">
        <f>HYPERLINK("https://dl.dropboxusercontent.com/scl/fi/sq7l62lrp84nwn0al8urz/103985af.jpg?rlkey=omo11gdp1id4ru5im3afx3dmj&amp;dl=0","Click to download Image")</f>
      </c>
      <c r="C5681" s="0" t="inlineStr">
        <is>
          <t>Adriana Women's Tank</t>
        </is>
      </c>
      <c r="D5681" s="0" t="inlineStr">
        <is>
          <t>'104400</t>
        </is>
      </c>
      <c r="E5681" s="0" t="inlineStr">
        <is>
          <t>ADRIANA:104400C-L</t>
        </is>
      </c>
      <c r="F5681" s="0" t="inlineStr">
        <is>
          <t>'000000000000</t>
        </is>
      </c>
      <c r="G5681" s="0" t="inlineStr">
        <is>
          <t>WOMENS</t>
        </is>
      </c>
      <c r="H5681" s="0" t="inlineStr">
        <is>
          <t>L</t>
        </is>
      </c>
      <c r="I5681" s="0">
        <v>34.99</v>
      </c>
      <c r="J5681" s="0">
        <v>31</v>
      </c>
    </row>
    <row r="5682" spans="1:10" customHeight="0">
      <c r="A5682" s="0">
        <f>HYPERLINK("https://dl.dropboxusercontent.com/scl/fi/sq7l62lrp84nwn0al8urz/103985af.jpg?rlkey=omo11gdp1id4ru5im3afx3dmj&amp;dl=0","Click to download Image")</f>
      </c>
      <c r="C5682" s="0" t="inlineStr">
        <is>
          <t>Adriana Women's Tank</t>
        </is>
      </c>
      <c r="D5682" s="0" t="inlineStr">
        <is>
          <t>'104400</t>
        </is>
      </c>
      <c r="E5682" s="0" t="inlineStr">
        <is>
          <t>ADRIANA:104400D-XL</t>
        </is>
      </c>
      <c r="F5682" s="0" t="inlineStr">
        <is>
          <t>'000000000000</t>
        </is>
      </c>
      <c r="G5682" s="0" t="inlineStr">
        <is>
          <t>WOMENS</t>
        </is>
      </c>
      <c r="H5682" s="0" t="inlineStr">
        <is>
          <t>XL</t>
        </is>
      </c>
      <c r="I5682" s="0">
        <v>34.99</v>
      </c>
      <c r="J5682" s="0">
        <v>38</v>
      </c>
    </row>
    <row r="5683" spans="1:10" customHeight="0">
      <c r="A5683" s="0">
        <f>HYPERLINK("https://dl.dropboxusercontent.com/scl/fi/sq7l62lrp84nwn0al8urz/103985af.jpg?rlkey=omo11gdp1id4ru5im3afx3dmj&amp;dl=0","Click to download Image")</f>
      </c>
      <c r="C5683" s="0" t="inlineStr">
        <is>
          <t>Adriana Women's Tank</t>
        </is>
      </c>
      <c r="D5683" s="0" t="inlineStr">
        <is>
          <t>'104400</t>
        </is>
      </c>
      <c r="E5683" s="0" t="inlineStr">
        <is>
          <t>ADRIANA:104400E-2XL</t>
        </is>
      </c>
      <c r="F5683" s="0" t="inlineStr">
        <is>
          <t>'000000000000</t>
        </is>
      </c>
      <c r="G5683" s="0" t="inlineStr">
        <is>
          <t>WOMENS</t>
        </is>
      </c>
      <c r="H5683" s="0" t="inlineStr">
        <is>
          <t>2XL</t>
        </is>
      </c>
      <c r="I5683" s="0">
        <v>34.99</v>
      </c>
      <c r="J5683" s="0">
        <v>28</v>
      </c>
    </row>
    <row r="5684" spans="1:10" customHeight="0">
      <c r="A5684" s="0">
        <f>HYPERLINK("https://dl.dropboxusercontent.com/scl/fi/sq7l62lrp84nwn0al8urz/103985af.jpg?rlkey=omo11gdp1id4ru5im3afx3dmj&amp;dl=0","Click to download Image")</f>
      </c>
      <c r="C5684" s="0" t="inlineStr">
        <is>
          <t>Adriana Women's Tank</t>
        </is>
      </c>
      <c r="D5684" s="0" t="inlineStr">
        <is>
          <t>'104400</t>
        </is>
      </c>
      <c r="E5684" s="0" t="inlineStr">
        <is>
          <t>ADRIANA:104400F-3XL</t>
        </is>
      </c>
      <c r="F5684" s="0" t="inlineStr">
        <is>
          <t>'000000000000</t>
        </is>
      </c>
      <c r="G5684" s="0" t="inlineStr">
        <is>
          <t>WOMENS</t>
        </is>
      </c>
      <c r="H5684" s="0" t="inlineStr">
        <is>
          <t>3XL</t>
        </is>
      </c>
      <c r="I5684" s="0">
        <v>34.99</v>
      </c>
      <c r="J5684" s="0">
        <v>28</v>
      </c>
    </row>
    <row r="5685" spans="1:10" customHeight="0">
      <c r="A5685" s="0">
        <f>HYPERLINK("https://dl.dropboxusercontent.com/scl/fi/1e5hr1d7tz8oum1oa4o0b/90790af35356.jpg?rlkey=2m8s4r9iutzq85w21tjoubk89&amp;dl=0","Click to download Image")</f>
      </c>
      <c r="B5685" s="0">
        <f>HYPERLINK("https://dl.dropboxusercontent.com/scl/fi/11cdd6q062q9lguqma0oa/mens-jackets-size-chartsbowie.jpg?rlkey=17v8dbajwhp3xnuzn67jjrr84&amp;dl=0","Click to download SizeChart")</f>
      </c>
      <c r="C5685" s="0" t="inlineStr">
        <is>
          <t>Bowie Men's Full Zip Jacket</t>
        </is>
      </c>
      <c r="D5685" s="0" t="inlineStr">
        <is>
          <t>'105407</t>
        </is>
      </c>
      <c r="E5685" s="0" t="inlineStr">
        <is>
          <t>BOWIE:105407A-S</t>
        </is>
      </c>
      <c r="F5685" s="0" t="inlineStr">
        <is>
          <t>'000000000000</t>
        </is>
      </c>
      <c r="G5685" s="0" t="inlineStr">
        <is>
          <t>MENS</t>
        </is>
      </c>
      <c r="H5685" s="0" t="inlineStr">
        <is>
          <t>S</t>
        </is>
      </c>
      <c r="I5685" s="0">
        <v>59.99</v>
      </c>
      <c r="J5685" s="0">
        <v>57</v>
      </c>
    </row>
    <row r="5686" spans="1:10" customHeight="0">
      <c r="A5686" s="0">
        <f>HYPERLINK("https://dl.dropboxusercontent.com/scl/fi/1e5hr1d7tz8oum1oa4o0b/90790af35356.jpg?rlkey=2m8s4r9iutzq85w21tjoubk89&amp;dl=0","Click to download Image")</f>
      </c>
      <c r="B5686" s="0">
        <f>HYPERLINK("https://dl.dropboxusercontent.com/scl/fi/11cdd6q062q9lguqma0oa/mens-jackets-size-chartsbowie.jpg?rlkey=17v8dbajwhp3xnuzn67jjrr84&amp;dl=0","Click to download SizeChart")</f>
      </c>
      <c r="C5686" s="0" t="inlineStr">
        <is>
          <t>Bowie Men's Full Zip Jacket</t>
        </is>
      </c>
      <c r="D5686" s="0" t="inlineStr">
        <is>
          <t>'105407</t>
        </is>
      </c>
      <c r="E5686" s="0" t="inlineStr">
        <is>
          <t>BOWIE:105407B-M</t>
        </is>
      </c>
      <c r="F5686" s="0" t="inlineStr">
        <is>
          <t>'000000000000</t>
        </is>
      </c>
      <c r="G5686" s="0" t="inlineStr">
        <is>
          <t>MENS</t>
        </is>
      </c>
      <c r="H5686" s="0" t="inlineStr">
        <is>
          <t>M</t>
        </is>
      </c>
      <c r="I5686" s="0">
        <v>59.99</v>
      </c>
      <c r="J5686" s="0">
        <v>35</v>
      </c>
    </row>
    <row r="5687" spans="1:10" customHeight="0">
      <c r="A5687" s="0">
        <f>HYPERLINK("https://dl.dropboxusercontent.com/scl/fi/1e5hr1d7tz8oum1oa4o0b/90790af35356.jpg?rlkey=2m8s4r9iutzq85w21tjoubk89&amp;dl=0","Click to download Image")</f>
      </c>
      <c r="B5687" s="0">
        <f>HYPERLINK("https://dl.dropboxusercontent.com/scl/fi/11cdd6q062q9lguqma0oa/mens-jackets-size-chartsbowie.jpg?rlkey=17v8dbajwhp3xnuzn67jjrr84&amp;dl=0","Click to download SizeChart")</f>
      </c>
      <c r="C5687" s="0" t="inlineStr">
        <is>
          <t>Bowie Men's Full Zip Jacket</t>
        </is>
      </c>
      <c r="D5687" s="0" t="inlineStr">
        <is>
          <t>'105407</t>
        </is>
      </c>
      <c r="E5687" s="0" t="inlineStr">
        <is>
          <t>BOWIE:105407C-L</t>
        </is>
      </c>
      <c r="F5687" s="0" t="inlineStr">
        <is>
          <t>'000000000000</t>
        </is>
      </c>
      <c r="G5687" s="0" t="inlineStr">
        <is>
          <t>MENS</t>
        </is>
      </c>
      <c r="H5687" s="0" t="inlineStr">
        <is>
          <t>L</t>
        </is>
      </c>
      <c r="I5687" s="0">
        <v>59.99</v>
      </c>
      <c r="J5687" s="0">
        <v>0</v>
      </c>
    </row>
    <row r="5688" spans="1:10" customHeight="0">
      <c r="A5688" s="0">
        <f>HYPERLINK("https://dl.dropboxusercontent.com/scl/fi/1e5hr1d7tz8oum1oa4o0b/90790af35356.jpg?rlkey=2m8s4r9iutzq85w21tjoubk89&amp;dl=0","Click to download Image")</f>
      </c>
      <c r="B5688" s="0">
        <f>HYPERLINK("https://dl.dropboxusercontent.com/scl/fi/11cdd6q062q9lguqma0oa/mens-jackets-size-chartsbowie.jpg?rlkey=17v8dbajwhp3xnuzn67jjrr84&amp;dl=0","Click to download SizeChart")</f>
      </c>
      <c r="C5688" s="0" t="inlineStr">
        <is>
          <t>Bowie Men's Full Zip Jacket</t>
        </is>
      </c>
      <c r="D5688" s="0" t="inlineStr">
        <is>
          <t>'105407</t>
        </is>
      </c>
      <c r="E5688" s="0" t="inlineStr">
        <is>
          <t>BOWIE:105407D-XL</t>
        </is>
      </c>
      <c r="F5688" s="0" t="inlineStr">
        <is>
          <t>'000000000000</t>
        </is>
      </c>
      <c r="G5688" s="0" t="inlineStr">
        <is>
          <t>MENS</t>
        </is>
      </c>
      <c r="H5688" s="0" t="inlineStr">
        <is>
          <t>XL</t>
        </is>
      </c>
      <c r="I5688" s="0">
        <v>59.99</v>
      </c>
      <c r="J5688" s="0">
        <v>0</v>
      </c>
    </row>
    <row r="5689" spans="1:10" customHeight="0">
      <c r="A5689" s="0">
        <f>HYPERLINK("https://dl.dropboxusercontent.com/scl/fi/1e5hr1d7tz8oum1oa4o0b/90790af35356.jpg?rlkey=2m8s4r9iutzq85w21tjoubk89&amp;dl=0","Click to download Image")</f>
      </c>
      <c r="B5689" s="0">
        <f>HYPERLINK("https://dl.dropboxusercontent.com/scl/fi/11cdd6q062q9lguqma0oa/mens-jackets-size-chartsbowie.jpg?rlkey=17v8dbajwhp3xnuzn67jjrr84&amp;dl=0","Click to download SizeChart")</f>
      </c>
      <c r="C5689" s="0" t="inlineStr">
        <is>
          <t>Bowie Men's Full Zip Jacket</t>
        </is>
      </c>
      <c r="D5689" s="0" t="inlineStr">
        <is>
          <t>'105407</t>
        </is>
      </c>
      <c r="E5689" s="0" t="inlineStr">
        <is>
          <t>BOWIE:105407E-2XL</t>
        </is>
      </c>
      <c r="F5689" s="0" t="inlineStr">
        <is>
          <t>'000000000000</t>
        </is>
      </c>
      <c r="G5689" s="0" t="inlineStr">
        <is>
          <t>MENS</t>
        </is>
      </c>
      <c r="H5689" s="0" t="inlineStr">
        <is>
          <t>2XL</t>
        </is>
      </c>
      <c r="I5689" s="0">
        <v>61.99</v>
      </c>
      <c r="J5689" s="0">
        <v>12</v>
      </c>
    </row>
    <row r="5690" spans="1:10" customHeight="0">
      <c r="A5690" s="0">
        <f>HYPERLINK("https://dl.dropboxusercontent.com/scl/fi/1e5hr1d7tz8oum1oa4o0b/90790af35356.jpg?rlkey=2m8s4r9iutzq85w21tjoubk89&amp;dl=0","Click to download Image")</f>
      </c>
      <c r="B5690" s="0">
        <f>HYPERLINK("https://dl.dropboxusercontent.com/scl/fi/11cdd6q062q9lguqma0oa/mens-jackets-size-chartsbowie.jpg?rlkey=17v8dbajwhp3xnuzn67jjrr84&amp;dl=0","Click to download SizeChart")</f>
      </c>
      <c r="C5690" s="0" t="inlineStr">
        <is>
          <t>Bowie Men's Full Zip Jacket</t>
        </is>
      </c>
      <c r="D5690" s="0" t="inlineStr">
        <is>
          <t>'105407</t>
        </is>
      </c>
      <c r="E5690" s="0" t="inlineStr">
        <is>
          <t>BOWIE:105407F-3XL</t>
        </is>
      </c>
      <c r="F5690" s="0" t="inlineStr">
        <is>
          <t>'000000000000</t>
        </is>
      </c>
      <c r="G5690" s="0" t="inlineStr">
        <is>
          <t>MENS</t>
        </is>
      </c>
      <c r="H5690" s="0" t="inlineStr">
        <is>
          <t>3XL</t>
        </is>
      </c>
      <c r="I5690" s="0">
        <v>61.99</v>
      </c>
      <c r="J5690" s="0">
        <v>23</v>
      </c>
    </row>
    <row r="5691" spans="1:10" customHeight="0">
      <c r="A5691" s="0">
        <f>HYPERLINK("https://dl.dropboxusercontent.com/scl/fi/05mjye9tqz14tq3cjmds9/90790af37956.jpg?rlkey=d94o0oql20ji7busftrt9wqcx&amp;dl=0","Click to download Image")</f>
      </c>
      <c r="B5691" s="0">
        <f>HYPERLINK("https://dl.dropboxusercontent.com/scl/fi/11cdd6q062q9lguqma0oa/mens-jackets-size-chartsbowie.jpg?rlkey=17v8dbajwhp3xnuzn67jjrr84&amp;dl=0","Click to download SizeChart")</f>
      </c>
      <c r="C5691" s="0" t="inlineStr">
        <is>
          <t>Bowie Men's Full Zip Jacket</t>
        </is>
      </c>
      <c r="D5691" s="0" t="inlineStr">
        <is>
          <t>'105483</t>
        </is>
      </c>
      <c r="E5691" s="0" t="inlineStr">
        <is>
          <t>BOWIE:105483A-S</t>
        </is>
      </c>
      <c r="F5691" s="0" t="inlineStr">
        <is>
          <t>'000000000000</t>
        </is>
      </c>
      <c r="G5691" s="0" t="inlineStr">
        <is>
          <t>MENS</t>
        </is>
      </c>
      <c r="H5691" s="0" t="inlineStr">
        <is>
          <t>S</t>
        </is>
      </c>
      <c r="I5691" s="0">
        <v>59.99</v>
      </c>
      <c r="J5691" s="0">
        <v>27</v>
      </c>
    </row>
    <row r="5692" spans="1:10" customHeight="0">
      <c r="A5692" s="0">
        <f>HYPERLINK("https://dl.dropboxusercontent.com/scl/fi/05mjye9tqz14tq3cjmds9/90790af37956.jpg?rlkey=d94o0oql20ji7busftrt9wqcx&amp;dl=0","Click to download Image")</f>
      </c>
      <c r="B5692" s="0">
        <f>HYPERLINK("https://dl.dropboxusercontent.com/scl/fi/11cdd6q062q9lguqma0oa/mens-jackets-size-chartsbowie.jpg?rlkey=17v8dbajwhp3xnuzn67jjrr84&amp;dl=0","Click to download SizeChart")</f>
      </c>
      <c r="C5692" s="0" t="inlineStr">
        <is>
          <t>Bowie Men's Full Zip Jacket</t>
        </is>
      </c>
      <c r="D5692" s="0" t="inlineStr">
        <is>
          <t>'105483</t>
        </is>
      </c>
      <c r="E5692" s="0" t="inlineStr">
        <is>
          <t>BOWIE:105483B-M</t>
        </is>
      </c>
      <c r="F5692" s="0" t="inlineStr">
        <is>
          <t>'000000000000</t>
        </is>
      </c>
      <c r="G5692" s="0" t="inlineStr">
        <is>
          <t>MENS</t>
        </is>
      </c>
      <c r="H5692" s="0" t="inlineStr">
        <is>
          <t>M</t>
        </is>
      </c>
      <c r="I5692" s="0">
        <v>59.99</v>
      </c>
      <c r="J5692" s="0">
        <v>10</v>
      </c>
    </row>
    <row r="5693" spans="1:10" customHeight="0">
      <c r="A5693" s="0">
        <f>HYPERLINK("https://dl.dropboxusercontent.com/scl/fi/05mjye9tqz14tq3cjmds9/90790af37956.jpg?rlkey=d94o0oql20ji7busftrt9wqcx&amp;dl=0","Click to download Image")</f>
      </c>
      <c r="B5693" s="0">
        <f>HYPERLINK("https://dl.dropboxusercontent.com/scl/fi/11cdd6q062q9lguqma0oa/mens-jackets-size-chartsbowie.jpg?rlkey=17v8dbajwhp3xnuzn67jjrr84&amp;dl=0","Click to download SizeChart")</f>
      </c>
      <c r="C5693" s="0" t="inlineStr">
        <is>
          <t>Bowie Men's Full Zip Jacket</t>
        </is>
      </c>
      <c r="D5693" s="0" t="inlineStr">
        <is>
          <t>'105483</t>
        </is>
      </c>
      <c r="E5693" s="0" t="inlineStr">
        <is>
          <t>BOWIE:105483C-L</t>
        </is>
      </c>
      <c r="F5693" s="0" t="inlineStr">
        <is>
          <t>'000000000000</t>
        </is>
      </c>
      <c r="G5693" s="0" t="inlineStr">
        <is>
          <t>MENS</t>
        </is>
      </c>
      <c r="H5693" s="0" t="inlineStr">
        <is>
          <t>L</t>
        </is>
      </c>
      <c r="I5693" s="0">
        <v>59.99</v>
      </c>
      <c r="J5693" s="0">
        <v>0</v>
      </c>
    </row>
    <row r="5694" spans="1:10" customHeight="0">
      <c r="A5694" s="0">
        <f>HYPERLINK("https://dl.dropboxusercontent.com/scl/fi/05mjye9tqz14tq3cjmds9/90790af37956.jpg?rlkey=d94o0oql20ji7busftrt9wqcx&amp;dl=0","Click to download Image")</f>
      </c>
      <c r="B5694" s="0">
        <f>HYPERLINK("https://dl.dropboxusercontent.com/scl/fi/11cdd6q062q9lguqma0oa/mens-jackets-size-chartsbowie.jpg?rlkey=17v8dbajwhp3xnuzn67jjrr84&amp;dl=0","Click to download SizeChart")</f>
      </c>
      <c r="C5694" s="0" t="inlineStr">
        <is>
          <t>Bowie Men's Full Zip Jacket</t>
        </is>
      </c>
      <c r="D5694" s="0" t="inlineStr">
        <is>
          <t>'105483</t>
        </is>
      </c>
      <c r="E5694" s="0" t="inlineStr">
        <is>
          <t>BOWIE:105483D-XL</t>
        </is>
      </c>
      <c r="F5694" s="0" t="inlineStr">
        <is>
          <t>'000000000000</t>
        </is>
      </c>
      <c r="G5694" s="0" t="inlineStr">
        <is>
          <t>MENS</t>
        </is>
      </c>
      <c r="H5694" s="0" t="inlineStr">
        <is>
          <t>XL</t>
        </is>
      </c>
      <c r="I5694" s="0">
        <v>59.99</v>
      </c>
      <c r="J5694" s="0">
        <v>0</v>
      </c>
    </row>
    <row r="5695" spans="1:10" customHeight="0">
      <c r="A5695" s="0">
        <f>HYPERLINK("https://dl.dropboxusercontent.com/scl/fi/05mjye9tqz14tq3cjmds9/90790af37956.jpg?rlkey=d94o0oql20ji7busftrt9wqcx&amp;dl=0","Click to download Image")</f>
      </c>
      <c r="B5695" s="0">
        <f>HYPERLINK("https://dl.dropboxusercontent.com/scl/fi/11cdd6q062q9lguqma0oa/mens-jackets-size-chartsbowie.jpg?rlkey=17v8dbajwhp3xnuzn67jjrr84&amp;dl=0","Click to download SizeChart")</f>
      </c>
      <c r="C5695" s="0" t="inlineStr">
        <is>
          <t>Bowie Men's Full Zip Jacket</t>
        </is>
      </c>
      <c r="D5695" s="0" t="inlineStr">
        <is>
          <t>'105483</t>
        </is>
      </c>
      <c r="E5695" s="0" t="inlineStr">
        <is>
          <t>BOWIE:105483E-2XL</t>
        </is>
      </c>
      <c r="F5695" s="0" t="inlineStr">
        <is>
          <t>'000000000000</t>
        </is>
      </c>
      <c r="G5695" s="0" t="inlineStr">
        <is>
          <t>MENS</t>
        </is>
      </c>
      <c r="H5695" s="0" t="inlineStr">
        <is>
          <t>2XL</t>
        </is>
      </c>
      <c r="I5695" s="0">
        <v>61.99</v>
      </c>
      <c r="J5695" s="0">
        <v>0</v>
      </c>
    </row>
    <row r="5696" spans="1:10" customHeight="0">
      <c r="A5696" s="0">
        <f>HYPERLINK("https://dl.dropboxusercontent.com/scl/fi/05mjye9tqz14tq3cjmds9/90790af37956.jpg?rlkey=d94o0oql20ji7busftrt9wqcx&amp;dl=0","Click to download Image")</f>
      </c>
      <c r="B5696" s="0">
        <f>HYPERLINK("https://dl.dropboxusercontent.com/scl/fi/11cdd6q062q9lguqma0oa/mens-jackets-size-chartsbowie.jpg?rlkey=17v8dbajwhp3xnuzn67jjrr84&amp;dl=0","Click to download SizeChart")</f>
      </c>
      <c r="C5696" s="0" t="inlineStr">
        <is>
          <t>Bowie Men's Full Zip Jacket</t>
        </is>
      </c>
      <c r="D5696" s="0" t="inlineStr">
        <is>
          <t>'105483</t>
        </is>
      </c>
      <c r="E5696" s="0" t="inlineStr">
        <is>
          <t>BOWIE:105483F-3XL</t>
        </is>
      </c>
      <c r="F5696" s="0" t="inlineStr">
        <is>
          <t>'000000000000</t>
        </is>
      </c>
      <c r="G5696" s="0" t="inlineStr">
        <is>
          <t>MENS</t>
        </is>
      </c>
      <c r="H5696" s="0" t="inlineStr">
        <is>
          <t>3XL</t>
        </is>
      </c>
      <c r="I5696" s="0">
        <v>61.99</v>
      </c>
      <c r="J5696" s="0">
        <v>9</v>
      </c>
    </row>
    <row r="5697" spans="1:10" customHeight="0">
      <c r="A5697" s="0">
        <f>HYPERLINK("https://dl.dropboxusercontent.com/scl/fi/z3dl3e9jh6c745lahy28t/96354af58056.png?rlkey=rtm7d0hzirtcaghcjfkgeepuc&amp;dl=0","Click to download Image")</f>
      </c>
      <c r="B5697" s="0">
        <f>HYPERLINK("https://dl.dropboxusercontent.com/scl/fi/skczer7x88r19mkt256b7/graphic-update2022-womens.jpg?rlkey=ip553hpq1mzm9c3085vgx5f2u&amp;dl=0","Click to download SizeChart")</f>
      </c>
      <c r="C5697" s="0" t="inlineStr">
        <is>
          <t>Bowie Women's Full Zip Jacket</t>
        </is>
      </c>
      <c r="D5697" s="0" t="inlineStr">
        <is>
          <t>'105409</t>
        </is>
      </c>
      <c r="E5697" s="0" t="inlineStr">
        <is>
          <t>BOWIE:105409A-S</t>
        </is>
      </c>
      <c r="F5697" s="0" t="inlineStr">
        <is>
          <t>'000000000000</t>
        </is>
      </c>
      <c r="G5697" s="0" t="inlineStr">
        <is>
          <t>WOMENS</t>
        </is>
      </c>
      <c r="H5697" s="0" t="inlineStr">
        <is>
          <t>S</t>
        </is>
      </c>
      <c r="I5697" s="0">
        <v>59.99</v>
      </c>
      <c r="J5697" s="0">
        <v>62</v>
      </c>
    </row>
    <row r="5698" spans="1:10" customHeight="0">
      <c r="A5698" s="0">
        <f>HYPERLINK("https://dl.dropboxusercontent.com/scl/fi/z3dl3e9jh6c745lahy28t/96354af58056.png?rlkey=rtm7d0hzirtcaghcjfkgeepuc&amp;dl=0","Click to download Image")</f>
      </c>
      <c r="B5698" s="0">
        <f>HYPERLINK("https://dl.dropboxusercontent.com/scl/fi/skczer7x88r19mkt256b7/graphic-update2022-womens.jpg?rlkey=ip553hpq1mzm9c3085vgx5f2u&amp;dl=0","Click to download SizeChart")</f>
      </c>
      <c r="C5698" s="0" t="inlineStr">
        <is>
          <t>Bowie Women's Full Zip Jacket</t>
        </is>
      </c>
      <c r="D5698" s="0" t="inlineStr">
        <is>
          <t>'105409</t>
        </is>
      </c>
      <c r="E5698" s="0" t="inlineStr">
        <is>
          <t>BOWIE:105409B-M</t>
        </is>
      </c>
      <c r="F5698" s="0" t="inlineStr">
        <is>
          <t>'000000000000</t>
        </is>
      </c>
      <c r="G5698" s="0" t="inlineStr">
        <is>
          <t>WOMENS</t>
        </is>
      </c>
      <c r="H5698" s="0" t="inlineStr">
        <is>
          <t>M</t>
        </is>
      </c>
      <c r="I5698" s="0">
        <v>59.99</v>
      </c>
      <c r="J5698" s="0">
        <v>58</v>
      </c>
    </row>
    <row r="5699" spans="1:10" customHeight="0">
      <c r="A5699" s="0">
        <f>HYPERLINK("https://dl.dropboxusercontent.com/scl/fi/z3dl3e9jh6c745lahy28t/96354af58056.png?rlkey=rtm7d0hzirtcaghcjfkgeepuc&amp;dl=0","Click to download Image")</f>
      </c>
      <c r="B5699" s="0">
        <f>HYPERLINK("https://dl.dropboxusercontent.com/scl/fi/skczer7x88r19mkt256b7/graphic-update2022-womens.jpg?rlkey=ip553hpq1mzm9c3085vgx5f2u&amp;dl=0","Click to download SizeChart")</f>
      </c>
      <c r="C5699" s="0" t="inlineStr">
        <is>
          <t>Bowie Women's Full Zip Jacket</t>
        </is>
      </c>
      <c r="D5699" s="0" t="inlineStr">
        <is>
          <t>'105409</t>
        </is>
      </c>
      <c r="E5699" s="0" t="inlineStr">
        <is>
          <t>BOWIE:105409C-L</t>
        </is>
      </c>
      <c r="F5699" s="0" t="inlineStr">
        <is>
          <t>'000000000000</t>
        </is>
      </c>
      <c r="G5699" s="0" t="inlineStr">
        <is>
          <t>WOMENS</t>
        </is>
      </c>
      <c r="H5699" s="0" t="inlineStr">
        <is>
          <t>L</t>
        </is>
      </c>
      <c r="I5699" s="0">
        <v>59.99</v>
      </c>
      <c r="J5699" s="0">
        <v>44</v>
      </c>
    </row>
    <row r="5700" spans="1:10" customHeight="0">
      <c r="A5700" s="0">
        <f>HYPERLINK("https://dl.dropboxusercontent.com/scl/fi/z3dl3e9jh6c745lahy28t/96354af58056.png?rlkey=rtm7d0hzirtcaghcjfkgeepuc&amp;dl=0","Click to download Image")</f>
      </c>
      <c r="B5700" s="0">
        <f>HYPERLINK("https://dl.dropboxusercontent.com/scl/fi/skczer7x88r19mkt256b7/graphic-update2022-womens.jpg?rlkey=ip553hpq1mzm9c3085vgx5f2u&amp;dl=0","Click to download SizeChart")</f>
      </c>
      <c r="C5700" s="0" t="inlineStr">
        <is>
          <t>Bowie Women's Full Zip Jacket</t>
        </is>
      </c>
      <c r="D5700" s="0" t="inlineStr">
        <is>
          <t>'105409</t>
        </is>
      </c>
      <c r="E5700" s="0" t="inlineStr">
        <is>
          <t>BOWIE:105409D-XL</t>
        </is>
      </c>
      <c r="F5700" s="0" t="inlineStr">
        <is>
          <t>'000000000000</t>
        </is>
      </c>
      <c r="G5700" s="0" t="inlineStr">
        <is>
          <t>WOMENS</t>
        </is>
      </c>
      <c r="H5700" s="0" t="inlineStr">
        <is>
          <t>XL</t>
        </is>
      </c>
      <c r="I5700" s="0">
        <v>59.99</v>
      </c>
      <c r="J5700" s="0">
        <v>44</v>
      </c>
    </row>
    <row r="5701" spans="1:10" customHeight="0">
      <c r="A5701" s="0">
        <f>HYPERLINK("https://dl.dropboxusercontent.com/scl/fi/z3dl3e9jh6c745lahy28t/96354af58056.png?rlkey=rtm7d0hzirtcaghcjfkgeepuc&amp;dl=0","Click to download Image")</f>
      </c>
      <c r="B5701" s="0">
        <f>HYPERLINK("https://dl.dropboxusercontent.com/scl/fi/skczer7x88r19mkt256b7/graphic-update2022-womens.jpg?rlkey=ip553hpq1mzm9c3085vgx5f2u&amp;dl=0","Click to download SizeChart")</f>
      </c>
      <c r="C5701" s="0" t="inlineStr">
        <is>
          <t>Bowie Women's Full Zip Jacket</t>
        </is>
      </c>
      <c r="D5701" s="0" t="inlineStr">
        <is>
          <t>'105409</t>
        </is>
      </c>
      <c r="E5701" s="0" t="inlineStr">
        <is>
          <t>BOWIE:105409E-2XL</t>
        </is>
      </c>
      <c r="F5701" s="0" t="inlineStr">
        <is>
          <t>'000000000000</t>
        </is>
      </c>
      <c r="G5701" s="0" t="inlineStr">
        <is>
          <t>WOMENS</t>
        </is>
      </c>
      <c r="H5701" s="0" t="inlineStr">
        <is>
          <t>2XL</t>
        </is>
      </c>
      <c r="I5701" s="0">
        <v>61.99</v>
      </c>
      <c r="J5701" s="0">
        <v>37</v>
      </c>
    </row>
    <row r="5702" spans="1:10" customHeight="0">
      <c r="A5702" s="0">
        <f>HYPERLINK("https://dl.dropboxusercontent.com/scl/fi/z3dl3e9jh6c745lahy28t/96354af58056.png?rlkey=rtm7d0hzirtcaghcjfkgeepuc&amp;dl=0","Click to download Image")</f>
      </c>
      <c r="B5702" s="0">
        <f>HYPERLINK("https://dl.dropboxusercontent.com/scl/fi/skczer7x88r19mkt256b7/graphic-update2022-womens.jpg?rlkey=ip553hpq1mzm9c3085vgx5f2u&amp;dl=0","Click to download SizeChart")</f>
      </c>
      <c r="C5702" s="0" t="inlineStr">
        <is>
          <t>Bowie Women's Full Zip Jacket</t>
        </is>
      </c>
      <c r="D5702" s="0" t="inlineStr">
        <is>
          <t>'105409</t>
        </is>
      </c>
      <c r="E5702" s="0" t="inlineStr">
        <is>
          <t>BOWIE:105409F-3XL</t>
        </is>
      </c>
      <c r="F5702" s="0" t="inlineStr">
        <is>
          <t>'000000000000</t>
        </is>
      </c>
      <c r="G5702" s="0" t="inlineStr">
        <is>
          <t>WOMENS</t>
        </is>
      </c>
      <c r="H5702" s="0" t="inlineStr">
        <is>
          <t>3XL</t>
        </is>
      </c>
      <c r="I5702" s="0">
        <v>61.99</v>
      </c>
      <c r="J5702" s="0">
        <v>5</v>
      </c>
    </row>
    <row r="5703" spans="1:10" customHeight="0">
      <c r="A5703" s="0">
        <f>HYPERLINK("https://dl.dropboxusercontent.com/scl/fi/etpxb3400ehw69xlr0rki/96354af82554.png?rlkey=y9z8hsah910qgddjt284du6pv&amp;dl=0","Click to download Image")</f>
      </c>
      <c r="B5703" s="0">
        <f>HYPERLINK("https://dl.dropboxusercontent.com/scl/fi/skczer7x88r19mkt256b7/graphic-update2022-womens.jpg?rlkey=ip553hpq1mzm9c3085vgx5f2u&amp;dl=0","Click to download SizeChart")</f>
      </c>
      <c r="C5703" s="0" t="inlineStr">
        <is>
          <t>Bowie Women's Full Zip Jacket</t>
        </is>
      </c>
      <c r="D5703" s="0" t="inlineStr">
        <is>
          <t>'105484</t>
        </is>
      </c>
      <c r="E5703" s="0" t="inlineStr">
        <is>
          <t>BOWIE:105484A-S</t>
        </is>
      </c>
      <c r="F5703" s="0" t="inlineStr">
        <is>
          <t>'000000000000</t>
        </is>
      </c>
      <c r="G5703" s="0" t="inlineStr">
        <is>
          <t>WOMENS</t>
        </is>
      </c>
      <c r="H5703" s="0" t="inlineStr">
        <is>
          <t>S</t>
        </is>
      </c>
      <c r="I5703" s="0">
        <v>59.99</v>
      </c>
      <c r="J5703" s="0">
        <v>21</v>
      </c>
    </row>
    <row r="5704" spans="1:10" customHeight="0">
      <c r="A5704" s="0">
        <f>HYPERLINK("https://dl.dropboxusercontent.com/scl/fi/etpxb3400ehw69xlr0rki/96354af82554.png?rlkey=y9z8hsah910qgddjt284du6pv&amp;dl=0","Click to download Image")</f>
      </c>
      <c r="B5704" s="0">
        <f>HYPERLINK("https://dl.dropboxusercontent.com/scl/fi/skczer7x88r19mkt256b7/graphic-update2022-womens.jpg?rlkey=ip553hpq1mzm9c3085vgx5f2u&amp;dl=0","Click to download SizeChart")</f>
      </c>
      <c r="C5704" s="0" t="inlineStr">
        <is>
          <t>Bowie Women's Full Zip Jacket</t>
        </is>
      </c>
      <c r="D5704" s="0" t="inlineStr">
        <is>
          <t>'105484</t>
        </is>
      </c>
      <c r="E5704" s="0" t="inlineStr">
        <is>
          <t>BOWIE:105484B-M</t>
        </is>
      </c>
      <c r="F5704" s="0" t="inlineStr">
        <is>
          <t>'000000000000</t>
        </is>
      </c>
      <c r="G5704" s="0" t="inlineStr">
        <is>
          <t>WOMENS</t>
        </is>
      </c>
      <c r="H5704" s="0" t="inlineStr">
        <is>
          <t>M</t>
        </is>
      </c>
      <c r="I5704" s="0">
        <v>59.99</v>
      </c>
      <c r="J5704" s="0">
        <v>6</v>
      </c>
    </row>
    <row r="5705" spans="1:10" customHeight="0">
      <c r="A5705" s="0">
        <f>HYPERLINK("https://dl.dropboxusercontent.com/scl/fi/etpxb3400ehw69xlr0rki/96354af82554.png?rlkey=y9z8hsah910qgddjt284du6pv&amp;dl=0","Click to download Image")</f>
      </c>
      <c r="B5705" s="0">
        <f>HYPERLINK("https://dl.dropboxusercontent.com/scl/fi/skczer7x88r19mkt256b7/graphic-update2022-womens.jpg?rlkey=ip553hpq1mzm9c3085vgx5f2u&amp;dl=0","Click to download SizeChart")</f>
      </c>
      <c r="C5705" s="0" t="inlineStr">
        <is>
          <t>Bowie Women's Full Zip Jacket</t>
        </is>
      </c>
      <c r="D5705" s="0" t="inlineStr">
        <is>
          <t>'105484</t>
        </is>
      </c>
      <c r="E5705" s="0" t="inlineStr">
        <is>
          <t>BOWIE:105484C-L</t>
        </is>
      </c>
      <c r="F5705" s="0" t="inlineStr">
        <is>
          <t>'000000000000</t>
        </is>
      </c>
      <c r="G5705" s="0" t="inlineStr">
        <is>
          <t>WOMENS</t>
        </is>
      </c>
      <c r="H5705" s="0" t="inlineStr">
        <is>
          <t>L</t>
        </is>
      </c>
      <c r="I5705" s="0">
        <v>59.99</v>
      </c>
      <c r="J5705" s="0">
        <v>10</v>
      </c>
    </row>
    <row r="5706" spans="1:10" customHeight="0">
      <c r="A5706" s="0">
        <f>HYPERLINK("https://dl.dropboxusercontent.com/scl/fi/etpxb3400ehw69xlr0rki/96354af82554.png?rlkey=y9z8hsah910qgddjt284du6pv&amp;dl=0","Click to download Image")</f>
      </c>
      <c r="B5706" s="0">
        <f>HYPERLINK("https://dl.dropboxusercontent.com/scl/fi/skczer7x88r19mkt256b7/graphic-update2022-womens.jpg?rlkey=ip553hpq1mzm9c3085vgx5f2u&amp;dl=0","Click to download SizeChart")</f>
      </c>
      <c r="C5706" s="0" t="inlineStr">
        <is>
          <t>Bowie Women's Full Zip Jacket</t>
        </is>
      </c>
      <c r="D5706" s="0" t="inlineStr">
        <is>
          <t>'105484</t>
        </is>
      </c>
      <c r="E5706" s="0" t="inlineStr">
        <is>
          <t>BOWIE:105484D-XL</t>
        </is>
      </c>
      <c r="F5706" s="0" t="inlineStr">
        <is>
          <t>'000000000000</t>
        </is>
      </c>
      <c r="G5706" s="0" t="inlineStr">
        <is>
          <t>WOMENS</t>
        </is>
      </c>
      <c r="H5706" s="0" t="inlineStr">
        <is>
          <t>XL</t>
        </is>
      </c>
      <c r="I5706" s="0">
        <v>59.99</v>
      </c>
      <c r="J5706" s="0">
        <v>17</v>
      </c>
    </row>
    <row r="5707" spans="1:10" customHeight="0">
      <c r="A5707" s="0">
        <f>HYPERLINK("https://dl.dropboxusercontent.com/scl/fi/etpxb3400ehw69xlr0rki/96354af82554.png?rlkey=y9z8hsah910qgddjt284du6pv&amp;dl=0","Click to download Image")</f>
      </c>
      <c r="B5707" s="0">
        <f>HYPERLINK("https://dl.dropboxusercontent.com/scl/fi/skczer7x88r19mkt256b7/graphic-update2022-womens.jpg?rlkey=ip553hpq1mzm9c3085vgx5f2u&amp;dl=0","Click to download SizeChart")</f>
      </c>
      <c r="C5707" s="0" t="inlineStr">
        <is>
          <t>Bowie Women's Full Zip Jacket</t>
        </is>
      </c>
      <c r="D5707" s="0" t="inlineStr">
        <is>
          <t>'105484</t>
        </is>
      </c>
      <c r="E5707" s="0" t="inlineStr">
        <is>
          <t>BOWIE:105484E-2XL</t>
        </is>
      </c>
      <c r="F5707" s="0" t="inlineStr">
        <is>
          <t>'000000000000</t>
        </is>
      </c>
      <c r="G5707" s="0" t="inlineStr">
        <is>
          <t>WOMENS</t>
        </is>
      </c>
      <c r="H5707" s="0" t="inlineStr">
        <is>
          <t>2XL</t>
        </is>
      </c>
      <c r="I5707" s="0">
        <v>61.99</v>
      </c>
      <c r="J5707" s="0">
        <v>12</v>
      </c>
    </row>
    <row r="5708" spans="1:10" customHeight="0">
      <c r="A5708" s="0">
        <f>HYPERLINK("https://dl.dropboxusercontent.com/scl/fi/etpxb3400ehw69xlr0rki/96354af82554.png?rlkey=y9z8hsah910qgddjt284du6pv&amp;dl=0","Click to download Image")</f>
      </c>
      <c r="B5708" s="0">
        <f>HYPERLINK("https://dl.dropboxusercontent.com/scl/fi/skczer7x88r19mkt256b7/graphic-update2022-womens.jpg?rlkey=ip553hpq1mzm9c3085vgx5f2u&amp;dl=0","Click to download SizeChart")</f>
      </c>
      <c r="C5708" s="0" t="inlineStr">
        <is>
          <t>Bowie Women's Full Zip Jacket</t>
        </is>
      </c>
      <c r="D5708" s="0" t="inlineStr">
        <is>
          <t>'105484</t>
        </is>
      </c>
      <c r="E5708" s="0" t="inlineStr">
        <is>
          <t>BOWIE:105484F-3XL</t>
        </is>
      </c>
      <c r="F5708" s="0" t="inlineStr">
        <is>
          <t>'000000000000</t>
        </is>
      </c>
      <c r="G5708" s="0" t="inlineStr">
        <is>
          <t>WOMENS</t>
        </is>
      </c>
      <c r="H5708" s="0" t="inlineStr">
        <is>
          <t>3XL</t>
        </is>
      </c>
      <c r="I5708" s="0">
        <v>61.99</v>
      </c>
      <c r="J5708" s="0">
        <v>14</v>
      </c>
    </row>
    <row r="5709" spans="1:10" customHeight="0">
      <c r="A5709" s="0">
        <f>HYPERLINK("https://dl.dropboxusercontent.com/scl/fi/azakc1pq9qi9ht90ai02z/98832af.jpg?rlkey=hbx29iku5y6o0t8v05fkggf9y&amp;dl=0","Click to download Image")</f>
      </c>
      <c r="C5709" s="0" t="inlineStr">
        <is>
          <t>Amy Full Zip Youth Hoodie</t>
        </is>
      </c>
      <c r="D5709" s="0" t="inlineStr">
        <is>
          <t>'98832</t>
        </is>
      </c>
      <c r="E5709" s="0" t="inlineStr">
        <is>
          <t>AMY:98832A-S</t>
        </is>
      </c>
      <c r="F5709" s="0" t="inlineStr">
        <is>
          <t>'000000000000</t>
        </is>
      </c>
      <c r="G5709" s="0" t="inlineStr">
        <is>
          <t>YOUTH</t>
        </is>
      </c>
      <c r="H5709" s="0" t="inlineStr">
        <is>
          <t>YS</t>
        </is>
      </c>
      <c r="I5709" s="0">
        <v>34.99</v>
      </c>
      <c r="J5709" s="0">
        <v>33</v>
      </c>
    </row>
    <row r="5710" spans="1:10" customHeight="0">
      <c r="A5710" s="0">
        <f>HYPERLINK("https://dl.dropboxusercontent.com/scl/fi/azakc1pq9qi9ht90ai02z/98832af.jpg?rlkey=hbx29iku5y6o0t8v05fkggf9y&amp;dl=0","Click to download Image")</f>
      </c>
      <c r="C5710" s="0" t="inlineStr">
        <is>
          <t>Amy Full Zip Youth Hoodie</t>
        </is>
      </c>
      <c r="D5710" s="0" t="inlineStr">
        <is>
          <t>'98832</t>
        </is>
      </c>
      <c r="E5710" s="0" t="inlineStr">
        <is>
          <t>AMY:98832B-M</t>
        </is>
      </c>
      <c r="F5710" s="0" t="inlineStr">
        <is>
          <t>'000000000000</t>
        </is>
      </c>
      <c r="G5710" s="0" t="inlineStr">
        <is>
          <t>YOUTH</t>
        </is>
      </c>
      <c r="H5710" s="0" t="inlineStr">
        <is>
          <t>YM</t>
        </is>
      </c>
      <c r="I5710" s="0">
        <v>34.99</v>
      </c>
      <c r="J5710" s="0">
        <v>37</v>
      </c>
    </row>
    <row r="5711" spans="1:10" customHeight="0">
      <c r="A5711" s="0">
        <f>HYPERLINK("https://dl.dropboxusercontent.com/scl/fi/azakc1pq9qi9ht90ai02z/98832af.jpg?rlkey=hbx29iku5y6o0t8v05fkggf9y&amp;dl=0","Click to download Image")</f>
      </c>
      <c r="C5711" s="0" t="inlineStr">
        <is>
          <t>Amy Full Zip Youth Hoodie</t>
        </is>
      </c>
      <c r="D5711" s="0" t="inlineStr">
        <is>
          <t>'98832</t>
        </is>
      </c>
      <c r="E5711" s="0" t="inlineStr">
        <is>
          <t>AMY:98832C-L</t>
        </is>
      </c>
      <c r="F5711" s="0" t="inlineStr">
        <is>
          <t>'000000000000</t>
        </is>
      </c>
      <c r="G5711" s="0" t="inlineStr">
        <is>
          <t>YOUTH</t>
        </is>
      </c>
      <c r="H5711" s="0" t="inlineStr">
        <is>
          <t>YL</t>
        </is>
      </c>
      <c r="I5711" s="0">
        <v>34.99</v>
      </c>
      <c r="J5711" s="0">
        <v>40</v>
      </c>
    </row>
    <row r="5712" spans="1:10" customHeight="0">
      <c r="A5712" s="0">
        <f>HYPERLINK("https://dl.dropboxusercontent.com/scl/fi/azakc1pq9qi9ht90ai02z/98832af.jpg?rlkey=hbx29iku5y6o0t8v05fkggf9y&amp;dl=0","Click to download Image")</f>
      </c>
      <c r="C5712" s="0" t="inlineStr">
        <is>
          <t>Amy Full Zip Youth Hoodie</t>
        </is>
      </c>
      <c r="D5712" s="0" t="inlineStr">
        <is>
          <t>'98832</t>
        </is>
      </c>
      <c r="E5712" s="0" t="inlineStr">
        <is>
          <t>AMY:98832D-XL</t>
        </is>
      </c>
      <c r="F5712" s="0" t="inlineStr">
        <is>
          <t>'000000000000</t>
        </is>
      </c>
      <c r="G5712" s="0" t="inlineStr">
        <is>
          <t>YOUTH</t>
        </is>
      </c>
      <c r="H5712" s="0" t="inlineStr">
        <is>
          <t>YXL</t>
        </is>
      </c>
      <c r="I5712" s="0">
        <v>34.99</v>
      </c>
      <c r="J5712" s="0">
        <v>48</v>
      </c>
    </row>
    <row r="5713" spans="1:10" customHeight="0">
      <c r="A5713" s="0">
        <f>HYPERLINK("https://dl.dropboxusercontent.com/scl/fi/vi3ipkexudqhj01uv90ip/98338f.jpg?rlkey=y31bxea9j7hrg5rfa48sbk853&amp;dl=0","Click to download Image")</f>
      </c>
      <c r="B5713" s="0">
        <f>HYPERLINK("https://dl.dropboxusercontent.com/scl/fi/dk7sql3dk2rx2p5v1rivh/mens-d.jpg?rlkey=9q3wdcfct79gstqsxcvween5l&amp;dl=0","Click to download SizeChart")</f>
      </c>
      <c r="C5713" s="0" t="inlineStr">
        <is>
          <t>Ried Men's 1/2 Zip Pullover</t>
        </is>
      </c>
      <c r="D5713" s="0" t="inlineStr">
        <is>
          <t>'98338</t>
        </is>
      </c>
      <c r="E5713" s="0" t="inlineStr">
        <is>
          <t>RIED:98338A-S</t>
        </is>
      </c>
      <c r="F5713" s="0" t="inlineStr">
        <is>
          <t>'000000000000</t>
        </is>
      </c>
      <c r="G5713" s="0" t="inlineStr">
        <is>
          <t>MENS</t>
        </is>
      </c>
      <c r="H5713" s="0" t="inlineStr">
        <is>
          <t>S</t>
        </is>
      </c>
      <c r="I5713" s="0">
        <v>49.99</v>
      </c>
      <c r="J5713" s="0">
        <v>54</v>
      </c>
    </row>
    <row r="5714" spans="1:10" customHeight="0">
      <c r="A5714" s="0">
        <f>HYPERLINK("https://dl.dropboxusercontent.com/scl/fi/vi3ipkexudqhj01uv90ip/98338f.jpg?rlkey=y31bxea9j7hrg5rfa48sbk853&amp;dl=0","Click to download Image")</f>
      </c>
      <c r="B5714" s="0">
        <f>HYPERLINK("https://dl.dropboxusercontent.com/scl/fi/dk7sql3dk2rx2p5v1rivh/mens-d.jpg?rlkey=9q3wdcfct79gstqsxcvween5l&amp;dl=0","Click to download SizeChart")</f>
      </c>
      <c r="C5714" s="0" t="inlineStr">
        <is>
          <t>Ried Men's 1/2 Zip Pullover</t>
        </is>
      </c>
      <c r="D5714" s="0" t="inlineStr">
        <is>
          <t>'98338</t>
        </is>
      </c>
      <c r="E5714" s="0" t="inlineStr">
        <is>
          <t>RIED:98338B-M</t>
        </is>
      </c>
      <c r="F5714" s="0" t="inlineStr">
        <is>
          <t>'000000000000</t>
        </is>
      </c>
      <c r="G5714" s="0" t="inlineStr">
        <is>
          <t>MENS</t>
        </is>
      </c>
      <c r="H5714" s="0" t="inlineStr">
        <is>
          <t>M</t>
        </is>
      </c>
      <c r="I5714" s="0">
        <v>49.99</v>
      </c>
      <c r="J5714" s="0">
        <v>6</v>
      </c>
    </row>
    <row r="5715" spans="1:10" customHeight="0">
      <c r="A5715" s="0">
        <f>HYPERLINK("https://dl.dropboxusercontent.com/scl/fi/vi3ipkexudqhj01uv90ip/98338f.jpg?rlkey=y31bxea9j7hrg5rfa48sbk853&amp;dl=0","Click to download Image")</f>
      </c>
      <c r="B5715" s="0">
        <f>HYPERLINK("https://dl.dropboxusercontent.com/scl/fi/dk7sql3dk2rx2p5v1rivh/mens-d.jpg?rlkey=9q3wdcfct79gstqsxcvween5l&amp;dl=0","Click to download SizeChart")</f>
      </c>
      <c r="C5715" s="0" t="inlineStr">
        <is>
          <t>Ried Men's 1/2 Zip Pullover</t>
        </is>
      </c>
      <c r="D5715" s="0" t="inlineStr">
        <is>
          <t>'98338</t>
        </is>
      </c>
      <c r="E5715" s="0" t="inlineStr">
        <is>
          <t>RIED:98338E-2XL</t>
        </is>
      </c>
      <c r="F5715" s="0" t="inlineStr">
        <is>
          <t>'000000000000</t>
        </is>
      </c>
      <c r="G5715" s="0" t="inlineStr">
        <is>
          <t>MENS</t>
        </is>
      </c>
      <c r="H5715" s="0" t="inlineStr">
        <is>
          <t>2XL</t>
        </is>
      </c>
      <c r="I5715" s="0">
        <v>51.99</v>
      </c>
      <c r="J5715" s="0">
        <v>11</v>
      </c>
    </row>
    <row r="5716" spans="1:10" customHeight="0">
      <c r="A5716" s="0">
        <f>HYPERLINK("https://dl.dropboxusercontent.com/scl/fi/h1abo1sry7ltu9x9j2d25/98864-f.jpg?rlkey=rjphgbl3grsvchhux4ee67iy7&amp;dl=0","Click to download Image")</f>
      </c>
      <c r="B5716" s="0">
        <f>HYPERLINK("https://dl.dropboxusercontent.com/scl/fi/dk7sql3dk2rx2p5v1rivh/mens-d.jpg?rlkey=9q3wdcfct79gstqsxcvween5l&amp;dl=0","Click to download SizeChart")</f>
      </c>
      <c r="C5716" s="0" t="inlineStr">
        <is>
          <t>Ried Men's 1/2 Zip Pullover</t>
        </is>
      </c>
      <c r="D5716" s="0" t="inlineStr">
        <is>
          <t>'98864</t>
        </is>
      </c>
      <c r="E5716" s="0" t="inlineStr">
        <is>
          <t>RIED:98864A-S</t>
        </is>
      </c>
      <c r="F5716" s="0" t="inlineStr">
        <is>
          <t>'000000000000</t>
        </is>
      </c>
      <c r="G5716" s="0" t="inlineStr">
        <is>
          <t>MENS</t>
        </is>
      </c>
      <c r="H5716" s="0" t="inlineStr">
        <is>
          <t>S</t>
        </is>
      </c>
      <c r="I5716" s="0">
        <v>49.99</v>
      </c>
      <c r="J5716" s="0">
        <v>26</v>
      </c>
    </row>
    <row r="5717" spans="1:10" customHeight="0">
      <c r="A5717" s="0">
        <f>HYPERLINK("https://dl.dropboxusercontent.com/scl/fi/h1abo1sry7ltu9x9j2d25/98864-f.jpg?rlkey=rjphgbl3grsvchhux4ee67iy7&amp;dl=0","Click to download Image")</f>
      </c>
      <c r="B5717" s="0">
        <f>HYPERLINK("https://dl.dropboxusercontent.com/scl/fi/dk7sql3dk2rx2p5v1rivh/mens-d.jpg?rlkey=9q3wdcfct79gstqsxcvween5l&amp;dl=0","Click to download SizeChart")</f>
      </c>
      <c r="C5717" s="0" t="inlineStr">
        <is>
          <t>Ried Men's 1/2 Zip Pullover</t>
        </is>
      </c>
      <c r="D5717" s="0" t="inlineStr">
        <is>
          <t>'98864</t>
        </is>
      </c>
      <c r="E5717" s="0" t="inlineStr">
        <is>
          <t>RIED:98864B-M</t>
        </is>
      </c>
      <c r="F5717" s="0" t="inlineStr">
        <is>
          <t>'000000000000</t>
        </is>
      </c>
      <c r="G5717" s="0" t="inlineStr">
        <is>
          <t>MENS</t>
        </is>
      </c>
      <c r="H5717" s="0" t="inlineStr">
        <is>
          <t>M</t>
        </is>
      </c>
      <c r="I5717" s="0">
        <v>49.99</v>
      </c>
      <c r="J5717" s="0">
        <v>23</v>
      </c>
    </row>
    <row r="5718" spans="1:10" customHeight="0">
      <c r="A5718" s="0">
        <f>HYPERLINK("https://dl.dropboxusercontent.com/scl/fi/h1abo1sry7ltu9x9j2d25/98864-f.jpg?rlkey=rjphgbl3grsvchhux4ee67iy7&amp;dl=0","Click to download Image")</f>
      </c>
      <c r="B5718" s="0">
        <f>HYPERLINK("https://dl.dropboxusercontent.com/scl/fi/dk7sql3dk2rx2p5v1rivh/mens-d.jpg?rlkey=9q3wdcfct79gstqsxcvween5l&amp;dl=0","Click to download SizeChart")</f>
      </c>
      <c r="C5718" s="0" t="inlineStr">
        <is>
          <t>Ried Men's 1/2 Zip Pullover</t>
        </is>
      </c>
      <c r="D5718" s="0" t="inlineStr">
        <is>
          <t>'98864</t>
        </is>
      </c>
      <c r="E5718" s="0" t="inlineStr">
        <is>
          <t>RIED:98864E-2XL</t>
        </is>
      </c>
      <c r="F5718" s="0" t="inlineStr">
        <is>
          <t>'000000000000</t>
        </is>
      </c>
      <c r="G5718" s="0" t="inlineStr">
        <is>
          <t>MENS</t>
        </is>
      </c>
      <c r="H5718" s="0" t="inlineStr">
        <is>
          <t>2XL</t>
        </is>
      </c>
      <c r="I5718" s="0">
        <v>51.99</v>
      </c>
      <c r="J5718" s="0">
        <v>29</v>
      </c>
    </row>
    <row r="5719" spans="1:10" customHeight="0">
      <c r="A5719" s="0">
        <f>HYPERLINK("https://dl.dropboxusercontent.com/scl/fi/h1abo1sry7ltu9x9j2d25/98864-f.jpg?rlkey=rjphgbl3grsvchhux4ee67iy7&amp;dl=0","Click to download Image")</f>
      </c>
      <c r="B5719" s="0">
        <f>HYPERLINK("https://dl.dropboxusercontent.com/scl/fi/dk7sql3dk2rx2p5v1rivh/mens-d.jpg?rlkey=9q3wdcfct79gstqsxcvween5l&amp;dl=0","Click to download SizeChart")</f>
      </c>
      <c r="C5719" s="0" t="inlineStr">
        <is>
          <t>Ried Men's 1/2 Zip Pullover</t>
        </is>
      </c>
      <c r="D5719" s="0" t="inlineStr">
        <is>
          <t>'98864</t>
        </is>
      </c>
      <c r="E5719" s="0" t="inlineStr">
        <is>
          <t>RIED:98864F-3XL</t>
        </is>
      </c>
      <c r="F5719" s="0" t="inlineStr">
        <is>
          <t>'000000000000</t>
        </is>
      </c>
      <c r="G5719" s="0" t="inlineStr">
        <is>
          <t>MENS</t>
        </is>
      </c>
      <c r="H5719" s="0" t="inlineStr">
        <is>
          <t>3XL</t>
        </is>
      </c>
      <c r="I5719" s="0">
        <v>51.99</v>
      </c>
      <c r="J5719" s="0">
        <v>12</v>
      </c>
    </row>
    <row r="5720" spans="1:10" customHeight="0">
      <c r="A5720" s="0">
        <f>HYPERLINK("https://dl.dropboxusercontent.com/scl/fi/oqz1ca7g4oalkeegghm0x/raet.jpg?rlkey=isqlv1t9sdh50d9aq4qdwce19&amp;dl=0","Click to download Image")</f>
      </c>
      <c r="B5720" s="0">
        <f>HYPERLINK("https://dl.dropboxusercontent.com/scl/fi/0vcysd8wu7152j55jbzaj/size-chart-ladies-b.jpg?rlkey=6am648tf5832ujmvwhndpr6qf&amp;dl=0","Click to download SizeChart")</f>
      </c>
      <c r="C5720" s="0" t="inlineStr">
        <is>
          <t>Rae Boat Neck Sweatshirt</t>
        </is>
      </c>
      <c r="D5720" s="0" t="inlineStr">
        <is>
          <t>'96395</t>
        </is>
      </c>
      <c r="E5720" s="0" t="inlineStr">
        <is>
          <t>RAE:96395C-L</t>
        </is>
      </c>
      <c r="F5720" s="0" t="inlineStr">
        <is>
          <t>'080009639503</t>
        </is>
      </c>
      <c r="G5720" s="0" t="inlineStr">
        <is>
          <t>WOMENS</t>
        </is>
      </c>
      <c r="H5720" s="0" t="inlineStr">
        <is>
          <t>L</t>
        </is>
      </c>
      <c r="I5720" s="0">
        <v>44.99</v>
      </c>
      <c r="J5720" s="0">
        <v>19</v>
      </c>
    </row>
    <row r="5721" spans="1:10" customHeight="0">
      <c r="A5721" s="0">
        <f>HYPERLINK("https://dl.dropboxusercontent.com/scl/fi/oqz1ca7g4oalkeegghm0x/raet.jpg?rlkey=isqlv1t9sdh50d9aq4qdwce19&amp;dl=0","Click to download Image")</f>
      </c>
      <c r="B5721" s="0">
        <f>HYPERLINK("https://dl.dropboxusercontent.com/scl/fi/0vcysd8wu7152j55jbzaj/size-chart-ladies-b.jpg?rlkey=6am648tf5832ujmvwhndpr6qf&amp;dl=0","Click to download SizeChart")</f>
      </c>
      <c r="C5721" s="0" t="inlineStr">
        <is>
          <t>Rae Boat Neck Sweatshirt</t>
        </is>
      </c>
      <c r="D5721" s="0" t="inlineStr">
        <is>
          <t>'96395</t>
        </is>
      </c>
      <c r="E5721" s="0" t="inlineStr">
        <is>
          <t>RAE:96395D-XL</t>
        </is>
      </c>
      <c r="F5721" s="0" t="inlineStr">
        <is>
          <t>'080009639504</t>
        </is>
      </c>
      <c r="G5721" s="0" t="inlineStr">
        <is>
          <t>WOMENS</t>
        </is>
      </c>
      <c r="H5721" s="0" t="inlineStr">
        <is>
          <t>XL</t>
        </is>
      </c>
      <c r="I5721" s="0">
        <v>44.99</v>
      </c>
      <c r="J5721" s="0">
        <v>37</v>
      </c>
    </row>
    <row r="5722" spans="1:10" customHeight="0">
      <c r="A5722" s="0">
        <f>HYPERLINK("https://dl.dropboxusercontent.com/scl/fi/oqz1ca7g4oalkeegghm0x/raet.jpg?rlkey=isqlv1t9sdh50d9aq4qdwce19&amp;dl=0","Click to download Image")</f>
      </c>
      <c r="B5722" s="0">
        <f>HYPERLINK("https://dl.dropboxusercontent.com/scl/fi/0vcysd8wu7152j55jbzaj/size-chart-ladies-b.jpg?rlkey=6am648tf5832ujmvwhndpr6qf&amp;dl=0","Click to download SizeChart")</f>
      </c>
      <c r="C5722" s="0" t="inlineStr">
        <is>
          <t>Rae Boat Neck Sweatshirt</t>
        </is>
      </c>
      <c r="D5722" s="0" t="inlineStr">
        <is>
          <t>'96395</t>
        </is>
      </c>
      <c r="E5722" s="0" t="inlineStr">
        <is>
          <t>RAE:96395E-2XL</t>
        </is>
      </c>
      <c r="F5722" s="0" t="inlineStr">
        <is>
          <t>'080009639505</t>
        </is>
      </c>
      <c r="G5722" s="0" t="inlineStr">
        <is>
          <t>WOMENS</t>
        </is>
      </c>
      <c r="H5722" s="0" t="inlineStr">
        <is>
          <t>2XL</t>
        </is>
      </c>
      <c r="I5722" s="0">
        <v>44.99</v>
      </c>
      <c r="J5722" s="0">
        <v>16</v>
      </c>
    </row>
    <row r="5723" spans="1:10" customHeight="0">
      <c r="A5723" s="0">
        <f>HYPERLINK("https://dl.dropboxusercontent.com/scl/fi/ldqh60dm9pt8fmlyiqd4d/98404f.jpg?rlkey=5wdhgvl9iguzhi9c2mincb2w2&amp;dl=0","Click to download Image")</f>
      </c>
      <c r="B5723" s="0">
        <f>HYPERLINK("https://dl.dropboxusercontent.com/scl/fi/ks521ebiancnsgok7bdx7/size-chartyouth-f.jpg?rlkey=joix5aqj5na1j4xqx8cr0iv01&amp;dl=0","Click to download SizeChart")</f>
      </c>
      <c r="C5723" s="0" t="inlineStr">
        <is>
          <t>Rebecca Youth Sweatshirt</t>
        </is>
      </c>
      <c r="D5723" s="0" t="inlineStr">
        <is>
          <t>'98404</t>
        </is>
      </c>
      <c r="E5723" s="0" t="inlineStr">
        <is>
          <t>REBECCA:98404A-YS</t>
        </is>
      </c>
      <c r="F5723" s="0" t="inlineStr">
        <is>
          <t>'000000000000</t>
        </is>
      </c>
      <c r="G5723" s="0" t="inlineStr">
        <is>
          <t>YOUTH</t>
        </is>
      </c>
      <c r="H5723" s="0" t="inlineStr">
        <is>
          <t>YS</t>
        </is>
      </c>
      <c r="I5723" s="0">
        <v>44.99</v>
      </c>
      <c r="J5723" s="0">
        <v>83</v>
      </c>
    </row>
    <row r="5724" spans="1:10" customHeight="0">
      <c r="A5724" s="0">
        <f>HYPERLINK("https://dl.dropboxusercontent.com/scl/fi/ldqh60dm9pt8fmlyiqd4d/98404f.jpg?rlkey=5wdhgvl9iguzhi9c2mincb2w2&amp;dl=0","Click to download Image")</f>
      </c>
      <c r="B5724" s="0">
        <f>HYPERLINK("https://dl.dropboxusercontent.com/scl/fi/ks521ebiancnsgok7bdx7/size-chartyouth-f.jpg?rlkey=joix5aqj5na1j4xqx8cr0iv01&amp;dl=0","Click to download SizeChart")</f>
      </c>
      <c r="C5724" s="0" t="inlineStr">
        <is>
          <t>Rebecca Youth Sweatshirt</t>
        </is>
      </c>
      <c r="D5724" s="0" t="inlineStr">
        <is>
          <t>'98404</t>
        </is>
      </c>
      <c r="E5724" s="0" t="inlineStr">
        <is>
          <t>REBECCA:98404B-YM</t>
        </is>
      </c>
      <c r="F5724" s="0" t="inlineStr">
        <is>
          <t>'000000000000</t>
        </is>
      </c>
      <c r="G5724" s="0" t="inlineStr">
        <is>
          <t>YOUTH</t>
        </is>
      </c>
      <c r="H5724" s="0" t="inlineStr">
        <is>
          <t>YM</t>
        </is>
      </c>
      <c r="I5724" s="0">
        <v>44.99</v>
      </c>
      <c r="J5724" s="0">
        <v>81</v>
      </c>
    </row>
    <row r="5725" spans="1:10" customHeight="0">
      <c r="A5725" s="0">
        <f>HYPERLINK("https://dl.dropboxusercontent.com/scl/fi/ldqh60dm9pt8fmlyiqd4d/98404f.jpg?rlkey=5wdhgvl9iguzhi9c2mincb2w2&amp;dl=0","Click to download Image")</f>
      </c>
      <c r="B5725" s="0">
        <f>HYPERLINK("https://dl.dropboxusercontent.com/scl/fi/ks521ebiancnsgok7bdx7/size-chartyouth-f.jpg?rlkey=joix5aqj5na1j4xqx8cr0iv01&amp;dl=0","Click to download SizeChart")</f>
      </c>
      <c r="C5725" s="0" t="inlineStr">
        <is>
          <t>Rebecca Youth Sweatshirt</t>
        </is>
      </c>
      <c r="D5725" s="0" t="inlineStr">
        <is>
          <t>'98404</t>
        </is>
      </c>
      <c r="E5725" s="0" t="inlineStr">
        <is>
          <t>REBECCA:98404C-YL</t>
        </is>
      </c>
      <c r="F5725" s="0" t="inlineStr">
        <is>
          <t>'000000000000</t>
        </is>
      </c>
      <c r="G5725" s="0" t="inlineStr">
        <is>
          <t>YOUTH</t>
        </is>
      </c>
      <c r="H5725" s="0" t="inlineStr">
        <is>
          <t>YL</t>
        </is>
      </c>
      <c r="I5725" s="0">
        <v>44.99</v>
      </c>
      <c r="J5725" s="0">
        <v>80</v>
      </c>
    </row>
    <row r="5726" spans="1:10" customHeight="0">
      <c r="A5726" s="0">
        <f>HYPERLINK("https://dl.dropboxusercontent.com/scl/fi/ldqh60dm9pt8fmlyiqd4d/98404f.jpg?rlkey=5wdhgvl9iguzhi9c2mincb2w2&amp;dl=0","Click to download Image")</f>
      </c>
      <c r="B5726" s="0">
        <f>HYPERLINK("https://dl.dropboxusercontent.com/scl/fi/ks521ebiancnsgok7bdx7/size-chartyouth-f.jpg?rlkey=joix5aqj5na1j4xqx8cr0iv01&amp;dl=0","Click to download SizeChart")</f>
      </c>
      <c r="C5726" s="0" t="inlineStr">
        <is>
          <t>Rebecca Youth Sweatshirt</t>
        </is>
      </c>
      <c r="D5726" s="0" t="inlineStr">
        <is>
          <t>'98404</t>
        </is>
      </c>
      <c r="E5726" s="0" t="inlineStr">
        <is>
          <t>REBECCA:98404D-YXL</t>
        </is>
      </c>
      <c r="F5726" s="0" t="inlineStr">
        <is>
          <t>'000000000000</t>
        </is>
      </c>
      <c r="G5726" s="0" t="inlineStr">
        <is>
          <t>YOUTH</t>
        </is>
      </c>
      <c r="H5726" s="0" t="inlineStr">
        <is>
          <t>YXL</t>
        </is>
      </c>
      <c r="I5726" s="0">
        <v>44.99</v>
      </c>
      <c r="J5726" s="0">
        <v>91</v>
      </c>
    </row>
    <row r="5727" spans="1:10" customHeight="0">
      <c r="A5727" s="0">
        <f>HYPERLINK("https://dl.dropboxusercontent.com/scl/fi/77jjvhts4ura8j5rgy4uj/98798-f.jpg?rlkey=t2rbxoxp1ojr7dcxxoc7jpkqk&amp;dl=0","Click to download Image")</f>
      </c>
      <c r="B5727" s="0">
        <f>HYPERLINK("https://dl.dropboxusercontent.com/scl/fi/ks521ebiancnsgok7bdx7/size-chartyouth-f.jpg?rlkey=joix5aqj5na1j4xqx8cr0iv01&amp;dl=0","Click to download SizeChart")</f>
      </c>
      <c r="C5727" s="0" t="inlineStr">
        <is>
          <t>Rebecca Youth Sweatshirt</t>
        </is>
      </c>
      <c r="D5727" s="0" t="inlineStr">
        <is>
          <t>'98798</t>
        </is>
      </c>
      <c r="E5727" s="0" t="inlineStr">
        <is>
          <t>REBECCA:98798B-YM</t>
        </is>
      </c>
      <c r="F5727" s="0" t="inlineStr">
        <is>
          <t>'000000000000</t>
        </is>
      </c>
      <c r="G5727" s="0" t="inlineStr">
        <is>
          <t>YOUTH</t>
        </is>
      </c>
      <c r="H5727" s="0" t="inlineStr">
        <is>
          <t>YM</t>
        </is>
      </c>
      <c r="I5727" s="0">
        <v>44.99</v>
      </c>
      <c r="J5727" s="0">
        <v>0</v>
      </c>
    </row>
    <row r="5728" spans="1:10" customHeight="0">
      <c r="A5728" s="0">
        <f>HYPERLINK("https://dl.dropboxusercontent.com/scl/fi/77jjvhts4ura8j5rgy4uj/98798-f.jpg?rlkey=t2rbxoxp1ojr7dcxxoc7jpkqk&amp;dl=0","Click to download Image")</f>
      </c>
      <c r="B5728" s="0">
        <f>HYPERLINK("https://dl.dropboxusercontent.com/scl/fi/ks521ebiancnsgok7bdx7/size-chartyouth-f.jpg?rlkey=joix5aqj5na1j4xqx8cr0iv01&amp;dl=0","Click to download SizeChart")</f>
      </c>
      <c r="C5728" s="0" t="inlineStr">
        <is>
          <t>Rebecca Youth Sweatshirt</t>
        </is>
      </c>
      <c r="D5728" s="0" t="inlineStr">
        <is>
          <t>'98798</t>
        </is>
      </c>
      <c r="E5728" s="0" t="inlineStr">
        <is>
          <t>REBECCA:98798D-YXL</t>
        </is>
      </c>
      <c r="F5728" s="0" t="inlineStr">
        <is>
          <t>'000000000000</t>
        </is>
      </c>
      <c r="G5728" s="0" t="inlineStr">
        <is>
          <t>YOUTH</t>
        </is>
      </c>
      <c r="H5728" s="0" t="inlineStr">
        <is>
          <t>YXL</t>
        </is>
      </c>
      <c r="I5728" s="0">
        <v>44.99</v>
      </c>
      <c r="J5728" s="0">
        <v>9</v>
      </c>
    </row>
    <row r="5729" spans="1:10" customHeight="0">
      <c r="A5729" s="0">
        <f>HYPERLINK("https://dl.dropboxusercontent.com/scl/fi/9z5shhwjghrrh09e0tr8q/kennedy.jpg?rlkey=fy7l1v3k33nratgcq2tolilxz&amp;dl=0","Click to download Image")</f>
      </c>
      <c r="B5729" s="0">
        <f>HYPERLINK("https://dl.dropboxusercontent.com/scl/fi/f04a21z7msxjvxkn94l5v/ladies-h.jpg?rlkey=5xrnszuvctmlw0yr5luv1afd9&amp;dl=0","Click to download SizeChart")</f>
      </c>
      <c r="C5729" s="0" t="inlineStr">
        <is>
          <t>Kennedy Women's Polo</t>
        </is>
      </c>
      <c r="D5729" s="0" t="inlineStr">
        <is>
          <t>'94824</t>
        </is>
      </c>
      <c r="E5729" s="0" t="inlineStr">
        <is>
          <t>KENNEDY:94824A- S</t>
        </is>
      </c>
      <c r="F5729" s="0" t="inlineStr">
        <is>
          <t>'000000000000</t>
        </is>
      </c>
      <c r="G5729" s="0" t="inlineStr">
        <is>
          <t>WOMENS</t>
        </is>
      </c>
      <c r="H5729" s="0" t="inlineStr">
        <is>
          <t>S</t>
        </is>
      </c>
      <c r="I5729" s="0">
        <v>39.99</v>
      </c>
      <c r="J5729" s="0">
        <v>29</v>
      </c>
    </row>
    <row r="5730" spans="1:10" customHeight="0">
      <c r="A5730" s="0">
        <f>HYPERLINK("https://dl.dropboxusercontent.com/scl/fi/9z5shhwjghrrh09e0tr8q/kennedy.jpg?rlkey=fy7l1v3k33nratgcq2tolilxz&amp;dl=0","Click to download Image")</f>
      </c>
      <c r="B5730" s="0">
        <f>HYPERLINK("https://dl.dropboxusercontent.com/scl/fi/f04a21z7msxjvxkn94l5v/ladies-h.jpg?rlkey=5xrnszuvctmlw0yr5luv1afd9&amp;dl=0","Click to download SizeChart")</f>
      </c>
      <c r="C5730" s="0" t="inlineStr">
        <is>
          <t>Kennedy Women's Polo</t>
        </is>
      </c>
      <c r="D5730" s="0" t="inlineStr">
        <is>
          <t>'94824</t>
        </is>
      </c>
      <c r="E5730" s="0" t="inlineStr">
        <is>
          <t>KENNEDY:94824B- M</t>
        </is>
      </c>
      <c r="F5730" s="0" t="inlineStr">
        <is>
          <t>'000000000000</t>
        </is>
      </c>
      <c r="G5730" s="0" t="inlineStr">
        <is>
          <t>WOMENS</t>
        </is>
      </c>
      <c r="H5730" s="0" t="inlineStr">
        <is>
          <t>M</t>
        </is>
      </c>
      <c r="I5730" s="0">
        <v>39.99</v>
      </c>
      <c r="J5730" s="0">
        <v>27</v>
      </c>
    </row>
    <row r="5731" spans="1:10" customHeight="0">
      <c r="A5731" s="0">
        <f>HYPERLINK("https://dl.dropboxusercontent.com/scl/fi/9z5shhwjghrrh09e0tr8q/kennedy.jpg?rlkey=fy7l1v3k33nratgcq2tolilxz&amp;dl=0","Click to download Image")</f>
      </c>
      <c r="B5731" s="0">
        <f>HYPERLINK("https://dl.dropboxusercontent.com/scl/fi/f04a21z7msxjvxkn94l5v/ladies-h.jpg?rlkey=5xrnszuvctmlw0yr5luv1afd9&amp;dl=0","Click to download SizeChart")</f>
      </c>
      <c r="C5731" s="0" t="inlineStr">
        <is>
          <t>Kennedy Women's Polo</t>
        </is>
      </c>
      <c r="D5731" s="0" t="inlineStr">
        <is>
          <t>'94824</t>
        </is>
      </c>
      <c r="E5731" s="0" t="inlineStr">
        <is>
          <t>KENNEDY:94824C- L</t>
        </is>
      </c>
      <c r="F5731" s="0" t="inlineStr">
        <is>
          <t>'000000000000</t>
        </is>
      </c>
      <c r="G5731" s="0" t="inlineStr">
        <is>
          <t>WOMENS</t>
        </is>
      </c>
      <c r="H5731" s="0" t="inlineStr">
        <is>
          <t>L</t>
        </is>
      </c>
      <c r="I5731" s="0">
        <v>39.99</v>
      </c>
      <c r="J5731" s="0">
        <v>41</v>
      </c>
    </row>
    <row r="5732" spans="1:10" customHeight="0">
      <c r="A5732" s="0">
        <f>HYPERLINK("https://dl.dropboxusercontent.com/scl/fi/9z5shhwjghrrh09e0tr8q/kennedy.jpg?rlkey=fy7l1v3k33nratgcq2tolilxz&amp;dl=0","Click to download Image")</f>
      </c>
      <c r="B5732" s="0">
        <f>HYPERLINK("https://dl.dropboxusercontent.com/scl/fi/f04a21z7msxjvxkn94l5v/ladies-h.jpg?rlkey=5xrnszuvctmlw0yr5luv1afd9&amp;dl=0","Click to download SizeChart")</f>
      </c>
      <c r="C5732" s="0" t="inlineStr">
        <is>
          <t>Kennedy Women's Polo</t>
        </is>
      </c>
      <c r="D5732" s="0" t="inlineStr">
        <is>
          <t>'94824</t>
        </is>
      </c>
      <c r="E5732" s="0" t="inlineStr">
        <is>
          <t>KENNEDY:94824D- XL</t>
        </is>
      </c>
      <c r="F5732" s="0" t="inlineStr">
        <is>
          <t>'000000000000</t>
        </is>
      </c>
      <c r="G5732" s="0" t="inlineStr">
        <is>
          <t>WOMENS</t>
        </is>
      </c>
      <c r="H5732" s="0" t="inlineStr">
        <is>
          <t>XL</t>
        </is>
      </c>
      <c r="I5732" s="0">
        <v>39.99</v>
      </c>
      <c r="J5732" s="0">
        <v>26</v>
      </c>
    </row>
    <row r="5733" spans="1:10" customHeight="0">
      <c r="A5733" s="0">
        <f>HYPERLINK("https://dl.dropboxusercontent.com/scl/fi/9z5shhwjghrrh09e0tr8q/kennedy.jpg?rlkey=fy7l1v3k33nratgcq2tolilxz&amp;dl=0","Click to download Image")</f>
      </c>
      <c r="B5733" s="0">
        <f>HYPERLINK("https://dl.dropboxusercontent.com/scl/fi/f04a21z7msxjvxkn94l5v/ladies-h.jpg?rlkey=5xrnszuvctmlw0yr5luv1afd9&amp;dl=0","Click to download SizeChart")</f>
      </c>
      <c r="C5733" s="0" t="inlineStr">
        <is>
          <t>Kennedy Women's Polo</t>
        </is>
      </c>
      <c r="D5733" s="0" t="inlineStr">
        <is>
          <t>'94824</t>
        </is>
      </c>
      <c r="E5733" s="0" t="inlineStr">
        <is>
          <t>KENNEDY:94824E- 2XL</t>
        </is>
      </c>
      <c r="F5733" s="0" t="inlineStr">
        <is>
          <t>'000000000000</t>
        </is>
      </c>
      <c r="G5733" s="0" t="inlineStr">
        <is>
          <t>WOMENS</t>
        </is>
      </c>
      <c r="H5733" s="0" t="inlineStr">
        <is>
          <t>2XL</t>
        </is>
      </c>
      <c r="I5733" s="0">
        <v>41.99</v>
      </c>
      <c r="J5733" s="0">
        <v>8</v>
      </c>
    </row>
    <row r="5734" spans="1:10" customHeight="0">
      <c r="A5734" s="0">
        <f>HYPERLINK("https://dl.dropboxusercontent.com/scl/fi/13xula4303blbqdy6txt9/95074af84557.jpg?rlkey=5h2tpyv65jcmeqr54vbgxkrmz&amp;dl=0","Click to download Image")</f>
      </c>
      <c r="B5734" s="0">
        <f>HYPERLINK("https://dl.dropboxusercontent.com/scl/fi/f04a21z7msxjvxkn94l5v/ladies-h.jpg?rlkey=5xrnszuvctmlw0yr5luv1afd9&amp;dl=0","Click to download SizeChart")</f>
      </c>
      <c r="C5734" s="0" t="inlineStr">
        <is>
          <t>Kennedy Women's Polo</t>
        </is>
      </c>
      <c r="D5734" s="0" t="inlineStr">
        <is>
          <t>'95074</t>
        </is>
      </c>
      <c r="E5734" s="0" t="inlineStr">
        <is>
          <t>KENNEDY:95074A - S</t>
        </is>
      </c>
      <c r="F5734" s="0" t="inlineStr">
        <is>
          <t>'000000000000</t>
        </is>
      </c>
      <c r="G5734" s="0" t="inlineStr">
        <is>
          <t>WOMENS</t>
        </is>
      </c>
      <c r="H5734" s="0" t="inlineStr">
        <is>
          <t>S</t>
        </is>
      </c>
      <c r="I5734" s="0">
        <v>39.99</v>
      </c>
      <c r="J5734" s="0">
        <v>39</v>
      </c>
    </row>
    <row r="5735" spans="1:10" customHeight="0">
      <c r="A5735" s="0">
        <f>HYPERLINK("https://dl.dropboxusercontent.com/scl/fi/13xula4303blbqdy6txt9/95074af84557.jpg?rlkey=5h2tpyv65jcmeqr54vbgxkrmz&amp;dl=0","Click to download Image")</f>
      </c>
      <c r="B5735" s="0">
        <f>HYPERLINK("https://dl.dropboxusercontent.com/scl/fi/f04a21z7msxjvxkn94l5v/ladies-h.jpg?rlkey=5xrnszuvctmlw0yr5luv1afd9&amp;dl=0","Click to download SizeChart")</f>
      </c>
      <c r="C5735" s="0" t="inlineStr">
        <is>
          <t>Kennedy Women's Polo</t>
        </is>
      </c>
      <c r="D5735" s="0" t="inlineStr">
        <is>
          <t>'95074</t>
        </is>
      </c>
      <c r="E5735" s="0" t="inlineStr">
        <is>
          <t>KENNEDY:95074B - M</t>
        </is>
      </c>
      <c r="F5735" s="0" t="inlineStr">
        <is>
          <t>'000000000000</t>
        </is>
      </c>
      <c r="G5735" s="0" t="inlineStr">
        <is>
          <t>WOMENS</t>
        </is>
      </c>
      <c r="H5735" s="0" t="inlineStr">
        <is>
          <t>M</t>
        </is>
      </c>
      <c r="I5735" s="0">
        <v>39.99</v>
      </c>
      <c r="J5735" s="0">
        <v>44</v>
      </c>
    </row>
    <row r="5736" spans="1:10" customHeight="0">
      <c r="A5736" s="0">
        <f>HYPERLINK("https://dl.dropboxusercontent.com/scl/fi/13xula4303blbqdy6txt9/95074af84557.jpg?rlkey=5h2tpyv65jcmeqr54vbgxkrmz&amp;dl=0","Click to download Image")</f>
      </c>
      <c r="B5736" s="0">
        <f>HYPERLINK("https://dl.dropboxusercontent.com/scl/fi/f04a21z7msxjvxkn94l5v/ladies-h.jpg?rlkey=5xrnszuvctmlw0yr5luv1afd9&amp;dl=0","Click to download SizeChart")</f>
      </c>
      <c r="C5736" s="0" t="inlineStr">
        <is>
          <t>Kennedy Women's Polo</t>
        </is>
      </c>
      <c r="D5736" s="0" t="inlineStr">
        <is>
          <t>'95074</t>
        </is>
      </c>
      <c r="E5736" s="0" t="inlineStr">
        <is>
          <t>KENNEDY:95074C - L</t>
        </is>
      </c>
      <c r="F5736" s="0" t="inlineStr">
        <is>
          <t>'000000000000</t>
        </is>
      </c>
      <c r="G5736" s="0" t="inlineStr">
        <is>
          <t>WOMENS</t>
        </is>
      </c>
      <c r="H5736" s="0" t="inlineStr">
        <is>
          <t>L</t>
        </is>
      </c>
      <c r="I5736" s="0">
        <v>39.99</v>
      </c>
      <c r="J5736" s="0">
        <v>116</v>
      </c>
    </row>
    <row r="5737" spans="1:10" customHeight="0">
      <c r="A5737" s="0">
        <f>HYPERLINK("https://dl.dropboxusercontent.com/scl/fi/13xula4303blbqdy6txt9/95074af84557.jpg?rlkey=5h2tpyv65jcmeqr54vbgxkrmz&amp;dl=0","Click to download Image")</f>
      </c>
      <c r="B5737" s="0">
        <f>HYPERLINK("https://dl.dropboxusercontent.com/scl/fi/f04a21z7msxjvxkn94l5v/ladies-h.jpg?rlkey=5xrnszuvctmlw0yr5luv1afd9&amp;dl=0","Click to download SizeChart")</f>
      </c>
      <c r="C5737" s="0" t="inlineStr">
        <is>
          <t>Kennedy Women's Polo</t>
        </is>
      </c>
      <c r="D5737" s="0" t="inlineStr">
        <is>
          <t>'95074</t>
        </is>
      </c>
      <c r="E5737" s="0" t="inlineStr">
        <is>
          <t>KENNEDY:95074D - XL</t>
        </is>
      </c>
      <c r="F5737" s="0" t="inlineStr">
        <is>
          <t>'000000000000</t>
        </is>
      </c>
      <c r="G5737" s="0" t="inlineStr">
        <is>
          <t>WOMENS</t>
        </is>
      </c>
      <c r="H5737" s="0" t="inlineStr">
        <is>
          <t>XL</t>
        </is>
      </c>
      <c r="I5737" s="0">
        <v>39.99</v>
      </c>
      <c r="J5737" s="0">
        <v>120</v>
      </c>
    </row>
    <row r="5738" spans="1:10" customHeight="0">
      <c r="A5738" s="0">
        <f>HYPERLINK("https://dl.dropboxusercontent.com/scl/fi/13xula4303blbqdy6txt9/95074af84557.jpg?rlkey=5h2tpyv65jcmeqr54vbgxkrmz&amp;dl=0","Click to download Image")</f>
      </c>
      <c r="B5738" s="0">
        <f>HYPERLINK("https://dl.dropboxusercontent.com/scl/fi/f04a21z7msxjvxkn94l5v/ladies-h.jpg?rlkey=5xrnszuvctmlw0yr5luv1afd9&amp;dl=0","Click to download SizeChart")</f>
      </c>
      <c r="C5738" s="0" t="inlineStr">
        <is>
          <t>Kennedy Women's Polo</t>
        </is>
      </c>
      <c r="D5738" s="0" t="inlineStr">
        <is>
          <t>'95074</t>
        </is>
      </c>
      <c r="E5738" s="0" t="inlineStr">
        <is>
          <t>KENNEDY:95074E - 2XL</t>
        </is>
      </c>
      <c r="F5738" s="0" t="inlineStr">
        <is>
          <t>'000000000000</t>
        </is>
      </c>
      <c r="G5738" s="0" t="inlineStr">
        <is>
          <t>WOMENS</t>
        </is>
      </c>
      <c r="H5738" s="0" t="inlineStr">
        <is>
          <t>2XL</t>
        </is>
      </c>
      <c r="I5738" s="0">
        <v>41.99</v>
      </c>
      <c r="J5738" s="0">
        <v>38</v>
      </c>
    </row>
    <row r="5739" spans="1:10" customHeight="0">
      <c r="A5739" s="0">
        <f>HYPERLINK("https://dl.dropboxusercontent.com/scl/fi/px6m4wl1xoc9y1ardmmq2/premier.jpg?rlkey=60bsmhj7ub89atfyop1evs1fr&amp;dl=0","Click to download Image")</f>
      </c>
      <c r="C5739" s="0" t="inlineStr">
        <is>
          <t>Premier 17" Laptop Backpack</t>
        </is>
      </c>
      <c r="D5739" s="0" t="inlineStr">
        <is>
          <t>'92548</t>
        </is>
      </c>
      <c r="E5739" s="0" t="inlineStr">
        <is>
          <t>PREMIER:92548-PRM</t>
        </is>
      </c>
      <c r="F5739" s="0" t="inlineStr">
        <is>
          <t>'000000000000</t>
        </is>
      </c>
      <c r="H5739" s="0" t="inlineStr">
        <is>
          <t>OS</t>
        </is>
      </c>
      <c r="I5739" s="0">
        <v>49.99</v>
      </c>
      <c r="J5739" s="0">
        <v>20</v>
      </c>
    </row>
    <row r="5740" spans="1:10" customHeight="0">
      <c r="A5740" s="0">
        <f>HYPERLINK("https://dl.dropboxusercontent.com/scl/fi/iiydjsnkf4va3db4jhok9/margott.jpg?rlkey=zubojl3wc477eiomc4bwm9kcr&amp;dl=0","Click to download Image")</f>
      </c>
      <c r="B5740" s="0">
        <f>HYPERLINK("https://dl.dropboxusercontent.com/scl/fi/gcg2usamwy4rrkdl330id/size-charts-women-s-standard-relaxed-fit-1.jpg?rlkey=jc3e5xzkjkbm77dfjfngm6eiz&amp;dl=0","Click to download SizeChart")</f>
      </c>
      <c r="C5740" s="0" t="inlineStr">
        <is>
          <t>Margot Women's Jacket</t>
        </is>
      </c>
      <c r="D5740" s="0" t="inlineStr">
        <is>
          <t>'101801</t>
        </is>
      </c>
      <c r="E5740" s="0" t="inlineStr">
        <is>
          <t>MARGOT:101801A-S</t>
        </is>
      </c>
      <c r="F5740" s="0" t="inlineStr">
        <is>
          <t>'080010180101</t>
        </is>
      </c>
      <c r="G5740" s="0" t="inlineStr">
        <is>
          <t>WOMENS</t>
        </is>
      </c>
      <c r="H5740" s="0" t="inlineStr">
        <is>
          <t>S</t>
        </is>
      </c>
      <c r="I5740" s="0">
        <v>59.99</v>
      </c>
      <c r="J5740" s="0">
        <v>61</v>
      </c>
    </row>
    <row r="5741" spans="1:10" customHeight="0">
      <c r="A5741" s="0">
        <f>HYPERLINK("https://dl.dropboxusercontent.com/scl/fi/iiydjsnkf4va3db4jhok9/margott.jpg?rlkey=zubojl3wc477eiomc4bwm9kcr&amp;dl=0","Click to download Image")</f>
      </c>
      <c r="B5741" s="0">
        <f>HYPERLINK("https://dl.dropboxusercontent.com/scl/fi/gcg2usamwy4rrkdl330id/size-charts-women-s-standard-relaxed-fit-1.jpg?rlkey=jc3e5xzkjkbm77dfjfngm6eiz&amp;dl=0","Click to download SizeChart")</f>
      </c>
      <c r="C5741" s="0" t="inlineStr">
        <is>
          <t>Margot Women's Jacket</t>
        </is>
      </c>
      <c r="D5741" s="0" t="inlineStr">
        <is>
          <t>'101801</t>
        </is>
      </c>
      <c r="E5741" s="0" t="inlineStr">
        <is>
          <t>MARGOT:101801B-M</t>
        </is>
      </c>
      <c r="F5741" s="0" t="inlineStr">
        <is>
          <t>'080010180102</t>
        </is>
      </c>
      <c r="G5741" s="0" t="inlineStr">
        <is>
          <t>WOMENS</t>
        </is>
      </c>
      <c r="H5741" s="0" t="inlineStr">
        <is>
          <t>M</t>
        </is>
      </c>
      <c r="I5741" s="0">
        <v>59.99</v>
      </c>
      <c r="J5741" s="0">
        <v>63</v>
      </c>
    </row>
    <row r="5742" spans="1:10" customHeight="0">
      <c r="A5742" s="0">
        <f>HYPERLINK("https://dl.dropboxusercontent.com/scl/fi/iiydjsnkf4va3db4jhok9/margott.jpg?rlkey=zubojl3wc477eiomc4bwm9kcr&amp;dl=0","Click to download Image")</f>
      </c>
      <c r="B5742" s="0">
        <f>HYPERLINK("https://dl.dropboxusercontent.com/scl/fi/gcg2usamwy4rrkdl330id/size-charts-women-s-standard-relaxed-fit-1.jpg?rlkey=jc3e5xzkjkbm77dfjfngm6eiz&amp;dl=0","Click to download SizeChart")</f>
      </c>
      <c r="C5742" s="0" t="inlineStr">
        <is>
          <t>Margot Women's Jacket</t>
        </is>
      </c>
      <c r="D5742" s="0" t="inlineStr">
        <is>
          <t>'101801</t>
        </is>
      </c>
      <c r="E5742" s="0" t="inlineStr">
        <is>
          <t>MARGOT:101801C-L</t>
        </is>
      </c>
      <c r="F5742" s="0" t="inlineStr">
        <is>
          <t>'080010180103</t>
        </is>
      </c>
      <c r="G5742" s="0" t="inlineStr">
        <is>
          <t>WOMENS</t>
        </is>
      </c>
      <c r="H5742" s="0" t="inlineStr">
        <is>
          <t>L</t>
        </is>
      </c>
      <c r="I5742" s="0">
        <v>59.99</v>
      </c>
      <c r="J5742" s="0">
        <v>75</v>
      </c>
    </row>
    <row r="5743" spans="1:10" customHeight="0">
      <c r="A5743" s="0">
        <f>HYPERLINK("https://dl.dropboxusercontent.com/scl/fi/iiydjsnkf4va3db4jhok9/margott.jpg?rlkey=zubojl3wc477eiomc4bwm9kcr&amp;dl=0","Click to download Image")</f>
      </c>
      <c r="B5743" s="0">
        <f>HYPERLINK("https://dl.dropboxusercontent.com/scl/fi/gcg2usamwy4rrkdl330id/size-charts-women-s-standard-relaxed-fit-1.jpg?rlkey=jc3e5xzkjkbm77dfjfngm6eiz&amp;dl=0","Click to download SizeChart")</f>
      </c>
      <c r="C5743" s="0" t="inlineStr">
        <is>
          <t>Margot Women's Jacket</t>
        </is>
      </c>
      <c r="D5743" s="0" t="inlineStr">
        <is>
          <t>'101801</t>
        </is>
      </c>
      <c r="E5743" s="0" t="inlineStr">
        <is>
          <t>MARGOT:101801D-XL</t>
        </is>
      </c>
      <c r="F5743" s="0" t="inlineStr">
        <is>
          <t>'080010180104</t>
        </is>
      </c>
      <c r="G5743" s="0" t="inlineStr">
        <is>
          <t>WOMENS</t>
        </is>
      </c>
      <c r="H5743" s="0" t="inlineStr">
        <is>
          <t>XL</t>
        </is>
      </c>
      <c r="I5743" s="0">
        <v>59.99</v>
      </c>
      <c r="J5743" s="0">
        <v>48</v>
      </c>
    </row>
    <row r="5744" spans="1:10" customHeight="0">
      <c r="A5744" s="0">
        <f>HYPERLINK("https://dl.dropboxusercontent.com/scl/fi/iiydjsnkf4va3db4jhok9/margott.jpg?rlkey=zubojl3wc477eiomc4bwm9kcr&amp;dl=0","Click to download Image")</f>
      </c>
      <c r="B5744" s="0">
        <f>HYPERLINK("https://dl.dropboxusercontent.com/scl/fi/gcg2usamwy4rrkdl330id/size-charts-women-s-standard-relaxed-fit-1.jpg?rlkey=jc3e5xzkjkbm77dfjfngm6eiz&amp;dl=0","Click to download SizeChart")</f>
      </c>
      <c r="C5744" s="0" t="inlineStr">
        <is>
          <t>Margot Women's Jacket</t>
        </is>
      </c>
      <c r="D5744" s="0" t="inlineStr">
        <is>
          <t>'101801</t>
        </is>
      </c>
      <c r="E5744" s="0" t="inlineStr">
        <is>
          <t>MARGOT:101801E-2XL</t>
        </is>
      </c>
      <c r="F5744" s="0" t="inlineStr">
        <is>
          <t>'080010180105</t>
        </is>
      </c>
      <c r="G5744" s="0" t="inlineStr">
        <is>
          <t>WOMENS</t>
        </is>
      </c>
      <c r="H5744" s="0" t="inlineStr">
        <is>
          <t>2XL</t>
        </is>
      </c>
      <c r="I5744" s="0">
        <v>61.99</v>
      </c>
      <c r="J5744" s="0">
        <v>48</v>
      </c>
    </row>
    <row r="5745" spans="1:10" customHeight="0">
      <c r="A5745" s="0">
        <f>HYPERLINK("https://dl.dropboxusercontent.com/scl/fi/j8g4ytc68vzy71yykb8mx/piper-02.jpg?rlkey=5xd3pwouiy557v5r24rmn85li&amp;dl=0","Click to download Image")</f>
      </c>
      <c r="C5745" s="0" t="inlineStr">
        <is>
          <t>Piper Infant Bath Robes</t>
        </is>
      </c>
      <c r="D5745" s="0" t="inlineStr">
        <is>
          <t>'95635</t>
        </is>
      </c>
      <c r="E5745" s="0" t="inlineStr">
        <is>
          <t>PIPER:95635A- 0/3</t>
        </is>
      </c>
      <c r="F5745" s="0" t="inlineStr">
        <is>
          <t>'000000000000</t>
        </is>
      </c>
      <c r="G5745" s="0" t="inlineStr">
        <is>
          <t>INFANT</t>
        </is>
      </c>
      <c r="H5745" s="0" t="inlineStr">
        <is>
          <t>0-3M</t>
        </is>
      </c>
      <c r="I5745" s="0">
        <v>29.99</v>
      </c>
      <c r="J5745" s="0">
        <v>22</v>
      </c>
    </row>
    <row r="5746" spans="1:10" customHeight="0">
      <c r="A5746" s="0">
        <f>HYPERLINK("https://dl.dropboxusercontent.com/scl/fi/j8g4ytc68vzy71yykb8mx/piper-02.jpg?rlkey=5xd3pwouiy557v5r24rmn85li&amp;dl=0","Click to download Image")</f>
      </c>
      <c r="C5746" s="0" t="inlineStr">
        <is>
          <t>Piper Infant Bath Robes</t>
        </is>
      </c>
      <c r="D5746" s="0" t="inlineStr">
        <is>
          <t>'95635</t>
        </is>
      </c>
      <c r="E5746" s="0" t="inlineStr">
        <is>
          <t>PIPER:95635B- 3/6</t>
        </is>
      </c>
      <c r="F5746" s="0" t="inlineStr">
        <is>
          <t>'000000000000</t>
        </is>
      </c>
      <c r="G5746" s="0" t="inlineStr">
        <is>
          <t>INFANT</t>
        </is>
      </c>
      <c r="H5746" s="0" t="inlineStr">
        <is>
          <t>3-6M</t>
        </is>
      </c>
      <c r="I5746" s="0">
        <v>29.99</v>
      </c>
      <c r="J5746" s="0">
        <v>20</v>
      </c>
    </row>
    <row r="5747" spans="1:10" customHeight="0">
      <c r="A5747" s="0">
        <f>HYPERLINK("https://dl.dropboxusercontent.com/scl/fi/j8g4ytc68vzy71yykb8mx/piper-02.jpg?rlkey=5xd3pwouiy557v5r24rmn85li&amp;dl=0","Click to download Image")</f>
      </c>
      <c r="C5747" s="0" t="inlineStr">
        <is>
          <t>Piper Infant Bath Robes</t>
        </is>
      </c>
      <c r="D5747" s="0" t="inlineStr">
        <is>
          <t>'95635</t>
        </is>
      </c>
      <c r="E5747" s="0" t="inlineStr">
        <is>
          <t>PIPER:95635C- 6/9</t>
        </is>
      </c>
      <c r="F5747" s="0" t="inlineStr">
        <is>
          <t>'000000000000</t>
        </is>
      </c>
      <c r="G5747" s="0" t="inlineStr">
        <is>
          <t>INFANT</t>
        </is>
      </c>
      <c r="H5747" s="0" t="inlineStr">
        <is>
          <t>6-9M</t>
        </is>
      </c>
      <c r="I5747" s="0">
        <v>29.99</v>
      </c>
      <c r="J5747" s="0">
        <v>18</v>
      </c>
    </row>
    <row r="5748" spans="1:10" customHeight="0">
      <c r="A5748" s="0">
        <f>HYPERLINK("https://dl.dropboxusercontent.com/scl/fi/j8g4ytc68vzy71yykb8mx/piper-02.jpg?rlkey=5xd3pwouiy557v5r24rmn85li&amp;dl=0","Click to download Image")</f>
      </c>
      <c r="C5748" s="0" t="inlineStr">
        <is>
          <t>Piper Infant Bath Robes</t>
        </is>
      </c>
      <c r="D5748" s="0" t="inlineStr">
        <is>
          <t>'95635</t>
        </is>
      </c>
      <c r="E5748" s="0" t="inlineStr">
        <is>
          <t>PIPER:95635D- 9/12</t>
        </is>
      </c>
      <c r="F5748" s="0" t="inlineStr">
        <is>
          <t>'000000000000</t>
        </is>
      </c>
      <c r="G5748" s="0" t="inlineStr">
        <is>
          <t>INFANT</t>
        </is>
      </c>
      <c r="H5748" s="0" t="inlineStr">
        <is>
          <t>12M</t>
        </is>
      </c>
      <c r="I5748" s="0">
        <v>29.99</v>
      </c>
      <c r="J5748" s="0">
        <v>30</v>
      </c>
    </row>
    <row r="5749" spans="1:10" customHeight="0">
      <c r="A5749" s="0">
        <f>HYPERLINK("https://dl.dropboxusercontent.com/scl/fi/scvm04yi5njnveqn37p9p/piper-03.jpg?rlkey=0stysqq7bewgl7yyhtsxzyw8d&amp;dl=0","Click to download Image")</f>
      </c>
      <c r="C5749" s="0" t="inlineStr">
        <is>
          <t>Piper Infant Bath Robes</t>
        </is>
      </c>
      <c r="D5749" s="0" t="inlineStr">
        <is>
          <t>'95634</t>
        </is>
      </c>
      <c r="E5749" s="0" t="inlineStr">
        <is>
          <t>PIPER:95634A- 0/3</t>
        </is>
      </c>
      <c r="F5749" s="0" t="inlineStr">
        <is>
          <t>'000000000000</t>
        </is>
      </c>
      <c r="G5749" s="0" t="inlineStr">
        <is>
          <t>INFANT</t>
        </is>
      </c>
      <c r="H5749" s="0" t="inlineStr">
        <is>
          <t>0-3M</t>
        </is>
      </c>
      <c r="I5749" s="0">
        <v>29.99</v>
      </c>
      <c r="J5749" s="0">
        <v>28</v>
      </c>
    </row>
    <row r="5750" spans="1:10" customHeight="0">
      <c r="A5750" s="0">
        <f>HYPERLINK("https://dl.dropboxusercontent.com/scl/fi/scvm04yi5njnveqn37p9p/piper-03.jpg?rlkey=0stysqq7bewgl7yyhtsxzyw8d&amp;dl=0","Click to download Image")</f>
      </c>
      <c r="C5750" s="0" t="inlineStr">
        <is>
          <t>Piper Infant Bath Robes</t>
        </is>
      </c>
      <c r="D5750" s="0" t="inlineStr">
        <is>
          <t>'95634</t>
        </is>
      </c>
      <c r="E5750" s="0" t="inlineStr">
        <is>
          <t>PIPER:95634B-3/6</t>
        </is>
      </c>
      <c r="F5750" s="0" t="inlineStr">
        <is>
          <t>'000000000000</t>
        </is>
      </c>
      <c r="G5750" s="0" t="inlineStr">
        <is>
          <t>INFANT</t>
        </is>
      </c>
      <c r="H5750" s="0" t="inlineStr">
        <is>
          <t>3-6M</t>
        </is>
      </c>
      <c r="I5750" s="0">
        <v>29.99</v>
      </c>
      <c r="J5750" s="0">
        <v>8</v>
      </c>
    </row>
    <row r="5751" spans="1:10" customHeight="0">
      <c r="A5751" s="0">
        <f>HYPERLINK("https://dl.dropboxusercontent.com/scl/fi/scvm04yi5njnveqn37p9p/piper-03.jpg?rlkey=0stysqq7bewgl7yyhtsxzyw8d&amp;dl=0","Click to download Image")</f>
      </c>
      <c r="C5751" s="0" t="inlineStr">
        <is>
          <t>Piper Infant Bath Robes</t>
        </is>
      </c>
      <c r="D5751" s="0" t="inlineStr">
        <is>
          <t>'95634</t>
        </is>
      </c>
      <c r="E5751" s="0" t="inlineStr">
        <is>
          <t>PIPER:95634C- 6/9</t>
        </is>
      </c>
      <c r="F5751" s="0" t="inlineStr">
        <is>
          <t>'000000000000</t>
        </is>
      </c>
      <c r="G5751" s="0" t="inlineStr">
        <is>
          <t>INFANT</t>
        </is>
      </c>
      <c r="H5751" s="0" t="inlineStr">
        <is>
          <t>6-9M</t>
        </is>
      </c>
      <c r="I5751" s="0">
        <v>29.99</v>
      </c>
      <c r="J5751" s="0">
        <v>15</v>
      </c>
    </row>
    <row r="5752" spans="1:10" customHeight="0">
      <c r="A5752" s="0">
        <f>HYPERLINK("https://dl.dropboxusercontent.com/scl/fi/scvm04yi5njnveqn37p9p/piper-03.jpg?rlkey=0stysqq7bewgl7yyhtsxzyw8d&amp;dl=0","Click to download Image")</f>
      </c>
      <c r="C5752" s="0" t="inlineStr">
        <is>
          <t>Piper Infant Bath Robes</t>
        </is>
      </c>
      <c r="D5752" s="0" t="inlineStr">
        <is>
          <t>'95634</t>
        </is>
      </c>
      <c r="E5752" s="0" t="inlineStr">
        <is>
          <t>PIPER:95634D- 9-12</t>
        </is>
      </c>
      <c r="F5752" s="0" t="inlineStr">
        <is>
          <t>'000000000000</t>
        </is>
      </c>
      <c r="G5752" s="0" t="inlineStr">
        <is>
          <t>INFANT</t>
        </is>
      </c>
      <c r="H5752" s="0" t="inlineStr">
        <is>
          <t>12M</t>
        </is>
      </c>
      <c r="I5752" s="0">
        <v>29.99</v>
      </c>
      <c r="J5752" s="0">
        <v>25</v>
      </c>
    </row>
    <row r="5753" spans="1:10" customHeight="0">
      <c r="A5753" s="0">
        <f>HYPERLINK("https://dl.dropboxusercontent.com/scl/fi/jcq7dr86gr3ke3yo8t4dp/dsc1652-copy.jpg?rlkey=4qh75e5v82cmnkipagb8t1tjf&amp;dl=0","Click to download Image")</f>
      </c>
      <c r="B5753" s="0">
        <f>HYPERLINK("https://dl.dropboxusercontent.com/scl/fi/unvk2372gpan6mg22iolr/10-18-size-chartswomens.jpg?rlkey=vl9g5f12s2z3gse4r8mnb2sa6&amp;dl=0","Click to download SizeChart")</f>
      </c>
      <c r="C5753" s="0" t="inlineStr">
        <is>
          <t>Natalie Women's Plaid Long Sleeve Shirt</t>
        </is>
      </c>
      <c r="D5753" s="0" t="inlineStr">
        <is>
          <t>'105511</t>
        </is>
      </c>
      <c r="E5753" s="0" t="inlineStr">
        <is>
          <t>NATALIE:105511A-S</t>
        </is>
      </c>
      <c r="F5753" s="0" t="inlineStr">
        <is>
          <t>'000000000000</t>
        </is>
      </c>
      <c r="G5753" s="0" t="inlineStr">
        <is>
          <t>WOMENS</t>
        </is>
      </c>
      <c r="H5753" s="0" t="inlineStr">
        <is>
          <t>S</t>
        </is>
      </c>
      <c r="I5753" s="0">
        <v>39.99</v>
      </c>
      <c r="J5753" s="0">
        <v>30</v>
      </c>
    </row>
    <row r="5754" spans="1:10" customHeight="0">
      <c r="A5754" s="0">
        <f>HYPERLINK("https://dl.dropboxusercontent.com/scl/fi/jcq7dr86gr3ke3yo8t4dp/dsc1652-copy.jpg?rlkey=4qh75e5v82cmnkipagb8t1tjf&amp;dl=0","Click to download Image")</f>
      </c>
      <c r="B5754" s="0">
        <f>HYPERLINK("https://dl.dropboxusercontent.com/scl/fi/unvk2372gpan6mg22iolr/10-18-size-chartswomens.jpg?rlkey=vl9g5f12s2z3gse4r8mnb2sa6&amp;dl=0","Click to download SizeChart")</f>
      </c>
      <c r="C5754" s="0" t="inlineStr">
        <is>
          <t>Natalie Women's Plaid Long Sleeve Shirt</t>
        </is>
      </c>
      <c r="D5754" s="0" t="inlineStr">
        <is>
          <t>'105511</t>
        </is>
      </c>
      <c r="E5754" s="0" t="inlineStr">
        <is>
          <t>NATALIE:105511B-M</t>
        </is>
      </c>
      <c r="F5754" s="0" t="inlineStr">
        <is>
          <t>'000000000000</t>
        </is>
      </c>
      <c r="G5754" s="0" t="inlineStr">
        <is>
          <t>WOMENS</t>
        </is>
      </c>
      <c r="H5754" s="0" t="inlineStr">
        <is>
          <t>M</t>
        </is>
      </c>
      <c r="I5754" s="0">
        <v>39.99</v>
      </c>
      <c r="J5754" s="0">
        <v>32</v>
      </c>
    </row>
    <row r="5755" spans="1:10" customHeight="0">
      <c r="A5755" s="0">
        <f>HYPERLINK("https://dl.dropboxusercontent.com/scl/fi/jcq7dr86gr3ke3yo8t4dp/dsc1652-copy.jpg?rlkey=4qh75e5v82cmnkipagb8t1tjf&amp;dl=0","Click to download Image")</f>
      </c>
      <c r="B5755" s="0">
        <f>HYPERLINK("https://dl.dropboxusercontent.com/scl/fi/unvk2372gpan6mg22iolr/10-18-size-chartswomens.jpg?rlkey=vl9g5f12s2z3gse4r8mnb2sa6&amp;dl=0","Click to download SizeChart")</f>
      </c>
      <c r="C5755" s="0" t="inlineStr">
        <is>
          <t>Natalie Women's Plaid Long Sleeve Shirt</t>
        </is>
      </c>
      <c r="D5755" s="0" t="inlineStr">
        <is>
          <t>'105511</t>
        </is>
      </c>
      <c r="E5755" s="0" t="inlineStr">
        <is>
          <t>NATALIE:105511E-2XL</t>
        </is>
      </c>
      <c r="F5755" s="0" t="inlineStr">
        <is>
          <t>'000000000000</t>
        </is>
      </c>
      <c r="G5755" s="0" t="inlineStr">
        <is>
          <t>WOMENS</t>
        </is>
      </c>
      <c r="H5755" s="0" t="inlineStr">
        <is>
          <t>2XL</t>
        </is>
      </c>
      <c r="I5755" s="0">
        <v>39.99</v>
      </c>
      <c r="J5755" s="0">
        <v>27</v>
      </c>
    </row>
    <row r="5756" spans="1:10" customHeight="0">
      <c r="A5756" s="0">
        <f>HYPERLINK("https://dl.dropboxusercontent.com/scl/fi/jcq7dr86gr3ke3yo8t4dp/dsc1652-copy.jpg?rlkey=4qh75e5v82cmnkipagb8t1tjf&amp;dl=0","Click to download Image")</f>
      </c>
      <c r="B5756" s="0">
        <f>HYPERLINK("https://dl.dropboxusercontent.com/scl/fi/unvk2372gpan6mg22iolr/10-18-size-chartswomens.jpg?rlkey=vl9g5f12s2z3gse4r8mnb2sa6&amp;dl=0","Click to download SizeChart")</f>
      </c>
      <c r="C5756" s="0" t="inlineStr">
        <is>
          <t>Natalie Women's Plaid Long Sleeve Shirt</t>
        </is>
      </c>
      <c r="D5756" s="0" t="inlineStr">
        <is>
          <t>'105511</t>
        </is>
      </c>
      <c r="E5756" s="0" t="inlineStr">
        <is>
          <t>NATALIE:105511F-3XL</t>
        </is>
      </c>
      <c r="F5756" s="0" t="inlineStr">
        <is>
          <t>'000000000000</t>
        </is>
      </c>
      <c r="G5756" s="0" t="inlineStr">
        <is>
          <t>WOMENS</t>
        </is>
      </c>
      <c r="H5756" s="0" t="inlineStr">
        <is>
          <t>3XL</t>
        </is>
      </c>
      <c r="I5756" s="0">
        <v>39.99</v>
      </c>
      <c r="J5756" s="0">
        <v>1</v>
      </c>
    </row>
    <row r="5757" spans="1:10" customHeight="0">
      <c r="A5757" s="0">
        <f>HYPERLINK("https://dl.dropboxusercontent.com/scl/fi/k19e69udfqrtuw32se6qx/dsc8964-copy.jpg?rlkey=zzd5h730b8zfuoaxkwgkg9pks&amp;dl=0","Click to download Image")</f>
      </c>
      <c r="B5757" s="0">
        <f>HYPERLINK("https://dl.dropboxusercontent.com/scl/fi/unvk2372gpan6mg22iolr/10-18-size-chartswomens.jpg?rlkey=vl9g5f12s2z3gse4r8mnb2sa6&amp;dl=0","Click to download SizeChart")</f>
      </c>
      <c r="C5757" s="0" t="inlineStr">
        <is>
          <t>Natalie Women's Plaid Long Sleeve Shirt</t>
        </is>
      </c>
      <c r="D5757" s="0" t="inlineStr">
        <is>
          <t>'105512</t>
        </is>
      </c>
      <c r="E5757" s="0" t="inlineStr">
        <is>
          <t>NATALIE:105512A-S</t>
        </is>
      </c>
      <c r="F5757" s="0" t="inlineStr">
        <is>
          <t>'000000000000</t>
        </is>
      </c>
      <c r="G5757" s="0" t="inlineStr">
        <is>
          <t>WOMENS</t>
        </is>
      </c>
      <c r="H5757" s="0" t="inlineStr">
        <is>
          <t>S</t>
        </is>
      </c>
      <c r="I5757" s="0">
        <v>39.99</v>
      </c>
      <c r="J5757" s="0">
        <v>15</v>
      </c>
    </row>
    <row r="5758" spans="1:10" customHeight="0">
      <c r="A5758" s="0">
        <f>HYPERLINK("https://dl.dropboxusercontent.com/scl/fi/k19e69udfqrtuw32se6qx/dsc8964-copy.jpg?rlkey=zzd5h730b8zfuoaxkwgkg9pks&amp;dl=0","Click to download Image")</f>
      </c>
      <c r="B5758" s="0">
        <f>HYPERLINK("https://dl.dropboxusercontent.com/scl/fi/unvk2372gpan6mg22iolr/10-18-size-chartswomens.jpg?rlkey=vl9g5f12s2z3gse4r8mnb2sa6&amp;dl=0","Click to download SizeChart")</f>
      </c>
      <c r="C5758" s="0" t="inlineStr">
        <is>
          <t>Natalie Women's Plaid Long Sleeve Shirt</t>
        </is>
      </c>
      <c r="D5758" s="0" t="inlineStr">
        <is>
          <t>'105512</t>
        </is>
      </c>
      <c r="E5758" s="0" t="inlineStr">
        <is>
          <t>NATALIE:105512B-M</t>
        </is>
      </c>
      <c r="F5758" s="0" t="inlineStr">
        <is>
          <t>'000000000000</t>
        </is>
      </c>
      <c r="G5758" s="0" t="inlineStr">
        <is>
          <t>WOMENS</t>
        </is>
      </c>
      <c r="H5758" s="0" t="inlineStr">
        <is>
          <t>M</t>
        </is>
      </c>
      <c r="I5758" s="0">
        <v>39.99</v>
      </c>
      <c r="J5758" s="0">
        <v>2</v>
      </c>
    </row>
    <row r="5759" spans="1:10" customHeight="0">
      <c r="A5759" s="0">
        <f>HYPERLINK("https://dl.dropboxusercontent.com/scl/fi/k19e69udfqrtuw32se6qx/dsc8964-copy.jpg?rlkey=zzd5h730b8zfuoaxkwgkg9pks&amp;dl=0","Click to download Image")</f>
      </c>
      <c r="B5759" s="0">
        <f>HYPERLINK("https://dl.dropboxusercontent.com/scl/fi/unvk2372gpan6mg22iolr/10-18-size-chartswomens.jpg?rlkey=vl9g5f12s2z3gse4r8mnb2sa6&amp;dl=0","Click to download SizeChart")</f>
      </c>
      <c r="C5759" s="0" t="inlineStr">
        <is>
          <t>Natalie Women's Plaid Long Sleeve Shirt</t>
        </is>
      </c>
      <c r="D5759" s="0" t="inlineStr">
        <is>
          <t>'105512</t>
        </is>
      </c>
      <c r="E5759" s="0" t="inlineStr">
        <is>
          <t>NATALIE:105512C-L</t>
        </is>
      </c>
      <c r="F5759" s="0" t="inlineStr">
        <is>
          <t>'000000000000</t>
        </is>
      </c>
      <c r="G5759" s="0" t="inlineStr">
        <is>
          <t>WOMENS</t>
        </is>
      </c>
      <c r="H5759" s="0" t="inlineStr">
        <is>
          <t>L</t>
        </is>
      </c>
      <c r="I5759" s="0">
        <v>39.99</v>
      </c>
      <c r="J5759" s="0">
        <v>1</v>
      </c>
    </row>
    <row r="5760" spans="1:10" customHeight="0">
      <c r="A5760" s="0">
        <f>HYPERLINK("https://dl.dropboxusercontent.com/scl/fi/k19e69udfqrtuw32se6qx/dsc8964-copy.jpg?rlkey=zzd5h730b8zfuoaxkwgkg9pks&amp;dl=0","Click to download Image")</f>
      </c>
      <c r="B5760" s="0">
        <f>HYPERLINK("https://dl.dropboxusercontent.com/scl/fi/unvk2372gpan6mg22iolr/10-18-size-chartswomens.jpg?rlkey=vl9g5f12s2z3gse4r8mnb2sa6&amp;dl=0","Click to download SizeChart")</f>
      </c>
      <c r="C5760" s="0" t="inlineStr">
        <is>
          <t>Natalie Women's Plaid Long Sleeve Shirt</t>
        </is>
      </c>
      <c r="D5760" s="0" t="inlineStr">
        <is>
          <t>'105512</t>
        </is>
      </c>
      <c r="E5760" s="0" t="inlineStr">
        <is>
          <t>NATALIE:105512D-XL</t>
        </is>
      </c>
      <c r="F5760" s="0" t="inlineStr">
        <is>
          <t>'000000000000</t>
        </is>
      </c>
      <c r="G5760" s="0" t="inlineStr">
        <is>
          <t>WOMENS</t>
        </is>
      </c>
      <c r="H5760" s="0" t="inlineStr">
        <is>
          <t>XL</t>
        </is>
      </c>
      <c r="I5760" s="0">
        <v>39.99</v>
      </c>
      <c r="J5760" s="0">
        <v>10</v>
      </c>
    </row>
    <row r="5761" spans="1:10" customHeight="0">
      <c r="A5761" s="0">
        <f>HYPERLINK("https://dl.dropboxusercontent.com/scl/fi/k19e69udfqrtuw32se6qx/dsc8964-copy.jpg?rlkey=zzd5h730b8zfuoaxkwgkg9pks&amp;dl=0","Click to download Image")</f>
      </c>
      <c r="B5761" s="0">
        <f>HYPERLINK("https://dl.dropboxusercontent.com/scl/fi/unvk2372gpan6mg22iolr/10-18-size-chartswomens.jpg?rlkey=vl9g5f12s2z3gse4r8mnb2sa6&amp;dl=0","Click to download SizeChart")</f>
      </c>
      <c r="C5761" s="0" t="inlineStr">
        <is>
          <t>Natalie Women's Plaid Long Sleeve Shirt</t>
        </is>
      </c>
      <c r="D5761" s="0" t="inlineStr">
        <is>
          <t>'105512</t>
        </is>
      </c>
      <c r="E5761" s="0" t="inlineStr">
        <is>
          <t>NATALIE:105512E-2XL</t>
        </is>
      </c>
      <c r="F5761" s="0" t="inlineStr">
        <is>
          <t>'000000000000</t>
        </is>
      </c>
      <c r="G5761" s="0" t="inlineStr">
        <is>
          <t>WOMENS</t>
        </is>
      </c>
      <c r="H5761" s="0" t="inlineStr">
        <is>
          <t>2XL</t>
        </is>
      </c>
      <c r="I5761" s="0">
        <v>39.99</v>
      </c>
      <c r="J5761" s="0">
        <v>14</v>
      </c>
    </row>
    <row r="5762" spans="1:10" customHeight="0">
      <c r="A5762" s="0">
        <f>HYPERLINK("https://dl.dropboxusercontent.com/scl/fi/k19e69udfqrtuw32se6qx/dsc8964-copy.jpg?rlkey=zzd5h730b8zfuoaxkwgkg9pks&amp;dl=0","Click to download Image")</f>
      </c>
      <c r="B5762" s="0">
        <f>HYPERLINK("https://dl.dropboxusercontent.com/scl/fi/unvk2372gpan6mg22iolr/10-18-size-chartswomens.jpg?rlkey=vl9g5f12s2z3gse4r8mnb2sa6&amp;dl=0","Click to download SizeChart")</f>
      </c>
      <c r="C5762" s="0" t="inlineStr">
        <is>
          <t>Natalie Women's Plaid Long Sleeve Shirt</t>
        </is>
      </c>
      <c r="D5762" s="0" t="inlineStr">
        <is>
          <t>'105512</t>
        </is>
      </c>
      <c r="E5762" s="0" t="inlineStr">
        <is>
          <t>NATALIE:105512F-3XL</t>
        </is>
      </c>
      <c r="F5762" s="0" t="inlineStr">
        <is>
          <t>'000000000000</t>
        </is>
      </c>
      <c r="G5762" s="0" t="inlineStr">
        <is>
          <t>WOMENS</t>
        </is>
      </c>
      <c r="H5762" s="0" t="inlineStr">
        <is>
          <t>3XL</t>
        </is>
      </c>
      <c r="I5762" s="0">
        <v>39.99</v>
      </c>
      <c r="J5762" s="0">
        <v>16</v>
      </c>
    </row>
    <row r="5763" spans="1:10" customHeight="0">
      <c r="A5763" s="0">
        <f>HYPERLINK("https://dl.dropboxusercontent.com/scl/fi/4g1rbjc3n6id77sq2i4q1/98813af.jpg?rlkey=v3pm6zu6xwm03k0jhvx87ftul&amp;dl=0","Click to download Image")</f>
      </c>
      <c r="C5763" s="0" t="inlineStr">
        <is>
          <t>Heather Youth Leggings</t>
        </is>
      </c>
      <c r="D5763" s="0" t="inlineStr">
        <is>
          <t>'98813</t>
        </is>
      </c>
      <c r="E5763" s="0" t="inlineStr">
        <is>
          <t>HEATHER:98813A-YS</t>
        </is>
      </c>
      <c r="F5763" s="0" t="inlineStr">
        <is>
          <t>'000000000000</t>
        </is>
      </c>
      <c r="G5763" s="0" t="inlineStr">
        <is>
          <t>YOUTH</t>
        </is>
      </c>
      <c r="H5763" s="0" t="inlineStr">
        <is>
          <t>YS</t>
        </is>
      </c>
      <c r="I5763" s="0">
        <v>29.99</v>
      </c>
      <c r="J5763" s="0">
        <v>27</v>
      </c>
    </row>
    <row r="5764" spans="1:10" customHeight="0">
      <c r="A5764" s="0">
        <f>HYPERLINK("https://dl.dropboxusercontent.com/scl/fi/4g1rbjc3n6id77sq2i4q1/98813af.jpg?rlkey=v3pm6zu6xwm03k0jhvx87ftul&amp;dl=0","Click to download Image")</f>
      </c>
      <c r="C5764" s="0" t="inlineStr">
        <is>
          <t>Heather Youth Leggings</t>
        </is>
      </c>
      <c r="D5764" s="0" t="inlineStr">
        <is>
          <t>'98813</t>
        </is>
      </c>
      <c r="E5764" s="0" t="inlineStr">
        <is>
          <t>HEATHER:98813B-YM</t>
        </is>
      </c>
      <c r="F5764" s="0" t="inlineStr">
        <is>
          <t>'000000000000</t>
        </is>
      </c>
      <c r="G5764" s="0" t="inlineStr">
        <is>
          <t>YOUTH</t>
        </is>
      </c>
      <c r="H5764" s="0" t="inlineStr">
        <is>
          <t>YM</t>
        </is>
      </c>
      <c r="I5764" s="0">
        <v>29.99</v>
      </c>
      <c r="J5764" s="0">
        <v>27</v>
      </c>
    </row>
    <row r="5765" spans="1:10" customHeight="0">
      <c r="A5765" s="0">
        <f>HYPERLINK("https://dl.dropboxusercontent.com/scl/fi/4g1rbjc3n6id77sq2i4q1/98813af.jpg?rlkey=v3pm6zu6xwm03k0jhvx87ftul&amp;dl=0","Click to download Image")</f>
      </c>
      <c r="C5765" s="0" t="inlineStr">
        <is>
          <t>Heather Youth Leggings</t>
        </is>
      </c>
      <c r="D5765" s="0" t="inlineStr">
        <is>
          <t>'98813</t>
        </is>
      </c>
      <c r="E5765" s="0" t="inlineStr">
        <is>
          <t>HEATHER:98813C-YL</t>
        </is>
      </c>
      <c r="F5765" s="0" t="inlineStr">
        <is>
          <t>'000000000000</t>
        </is>
      </c>
      <c r="G5765" s="0" t="inlineStr">
        <is>
          <t>YOUTH</t>
        </is>
      </c>
      <c r="H5765" s="0" t="inlineStr">
        <is>
          <t>YL</t>
        </is>
      </c>
      <c r="I5765" s="0">
        <v>29.99</v>
      </c>
      <c r="J5765" s="0">
        <v>34</v>
      </c>
    </row>
    <row r="5766" spans="1:10" customHeight="0">
      <c r="A5766" s="0">
        <f>HYPERLINK("https://dl.dropboxusercontent.com/scl/fi/4g1rbjc3n6id77sq2i4q1/98813af.jpg?rlkey=v3pm6zu6xwm03k0jhvx87ftul&amp;dl=0","Click to download Image")</f>
      </c>
      <c r="C5766" s="0" t="inlineStr">
        <is>
          <t>Heather Youth Leggings</t>
        </is>
      </c>
      <c r="D5766" s="0" t="inlineStr">
        <is>
          <t>'98813</t>
        </is>
      </c>
      <c r="E5766" s="0" t="inlineStr">
        <is>
          <t>HEATHER:98813D-YXL</t>
        </is>
      </c>
      <c r="F5766" s="0" t="inlineStr">
        <is>
          <t>'000000000000</t>
        </is>
      </c>
      <c r="G5766" s="0" t="inlineStr">
        <is>
          <t>YOUTH</t>
        </is>
      </c>
      <c r="H5766" s="0" t="inlineStr">
        <is>
          <t>YXL</t>
        </is>
      </c>
      <c r="I5766" s="0">
        <v>29.99</v>
      </c>
      <c r="J5766" s="0">
        <v>37</v>
      </c>
    </row>
    <row r="5767" spans="1:10" customHeight="0">
      <c r="A5767" s="0">
        <f>HYPERLINK("https://dl.dropboxusercontent.com/scl/fi/lvovh5k220s933176q0pp/101626-af.jpg?rlkey=kqj24bitwdrs0cwzrradak93c&amp;dl=0","Click to download Image")</f>
      </c>
      <c r="C5767" s="0" t="inlineStr">
        <is>
          <t>Heather Youth Leggings</t>
        </is>
      </c>
      <c r="D5767" s="0" t="inlineStr">
        <is>
          <t>'101626</t>
        </is>
      </c>
      <c r="E5767" s="0" t="inlineStr">
        <is>
          <t>HEATHER:101626A-YS</t>
        </is>
      </c>
      <c r="F5767" s="0" t="inlineStr">
        <is>
          <t>'000000000000</t>
        </is>
      </c>
      <c r="G5767" s="0" t="inlineStr">
        <is>
          <t>YOUTH</t>
        </is>
      </c>
      <c r="H5767" s="0" t="inlineStr">
        <is>
          <t>YS</t>
        </is>
      </c>
      <c r="I5767" s="0">
        <v>29.99</v>
      </c>
      <c r="J5767" s="0">
        <v>30</v>
      </c>
    </row>
    <row r="5768" spans="1:10" customHeight="0">
      <c r="A5768" s="0">
        <f>HYPERLINK("https://dl.dropboxusercontent.com/scl/fi/lvovh5k220s933176q0pp/101626-af.jpg?rlkey=kqj24bitwdrs0cwzrradak93c&amp;dl=0","Click to download Image")</f>
      </c>
      <c r="C5768" s="0" t="inlineStr">
        <is>
          <t>Heather Youth Leggings</t>
        </is>
      </c>
      <c r="D5768" s="0" t="inlineStr">
        <is>
          <t>'101626</t>
        </is>
      </c>
      <c r="E5768" s="0" t="inlineStr">
        <is>
          <t>HEATHER:101626B-YM</t>
        </is>
      </c>
      <c r="F5768" s="0" t="inlineStr">
        <is>
          <t>'000000000000</t>
        </is>
      </c>
      <c r="G5768" s="0" t="inlineStr">
        <is>
          <t>YOUTH</t>
        </is>
      </c>
      <c r="H5768" s="0" t="inlineStr">
        <is>
          <t>YM</t>
        </is>
      </c>
      <c r="I5768" s="0">
        <v>29.99</v>
      </c>
      <c r="J5768" s="0">
        <v>33</v>
      </c>
    </row>
    <row r="5769" spans="1:10" customHeight="0">
      <c r="A5769" s="0">
        <f>HYPERLINK("https://dl.dropboxusercontent.com/scl/fi/lvovh5k220s933176q0pp/101626-af.jpg?rlkey=kqj24bitwdrs0cwzrradak93c&amp;dl=0","Click to download Image")</f>
      </c>
      <c r="C5769" s="0" t="inlineStr">
        <is>
          <t>Heather Youth Leggings</t>
        </is>
      </c>
      <c r="D5769" s="0" t="inlineStr">
        <is>
          <t>'101626</t>
        </is>
      </c>
      <c r="E5769" s="0" t="inlineStr">
        <is>
          <t>HEATHER:101626C-YL</t>
        </is>
      </c>
      <c r="F5769" s="0" t="inlineStr">
        <is>
          <t>'000000000000</t>
        </is>
      </c>
      <c r="G5769" s="0" t="inlineStr">
        <is>
          <t>YOUTH</t>
        </is>
      </c>
      <c r="H5769" s="0" t="inlineStr">
        <is>
          <t>YL</t>
        </is>
      </c>
      <c r="I5769" s="0">
        <v>29.99</v>
      </c>
      <c r="J5769" s="0">
        <v>32</v>
      </c>
    </row>
    <row r="5770" spans="1:10" customHeight="0">
      <c r="A5770" s="0">
        <f>HYPERLINK("https://dl.dropboxusercontent.com/scl/fi/lvovh5k220s933176q0pp/101626-af.jpg?rlkey=kqj24bitwdrs0cwzrradak93c&amp;dl=0","Click to download Image")</f>
      </c>
      <c r="C5770" s="0" t="inlineStr">
        <is>
          <t>Heather Youth Leggings</t>
        </is>
      </c>
      <c r="D5770" s="0" t="inlineStr">
        <is>
          <t>'101626</t>
        </is>
      </c>
      <c r="E5770" s="0" t="inlineStr">
        <is>
          <t>HEATHER:101626D-YXL</t>
        </is>
      </c>
      <c r="F5770" s="0" t="inlineStr">
        <is>
          <t>'000000000000</t>
        </is>
      </c>
      <c r="G5770" s="0" t="inlineStr">
        <is>
          <t>YOUTH</t>
        </is>
      </c>
      <c r="H5770" s="0" t="inlineStr">
        <is>
          <t>YXL</t>
        </is>
      </c>
      <c r="I5770" s="0">
        <v>29.99</v>
      </c>
      <c r="J5770" s="0">
        <v>29</v>
      </c>
    </row>
    <row r="5771" spans="1:10" customHeight="0">
      <c r="A5771" s="0">
        <f>HYPERLINK("https://dl.dropboxusercontent.com/scl/fi/tkfozmijjssvs8q5tc3s2/101345t.jpg?rlkey=8hmk0319vkwq9ezf3kzptjqye&amp;dl=0","Click to download Image")</f>
      </c>
      <c r="C5771" s="0" t="inlineStr">
        <is>
          <t>Larkin Realtree Camo Cap</t>
        </is>
      </c>
      <c r="D5771" s="0" t="inlineStr">
        <is>
          <t>'101345</t>
        </is>
      </c>
      <c r="E5771" s="0" t="inlineStr">
        <is>
          <t>LARKIN:101345</t>
        </is>
      </c>
      <c r="F5771" s="0" t="inlineStr">
        <is>
          <t>'070010134501</t>
        </is>
      </c>
      <c r="G5771" s="0" t="inlineStr">
        <is>
          <t>YOUTH</t>
        </is>
      </c>
      <c r="H5771" s="0" t="inlineStr">
        <is>
          <t>YOUTH</t>
        </is>
      </c>
      <c r="I5771" s="0">
        <v>21.99</v>
      </c>
      <c r="J5771" s="0">
        <v>113</v>
      </c>
    </row>
    <row r="5772" spans="1:10" customHeight="0">
      <c r="A5772" s="0">
        <f>HYPERLINK("https://dl.dropboxusercontent.com/scl/fi/g8ohcj9oub0xwoiddoca6/98813af.jpg?rlkey=iayz9p85ckyx3jzpklvb93mo6&amp;dl=0","Click to download Image")</f>
      </c>
      <c r="C5772" s="0" t="inlineStr">
        <is>
          <t>Heather Toddler Leggings</t>
        </is>
      </c>
      <c r="D5772" s="0" t="inlineStr">
        <is>
          <t>'101918</t>
        </is>
      </c>
      <c r="E5772" s="0" t="inlineStr">
        <is>
          <t>HEATHER:101918A-2T</t>
        </is>
      </c>
      <c r="F5772" s="0" t="inlineStr">
        <is>
          <t>'000000000000</t>
        </is>
      </c>
      <c r="G5772" s="0" t="inlineStr">
        <is>
          <t>TODDLER</t>
        </is>
      </c>
      <c r="H5772" s="0" t="inlineStr">
        <is>
          <t>2T</t>
        </is>
      </c>
      <c r="I5772" s="0">
        <v>29.99</v>
      </c>
      <c r="J5772" s="0">
        <v>3</v>
      </c>
    </row>
    <row r="5773" spans="1:10" customHeight="0">
      <c r="A5773" s="0">
        <f>HYPERLINK("https://dl.dropboxusercontent.com/scl/fi/g8ohcj9oub0xwoiddoca6/98813af.jpg?rlkey=iayz9p85ckyx3jzpklvb93mo6&amp;dl=0","Click to download Image")</f>
      </c>
      <c r="C5773" s="0" t="inlineStr">
        <is>
          <t>Heather Toddler Leggings</t>
        </is>
      </c>
      <c r="D5773" s="0" t="inlineStr">
        <is>
          <t>'101918</t>
        </is>
      </c>
      <c r="E5773" s="0" t="inlineStr">
        <is>
          <t>HEATHER:101918B-3T</t>
        </is>
      </c>
      <c r="F5773" s="0" t="inlineStr">
        <is>
          <t>'000000000000</t>
        </is>
      </c>
      <c r="G5773" s="0" t="inlineStr">
        <is>
          <t>TODDLER</t>
        </is>
      </c>
      <c r="H5773" s="0" t="inlineStr">
        <is>
          <t>3T</t>
        </is>
      </c>
      <c r="I5773" s="0">
        <v>29.99</v>
      </c>
      <c r="J5773" s="0">
        <v>0</v>
      </c>
    </row>
    <row r="5774" spans="1:10" customHeight="0">
      <c r="A5774" s="0">
        <f>HYPERLINK("https://dl.dropboxusercontent.com/scl/fi/g8ohcj9oub0xwoiddoca6/98813af.jpg?rlkey=iayz9p85ckyx3jzpklvb93mo6&amp;dl=0","Click to download Image")</f>
      </c>
      <c r="C5774" s="0" t="inlineStr">
        <is>
          <t>Heather Toddler Leggings</t>
        </is>
      </c>
      <c r="D5774" s="0" t="inlineStr">
        <is>
          <t>'101918</t>
        </is>
      </c>
      <c r="E5774" s="0" t="inlineStr">
        <is>
          <t>HEATHER:101918C-4T</t>
        </is>
      </c>
      <c r="F5774" s="0" t="inlineStr">
        <is>
          <t>'000000000000</t>
        </is>
      </c>
      <c r="G5774" s="0" t="inlineStr">
        <is>
          <t>TODDLER</t>
        </is>
      </c>
      <c r="H5774" s="0" t="inlineStr">
        <is>
          <t>4T</t>
        </is>
      </c>
      <c r="I5774" s="0">
        <v>29.99</v>
      </c>
      <c r="J5774" s="0">
        <v>0</v>
      </c>
    </row>
    <row r="5775" spans="1:10" customHeight="0">
      <c r="A5775" s="0">
        <f>HYPERLINK("https://dl.dropboxusercontent.com/scl/fi/g8ohcj9oub0xwoiddoca6/98813af.jpg?rlkey=iayz9p85ckyx3jzpklvb93mo6&amp;dl=0","Click to download Image")</f>
      </c>
      <c r="C5775" s="0" t="inlineStr">
        <is>
          <t>Heather Toddler Leggings</t>
        </is>
      </c>
      <c r="D5775" s="0" t="inlineStr">
        <is>
          <t>'101918</t>
        </is>
      </c>
      <c r="E5775" s="0" t="inlineStr">
        <is>
          <t>HEATHER:101918D-5T</t>
        </is>
      </c>
      <c r="F5775" s="0" t="inlineStr">
        <is>
          <t>'000000000000</t>
        </is>
      </c>
      <c r="G5775" s="0" t="inlineStr">
        <is>
          <t>TODDLER</t>
        </is>
      </c>
      <c r="H5775" s="0" t="inlineStr">
        <is>
          <t>5T</t>
        </is>
      </c>
      <c r="I5775" s="0">
        <v>29.99</v>
      </c>
      <c r="J5775" s="0">
        <v>9</v>
      </c>
    </row>
    <row r="5776" spans="1:10" customHeight="0">
      <c r="A5776" s="0">
        <f>HYPERLINK("https://dl.dropboxusercontent.com/scl/fi/lkix3ntzyymsdvw4oln5n/101626-af.jpg?rlkey=nazajx8x2x82tta13wbpjnmln&amp;dl=0","Click to download Image")</f>
      </c>
      <c r="C5776" s="0" t="inlineStr">
        <is>
          <t>Heather Toddler Leggings</t>
        </is>
      </c>
      <c r="D5776" s="0" t="inlineStr">
        <is>
          <t>'101919</t>
        </is>
      </c>
      <c r="E5776" s="0" t="inlineStr">
        <is>
          <t>HEATHER:101919A-2T</t>
        </is>
      </c>
      <c r="F5776" s="0" t="inlineStr">
        <is>
          <t>'000000000000</t>
        </is>
      </c>
      <c r="G5776" s="0" t="inlineStr">
        <is>
          <t>TODDLER</t>
        </is>
      </c>
      <c r="H5776" s="0" t="inlineStr">
        <is>
          <t>2T</t>
        </is>
      </c>
      <c r="I5776" s="0">
        <v>29.99</v>
      </c>
      <c r="J5776" s="0">
        <v>18</v>
      </c>
    </row>
    <row r="5777" spans="1:10" customHeight="0">
      <c r="A5777" s="0">
        <f>HYPERLINK("https://dl.dropboxusercontent.com/scl/fi/lkix3ntzyymsdvw4oln5n/101626-af.jpg?rlkey=nazajx8x2x82tta13wbpjnmln&amp;dl=0","Click to download Image")</f>
      </c>
      <c r="C5777" s="0" t="inlineStr">
        <is>
          <t>Heather Toddler Leggings</t>
        </is>
      </c>
      <c r="D5777" s="0" t="inlineStr">
        <is>
          <t>'101919</t>
        </is>
      </c>
      <c r="E5777" s="0" t="inlineStr">
        <is>
          <t>HEATHER:101919B-3T</t>
        </is>
      </c>
      <c r="F5777" s="0" t="inlineStr">
        <is>
          <t>'000000000000</t>
        </is>
      </c>
      <c r="G5777" s="0" t="inlineStr">
        <is>
          <t>TODDLER</t>
        </is>
      </c>
      <c r="H5777" s="0" t="inlineStr">
        <is>
          <t>3T</t>
        </is>
      </c>
      <c r="I5777" s="0">
        <v>29.99</v>
      </c>
      <c r="J5777" s="0">
        <v>20</v>
      </c>
    </row>
    <row r="5778" spans="1:10" customHeight="0">
      <c r="A5778" s="0">
        <f>HYPERLINK("https://dl.dropboxusercontent.com/scl/fi/lkix3ntzyymsdvw4oln5n/101626-af.jpg?rlkey=nazajx8x2x82tta13wbpjnmln&amp;dl=0","Click to download Image")</f>
      </c>
      <c r="C5778" s="0" t="inlineStr">
        <is>
          <t>Heather Toddler Leggings</t>
        </is>
      </c>
      <c r="D5778" s="0" t="inlineStr">
        <is>
          <t>'101919</t>
        </is>
      </c>
      <c r="E5778" s="0" t="inlineStr">
        <is>
          <t>HEATHER:101919C-4T</t>
        </is>
      </c>
      <c r="F5778" s="0" t="inlineStr">
        <is>
          <t>'000000000000</t>
        </is>
      </c>
      <c r="G5778" s="0" t="inlineStr">
        <is>
          <t>TODDLER</t>
        </is>
      </c>
      <c r="H5778" s="0" t="inlineStr">
        <is>
          <t>4T</t>
        </is>
      </c>
      <c r="I5778" s="0">
        <v>29.99</v>
      </c>
      <c r="J5778" s="0">
        <v>16</v>
      </c>
    </row>
    <row r="5779" spans="1:10" customHeight="0">
      <c r="A5779" s="0">
        <f>HYPERLINK("https://dl.dropboxusercontent.com/scl/fi/lkix3ntzyymsdvw4oln5n/101626-af.jpg?rlkey=nazajx8x2x82tta13wbpjnmln&amp;dl=0","Click to download Image")</f>
      </c>
      <c r="C5779" s="0" t="inlineStr">
        <is>
          <t>Heather Toddler Leggings</t>
        </is>
      </c>
      <c r="D5779" s="0" t="inlineStr">
        <is>
          <t>'101919</t>
        </is>
      </c>
      <c r="E5779" s="0" t="inlineStr">
        <is>
          <t>HEATHER:101919D-5T</t>
        </is>
      </c>
      <c r="F5779" s="0" t="inlineStr">
        <is>
          <t>'000000000000</t>
        </is>
      </c>
      <c r="G5779" s="0" t="inlineStr">
        <is>
          <t>TODDLER</t>
        </is>
      </c>
      <c r="H5779" s="0" t="inlineStr">
        <is>
          <t>5T</t>
        </is>
      </c>
      <c r="I5779" s="0">
        <v>29.99</v>
      </c>
      <c r="J5779" s="0">
        <v>19</v>
      </c>
    </row>
    <row r="5780" spans="1:10" customHeight="0">
      <c r="A5780" s="0">
        <f>HYPERLINK("https://dl.dropboxusercontent.com/scl/fi/hajxdkinmuorkf9vpbfd0/burton.jpg?rlkey=kk495a6kwa15bfqz14x6zeupf&amp;dl=0","Click to download Image")</f>
      </c>
      <c r="C5780" s="0" t="inlineStr">
        <is>
          <t>Burton Youth Hip Hop Cap</t>
        </is>
      </c>
      <c r="D5780" s="0" t="inlineStr">
        <is>
          <t>'99890</t>
        </is>
      </c>
      <c r="E5780" s="0" t="inlineStr">
        <is>
          <t>BURTON:99890-Y</t>
        </is>
      </c>
      <c r="F5780" s="0" t="inlineStr">
        <is>
          <t>'070009989000</t>
        </is>
      </c>
      <c r="G5780" s="0" t="inlineStr">
        <is>
          <t>YOUTH</t>
        </is>
      </c>
      <c r="H5780" s="0" t="inlineStr">
        <is>
          <t>YOUTH</t>
        </is>
      </c>
      <c r="I5780" s="0">
        <v>23.99</v>
      </c>
      <c r="J5780" s="0">
        <v>38</v>
      </c>
    </row>
    <row r="5781" spans="1:10" customHeight="0">
      <c r="A5781" s="0">
        <f>HYPERLINK("https://dl.dropboxusercontent.com/scl/fi/bazckbvwd544d2yp7v5h9/ia-patsy-1.jpg?rlkey=ziipajgpddd06ii96ag8uecq6&amp;dl=0","Click to download Image")</f>
      </c>
      <c r="B5781" s="0">
        <f>HYPERLINK("https://dl.dropboxusercontent.com/scl/fi/2dger8vbrelxq2ce01n8i/womens-size-chartspatsy.jpg?rlkey=e9y9ldfrc5dy1wtn0ishm5tt7&amp;dl=0","Click to download SizeChart")</f>
      </c>
      <c r="C5781" s="0" t="inlineStr">
        <is>
          <t>Patsy Women's Puffer Hooded Jacket</t>
        </is>
      </c>
      <c r="D5781" s="0" t="inlineStr">
        <is>
          <t>'101405</t>
        </is>
      </c>
      <c r="E5781" s="0" t="inlineStr">
        <is>
          <t>PATSY:101405A-S</t>
        </is>
      </c>
      <c r="F5781" s="0" t="inlineStr">
        <is>
          <t>'000000000000</t>
        </is>
      </c>
      <c r="G5781" s="0" t="inlineStr">
        <is>
          <t>WOMENS</t>
        </is>
      </c>
      <c r="H5781" s="0" t="inlineStr">
        <is>
          <t>S</t>
        </is>
      </c>
      <c r="I5781" s="0">
        <v>149.99</v>
      </c>
      <c r="J5781" s="0">
        <v>6</v>
      </c>
    </row>
    <row r="5782" spans="1:10" customHeight="0">
      <c r="A5782" s="0">
        <f>HYPERLINK("https://dl.dropboxusercontent.com/scl/fi/bazckbvwd544d2yp7v5h9/ia-patsy-1.jpg?rlkey=ziipajgpddd06ii96ag8uecq6&amp;dl=0","Click to download Image")</f>
      </c>
      <c r="B5782" s="0">
        <f>HYPERLINK("https://dl.dropboxusercontent.com/scl/fi/2dger8vbrelxq2ce01n8i/womens-size-chartspatsy.jpg?rlkey=e9y9ldfrc5dy1wtn0ishm5tt7&amp;dl=0","Click to download SizeChart")</f>
      </c>
      <c r="C5782" s="0" t="inlineStr">
        <is>
          <t>Patsy Women's Puffer Hooded Jacket</t>
        </is>
      </c>
      <c r="D5782" s="0" t="inlineStr">
        <is>
          <t>'101405</t>
        </is>
      </c>
      <c r="E5782" s="0" t="inlineStr">
        <is>
          <t>PATSY:101405B-M</t>
        </is>
      </c>
      <c r="F5782" s="0" t="inlineStr">
        <is>
          <t>'000000000000</t>
        </is>
      </c>
      <c r="G5782" s="0" t="inlineStr">
        <is>
          <t>WOMENS</t>
        </is>
      </c>
      <c r="H5782" s="0" t="inlineStr">
        <is>
          <t>M</t>
        </is>
      </c>
      <c r="I5782" s="0">
        <v>149.99</v>
      </c>
      <c r="J5782" s="0">
        <v>10</v>
      </c>
    </row>
    <row r="5783" spans="1:10" customHeight="0">
      <c r="A5783" s="0">
        <f>HYPERLINK("https://dl.dropboxusercontent.com/scl/fi/bazckbvwd544d2yp7v5h9/ia-patsy-1.jpg?rlkey=ziipajgpddd06ii96ag8uecq6&amp;dl=0","Click to download Image")</f>
      </c>
      <c r="B5783" s="0">
        <f>HYPERLINK("https://dl.dropboxusercontent.com/scl/fi/2dger8vbrelxq2ce01n8i/womens-size-chartspatsy.jpg?rlkey=e9y9ldfrc5dy1wtn0ishm5tt7&amp;dl=0","Click to download SizeChart")</f>
      </c>
      <c r="C5783" s="0" t="inlineStr">
        <is>
          <t>Patsy Women's Puffer Hooded Jacket</t>
        </is>
      </c>
      <c r="D5783" s="0" t="inlineStr">
        <is>
          <t>'101405</t>
        </is>
      </c>
      <c r="E5783" s="0" t="inlineStr">
        <is>
          <t>PATSY:101405C-L</t>
        </is>
      </c>
      <c r="F5783" s="0" t="inlineStr">
        <is>
          <t>'000000000000</t>
        </is>
      </c>
      <c r="G5783" s="0" t="inlineStr">
        <is>
          <t>WOMENS</t>
        </is>
      </c>
      <c r="H5783" s="0" t="inlineStr">
        <is>
          <t>L</t>
        </is>
      </c>
      <c r="I5783" s="0">
        <v>149.99</v>
      </c>
      <c r="J5783" s="0">
        <v>31</v>
      </c>
    </row>
    <row r="5784" spans="1:10" customHeight="0">
      <c r="A5784" s="0">
        <f>HYPERLINK("https://dl.dropboxusercontent.com/scl/fi/bazckbvwd544d2yp7v5h9/ia-patsy-1.jpg?rlkey=ziipajgpddd06ii96ag8uecq6&amp;dl=0","Click to download Image")</f>
      </c>
      <c r="B5784" s="0">
        <f>HYPERLINK("https://dl.dropboxusercontent.com/scl/fi/2dger8vbrelxq2ce01n8i/womens-size-chartspatsy.jpg?rlkey=e9y9ldfrc5dy1wtn0ishm5tt7&amp;dl=0","Click to download SizeChart")</f>
      </c>
      <c r="C5784" s="0" t="inlineStr">
        <is>
          <t>Patsy Women's Puffer Hooded Jacket</t>
        </is>
      </c>
      <c r="D5784" s="0" t="inlineStr">
        <is>
          <t>'101405</t>
        </is>
      </c>
      <c r="E5784" s="0" t="inlineStr">
        <is>
          <t>PATSY:101405D-XL</t>
        </is>
      </c>
      <c r="F5784" s="0" t="inlineStr">
        <is>
          <t>'000000000000</t>
        </is>
      </c>
      <c r="G5784" s="0" t="inlineStr">
        <is>
          <t>WOMENS</t>
        </is>
      </c>
      <c r="H5784" s="0" t="inlineStr">
        <is>
          <t>XL</t>
        </is>
      </c>
      <c r="I5784" s="0">
        <v>149.99</v>
      </c>
      <c r="J5784" s="0">
        <v>28</v>
      </c>
    </row>
    <row r="5785" spans="1:10" customHeight="0">
      <c r="A5785" s="0">
        <f>HYPERLINK("https://dl.dropboxusercontent.com/scl/fi/bazckbvwd544d2yp7v5h9/ia-patsy-1.jpg?rlkey=ziipajgpddd06ii96ag8uecq6&amp;dl=0","Click to download Image")</f>
      </c>
      <c r="B5785" s="0">
        <f>HYPERLINK("https://dl.dropboxusercontent.com/scl/fi/2dger8vbrelxq2ce01n8i/womens-size-chartspatsy.jpg?rlkey=e9y9ldfrc5dy1wtn0ishm5tt7&amp;dl=0","Click to download SizeChart")</f>
      </c>
      <c r="C5785" s="0" t="inlineStr">
        <is>
          <t>Patsy Women's Puffer Hooded Jacket</t>
        </is>
      </c>
      <c r="D5785" s="0" t="inlineStr">
        <is>
          <t>'101405</t>
        </is>
      </c>
      <c r="E5785" s="0" t="inlineStr">
        <is>
          <t>PATSY:101405E-2XL</t>
        </is>
      </c>
      <c r="F5785" s="0" t="inlineStr">
        <is>
          <t>'000000000000</t>
        </is>
      </c>
      <c r="G5785" s="0" t="inlineStr">
        <is>
          <t>WOMENS</t>
        </is>
      </c>
      <c r="H5785" s="0" t="inlineStr">
        <is>
          <t>2XL</t>
        </is>
      </c>
      <c r="I5785" s="0">
        <v>151.99</v>
      </c>
      <c r="J5785" s="0">
        <v>13</v>
      </c>
    </row>
    <row r="5786" spans="1:10" customHeight="0">
      <c r="A5786" s="0">
        <f>HYPERLINK("https://dl.dropboxusercontent.com/scl/fi/bazckbvwd544d2yp7v5h9/ia-patsy-1.jpg?rlkey=ziipajgpddd06ii96ag8uecq6&amp;dl=0","Click to download Image")</f>
      </c>
      <c r="B5786" s="0">
        <f>HYPERLINK("https://dl.dropboxusercontent.com/scl/fi/2dger8vbrelxq2ce01n8i/womens-size-chartspatsy.jpg?rlkey=e9y9ldfrc5dy1wtn0ishm5tt7&amp;dl=0","Click to download SizeChart")</f>
      </c>
      <c r="C5786" s="0" t="inlineStr">
        <is>
          <t>Patsy Women's Puffer Hooded Jacket</t>
        </is>
      </c>
      <c r="D5786" s="0" t="inlineStr">
        <is>
          <t>'101405</t>
        </is>
      </c>
      <c r="E5786" s="0" t="inlineStr">
        <is>
          <t>PATSY:101405F-3XL</t>
        </is>
      </c>
      <c r="F5786" s="0" t="inlineStr">
        <is>
          <t>'000000000000</t>
        </is>
      </c>
      <c r="G5786" s="0" t="inlineStr">
        <is>
          <t>WOMENS</t>
        </is>
      </c>
      <c r="H5786" s="0" t="inlineStr">
        <is>
          <t>3XL</t>
        </is>
      </c>
      <c r="I5786" s="0">
        <v>151.99</v>
      </c>
      <c r="J5786" s="0">
        <v>10</v>
      </c>
    </row>
    <row r="5787" spans="1:10" customHeight="0">
      <c r="A5787" s="0">
        <f>HYPERLINK("https://dl.dropboxusercontent.com/scl/fi/j6969wtxsq9k9tz3icz0m/98901af.jpg?rlkey=uki34qwiu6w0ungd75ichqwtg&amp;dl=0","Click to download Image")</f>
      </c>
      <c r="B5787" s="0">
        <f>HYPERLINK("https://dl.dropboxusercontent.com/scl/fi/5q6uegj3tulxb85qhiyi0/graphic-update22022-youth.jpg?rlkey=htxxffae98d7i1wqjgw4uw1oo&amp;dl=0","Click to download SizeChart")</f>
      </c>
      <c r="C5787" s="0" t="inlineStr">
        <is>
          <t>Harley Youth Rain Jacket</t>
        </is>
      </c>
      <c r="D5787" s="0" t="inlineStr">
        <is>
          <t>'98901</t>
        </is>
      </c>
      <c r="E5787" s="0" t="inlineStr">
        <is>
          <t>HARLEY:98901A-YS</t>
        </is>
      </c>
      <c r="F5787" s="0" t="inlineStr">
        <is>
          <t>'000000000000</t>
        </is>
      </c>
      <c r="G5787" s="0" t="inlineStr">
        <is>
          <t>YOUTH</t>
        </is>
      </c>
      <c r="H5787" s="0" t="inlineStr">
        <is>
          <t>YS</t>
        </is>
      </c>
      <c r="I5787" s="0">
        <v>42.99</v>
      </c>
      <c r="J5787" s="0">
        <v>53</v>
      </c>
    </row>
    <row r="5788" spans="1:10" customHeight="0">
      <c r="A5788" s="0">
        <f>HYPERLINK("https://dl.dropboxusercontent.com/scl/fi/j6969wtxsq9k9tz3icz0m/98901af.jpg?rlkey=uki34qwiu6w0ungd75ichqwtg&amp;dl=0","Click to download Image")</f>
      </c>
      <c r="B5788" s="0">
        <f>HYPERLINK("https://dl.dropboxusercontent.com/scl/fi/5q6uegj3tulxb85qhiyi0/graphic-update22022-youth.jpg?rlkey=htxxffae98d7i1wqjgw4uw1oo&amp;dl=0","Click to download SizeChart")</f>
      </c>
      <c r="C5788" s="0" t="inlineStr">
        <is>
          <t>Harley Youth Rain Jacket</t>
        </is>
      </c>
      <c r="D5788" s="0" t="inlineStr">
        <is>
          <t>'98901</t>
        </is>
      </c>
      <c r="E5788" s="0" t="inlineStr">
        <is>
          <t>HARLEY:98901B-YM</t>
        </is>
      </c>
      <c r="F5788" s="0" t="inlineStr">
        <is>
          <t>'000000000000</t>
        </is>
      </c>
      <c r="G5788" s="0" t="inlineStr">
        <is>
          <t>YOUTH</t>
        </is>
      </c>
      <c r="H5788" s="0" t="inlineStr">
        <is>
          <t>YM</t>
        </is>
      </c>
      <c r="I5788" s="0">
        <v>42.99</v>
      </c>
      <c r="J5788" s="0">
        <v>53</v>
      </c>
    </row>
    <row r="5789" spans="1:10" customHeight="0">
      <c r="A5789" s="0">
        <f>HYPERLINK("https://dl.dropboxusercontent.com/scl/fi/j6969wtxsq9k9tz3icz0m/98901af.jpg?rlkey=uki34qwiu6w0ungd75ichqwtg&amp;dl=0","Click to download Image")</f>
      </c>
      <c r="B5789" s="0">
        <f>HYPERLINK("https://dl.dropboxusercontent.com/scl/fi/5q6uegj3tulxb85qhiyi0/graphic-update22022-youth.jpg?rlkey=htxxffae98d7i1wqjgw4uw1oo&amp;dl=0","Click to download SizeChart")</f>
      </c>
      <c r="C5789" s="0" t="inlineStr">
        <is>
          <t>Harley Youth Rain Jacket</t>
        </is>
      </c>
      <c r="D5789" s="0" t="inlineStr">
        <is>
          <t>'98901</t>
        </is>
      </c>
      <c r="E5789" s="0" t="inlineStr">
        <is>
          <t>HARLEY:98901C-YL</t>
        </is>
      </c>
      <c r="F5789" s="0" t="inlineStr">
        <is>
          <t>'000000000000</t>
        </is>
      </c>
      <c r="G5789" s="0" t="inlineStr">
        <is>
          <t>YOUTH</t>
        </is>
      </c>
      <c r="H5789" s="0" t="inlineStr">
        <is>
          <t>YL</t>
        </is>
      </c>
      <c r="I5789" s="0">
        <v>42.99</v>
      </c>
      <c r="J5789" s="0">
        <v>45</v>
      </c>
    </row>
    <row r="5790" spans="1:10" customHeight="0">
      <c r="A5790" s="0">
        <f>HYPERLINK("https://dl.dropboxusercontent.com/scl/fi/j6969wtxsq9k9tz3icz0m/98901af.jpg?rlkey=uki34qwiu6w0ungd75ichqwtg&amp;dl=0","Click to download Image")</f>
      </c>
      <c r="B5790" s="0">
        <f>HYPERLINK("https://dl.dropboxusercontent.com/scl/fi/5q6uegj3tulxb85qhiyi0/graphic-update22022-youth.jpg?rlkey=htxxffae98d7i1wqjgw4uw1oo&amp;dl=0","Click to download SizeChart")</f>
      </c>
      <c r="C5790" s="0" t="inlineStr">
        <is>
          <t>Harley Youth Rain Jacket</t>
        </is>
      </c>
      <c r="D5790" s="0" t="inlineStr">
        <is>
          <t>'98901</t>
        </is>
      </c>
      <c r="E5790" s="0" t="inlineStr">
        <is>
          <t>HARLEY:98901D-YXL</t>
        </is>
      </c>
      <c r="F5790" s="0" t="inlineStr">
        <is>
          <t>'000000000000</t>
        </is>
      </c>
      <c r="G5790" s="0" t="inlineStr">
        <is>
          <t>YOUTH</t>
        </is>
      </c>
      <c r="H5790" s="0" t="inlineStr">
        <is>
          <t>YXL</t>
        </is>
      </c>
      <c r="I5790" s="0">
        <v>42.99</v>
      </c>
      <c r="J5790" s="0">
        <v>59</v>
      </c>
    </row>
    <row r="5791" spans="1:10" customHeight="0">
      <c r="A5791" s="0">
        <f>HYPERLINK("https://dl.dropboxusercontent.com/scl/fi/xa23dh8sivf0n8dod2aw2/101625-af.jpg?rlkey=topy1l05dn6ch65ar5stwy6by&amp;dl=0","Click to download Image")</f>
      </c>
      <c r="B5791" s="0">
        <f>HYPERLINK("https://dl.dropboxusercontent.com/scl/fi/5q6uegj3tulxb85qhiyi0/graphic-update22022-youth.jpg?rlkey=htxxffae98d7i1wqjgw4uw1oo&amp;dl=0","Click to download SizeChart")</f>
      </c>
      <c r="C5791" s="0" t="inlineStr">
        <is>
          <t>Harley Youth Rain Jacket</t>
        </is>
      </c>
      <c r="D5791" s="0" t="inlineStr">
        <is>
          <t>'101625</t>
        </is>
      </c>
      <c r="E5791" s="0" t="inlineStr">
        <is>
          <t>HARLEY:101625A-YS</t>
        </is>
      </c>
      <c r="F5791" s="0" t="inlineStr">
        <is>
          <t>'000000000000</t>
        </is>
      </c>
      <c r="G5791" s="0" t="inlineStr">
        <is>
          <t>YOUTH</t>
        </is>
      </c>
      <c r="H5791" s="0" t="inlineStr">
        <is>
          <t>YS</t>
        </is>
      </c>
      <c r="I5791" s="0">
        <v>42.99</v>
      </c>
      <c r="J5791" s="0">
        <v>38</v>
      </c>
    </row>
    <row r="5792" spans="1:10" customHeight="0">
      <c r="A5792" s="0">
        <f>HYPERLINK("https://dl.dropboxusercontent.com/scl/fi/xa23dh8sivf0n8dod2aw2/101625-af.jpg?rlkey=topy1l05dn6ch65ar5stwy6by&amp;dl=0","Click to download Image")</f>
      </c>
      <c r="B5792" s="0">
        <f>HYPERLINK("https://dl.dropboxusercontent.com/scl/fi/5q6uegj3tulxb85qhiyi0/graphic-update22022-youth.jpg?rlkey=htxxffae98d7i1wqjgw4uw1oo&amp;dl=0","Click to download SizeChart")</f>
      </c>
      <c r="C5792" s="0" t="inlineStr">
        <is>
          <t>Harley Youth Rain Jacket</t>
        </is>
      </c>
      <c r="D5792" s="0" t="inlineStr">
        <is>
          <t>'101625</t>
        </is>
      </c>
      <c r="E5792" s="0" t="inlineStr">
        <is>
          <t>HARLEY:101625B-YM</t>
        </is>
      </c>
      <c r="F5792" s="0" t="inlineStr">
        <is>
          <t>'000000000000</t>
        </is>
      </c>
      <c r="G5792" s="0" t="inlineStr">
        <is>
          <t>YOUTH</t>
        </is>
      </c>
      <c r="H5792" s="0" t="inlineStr">
        <is>
          <t>YM</t>
        </is>
      </c>
      <c r="I5792" s="0">
        <v>42.99</v>
      </c>
      <c r="J5792" s="0">
        <v>39</v>
      </c>
    </row>
    <row r="5793" spans="1:10" customHeight="0">
      <c r="A5793" s="0">
        <f>HYPERLINK("https://dl.dropboxusercontent.com/scl/fi/xa23dh8sivf0n8dod2aw2/101625-af.jpg?rlkey=topy1l05dn6ch65ar5stwy6by&amp;dl=0","Click to download Image")</f>
      </c>
      <c r="B5793" s="0">
        <f>HYPERLINK("https://dl.dropboxusercontent.com/scl/fi/5q6uegj3tulxb85qhiyi0/graphic-update22022-youth.jpg?rlkey=htxxffae98d7i1wqjgw4uw1oo&amp;dl=0","Click to download SizeChart")</f>
      </c>
      <c r="C5793" s="0" t="inlineStr">
        <is>
          <t>Harley Youth Rain Jacket</t>
        </is>
      </c>
      <c r="D5793" s="0" t="inlineStr">
        <is>
          <t>'101625</t>
        </is>
      </c>
      <c r="E5793" s="0" t="inlineStr">
        <is>
          <t>HARLEY:101625C-YL</t>
        </is>
      </c>
      <c r="F5793" s="0" t="inlineStr">
        <is>
          <t>'000000000000</t>
        </is>
      </c>
      <c r="G5793" s="0" t="inlineStr">
        <is>
          <t>YOUTH</t>
        </is>
      </c>
      <c r="H5793" s="0" t="inlineStr">
        <is>
          <t>YL</t>
        </is>
      </c>
      <c r="I5793" s="0">
        <v>42.99</v>
      </c>
      <c r="J5793" s="0">
        <v>38</v>
      </c>
    </row>
    <row r="5794" spans="1:10" customHeight="0">
      <c r="A5794" s="0">
        <f>HYPERLINK("https://dl.dropboxusercontent.com/scl/fi/xa23dh8sivf0n8dod2aw2/101625-af.jpg?rlkey=topy1l05dn6ch65ar5stwy6by&amp;dl=0","Click to download Image")</f>
      </c>
      <c r="B5794" s="0">
        <f>HYPERLINK("https://dl.dropboxusercontent.com/scl/fi/5q6uegj3tulxb85qhiyi0/graphic-update22022-youth.jpg?rlkey=htxxffae98d7i1wqjgw4uw1oo&amp;dl=0","Click to download SizeChart")</f>
      </c>
      <c r="C5794" s="0" t="inlineStr">
        <is>
          <t>Harley Youth Rain Jacket</t>
        </is>
      </c>
      <c r="D5794" s="0" t="inlineStr">
        <is>
          <t>'101625</t>
        </is>
      </c>
      <c r="E5794" s="0" t="inlineStr">
        <is>
          <t>HARLEY:101625D-YXL</t>
        </is>
      </c>
      <c r="F5794" s="0" t="inlineStr">
        <is>
          <t>'000000000000</t>
        </is>
      </c>
      <c r="G5794" s="0" t="inlineStr">
        <is>
          <t>YOUTH</t>
        </is>
      </c>
      <c r="H5794" s="0" t="inlineStr">
        <is>
          <t>YXL</t>
        </is>
      </c>
      <c r="I5794" s="0">
        <v>42.99</v>
      </c>
      <c r="J5794" s="0">
        <v>38</v>
      </c>
    </row>
    <row r="5795" spans="1:10" customHeight="0">
      <c r="A5795" s="0">
        <f>HYPERLINK("https://dl.dropboxusercontent.com/scl/fi/57k9ze6m45fkyood7j1c0/danica.jpg?rlkey=mzbzjbk08ivgmwh3adgss4a4c&amp;dl=0","Click to download Image")</f>
      </c>
      <c r="C5795" s="0" t="inlineStr">
        <is>
          <t>Danica Women's Cap</t>
        </is>
      </c>
      <c r="D5795" s="0" t="inlineStr">
        <is>
          <t>'101296</t>
        </is>
      </c>
      <c r="E5795" s="0" t="inlineStr">
        <is>
          <t>DANICA:101296</t>
        </is>
      </c>
      <c r="F5795" s="0" t="inlineStr">
        <is>
          <t>'070010129601</t>
        </is>
      </c>
      <c r="G5795" s="0" t="inlineStr">
        <is>
          <t>WOMENS</t>
        </is>
      </c>
      <c r="H5795" s="0" t="inlineStr">
        <is>
          <t>WOMENS</t>
        </is>
      </c>
      <c r="I5795" s="0">
        <v>20.99</v>
      </c>
      <c r="J5795" s="0">
        <v>53</v>
      </c>
    </row>
    <row r="5796" spans="1:10" customHeight="0">
      <c r="A5796" s="0">
        <f>HYPERLINK("https://dl.dropboxusercontent.com/scl/fi/gzwfst0jeyg1qco2wx5xc/bethany.jpg?rlkey=hl6ldu54hoq6e36zfjlyw11f8&amp;dl=0","Click to download Image")</f>
      </c>
      <c r="C5796" s="0" t="inlineStr">
        <is>
          <t>Bethany Rhinestone Women's Cap</t>
        </is>
      </c>
      <c r="D5796" s="0" t="inlineStr">
        <is>
          <t>'101640</t>
        </is>
      </c>
      <c r="E5796" s="0" t="inlineStr">
        <is>
          <t>BETHANY:101640</t>
        </is>
      </c>
      <c r="F5796" s="0" t="inlineStr">
        <is>
          <t>'070010164001</t>
        </is>
      </c>
      <c r="G5796" s="0" t="inlineStr">
        <is>
          <t>WOMENS</t>
        </is>
      </c>
      <c r="H5796" s="0" t="inlineStr">
        <is>
          <t>WOMENS</t>
        </is>
      </c>
      <c r="I5796" s="0">
        <v>21.99</v>
      </c>
      <c r="J5796" s="0">
        <v>142</v>
      </c>
    </row>
    <row r="5797" spans="1:10" customHeight="0">
      <c r="A5797" s="0">
        <f>HYPERLINK("https://dl.dropboxusercontent.com/scl/fi/n6ijiic6lzbt0ijlzwbi7/joelle.jpg?rlkey=3w3aouzpbx16yyvom5yqw7s1t&amp;dl=0","Click to download Image")</f>
      </c>
      <c r="B5797" s="0">
        <f>HYPERLINK("https://dl.dropboxusercontent.com/scl/fi/171g1743iyrcc5kr1vwu0/ladies-b.jpg?rlkey=y0ua86bnatq8qrlm38c71kxxz&amp;dl=0","Click to download SizeChart")</f>
      </c>
      <c r="C5797" s="0" t="inlineStr">
        <is>
          <t>Joelle Full Zip Women's Hoodie</t>
        </is>
      </c>
      <c r="D5797" s="0" t="inlineStr">
        <is>
          <t>'99256</t>
        </is>
      </c>
      <c r="E5797" s="0" t="inlineStr">
        <is>
          <t>JOELLE:99256A-S</t>
        </is>
      </c>
      <c r="F5797" s="0" t="inlineStr">
        <is>
          <t>'080009925601</t>
        </is>
      </c>
      <c r="G5797" s="0" t="inlineStr">
        <is>
          <t>WOMENS</t>
        </is>
      </c>
      <c r="H5797" s="0" t="inlineStr">
        <is>
          <t>S</t>
        </is>
      </c>
      <c r="I5797" s="0">
        <v>44.99</v>
      </c>
      <c r="J5797" s="0">
        <v>40</v>
      </c>
    </row>
    <row r="5798" spans="1:10" customHeight="0">
      <c r="A5798" s="0">
        <f>HYPERLINK("https://dl.dropboxusercontent.com/scl/fi/n6ijiic6lzbt0ijlzwbi7/joelle.jpg?rlkey=3w3aouzpbx16yyvom5yqw7s1t&amp;dl=0","Click to download Image")</f>
      </c>
      <c r="B5798" s="0">
        <f>HYPERLINK("https://dl.dropboxusercontent.com/scl/fi/171g1743iyrcc5kr1vwu0/ladies-b.jpg?rlkey=y0ua86bnatq8qrlm38c71kxxz&amp;dl=0","Click to download SizeChart")</f>
      </c>
      <c r="C5798" s="0" t="inlineStr">
        <is>
          <t>Joelle Full Zip Women's Hoodie</t>
        </is>
      </c>
      <c r="D5798" s="0" t="inlineStr">
        <is>
          <t>'99256</t>
        </is>
      </c>
      <c r="E5798" s="0" t="inlineStr">
        <is>
          <t>JOELLE:99256B-M</t>
        </is>
      </c>
      <c r="F5798" s="0" t="inlineStr">
        <is>
          <t>'080009925602</t>
        </is>
      </c>
      <c r="G5798" s="0" t="inlineStr">
        <is>
          <t>WOMENS</t>
        </is>
      </c>
      <c r="H5798" s="0" t="inlineStr">
        <is>
          <t>M</t>
        </is>
      </c>
      <c r="I5798" s="0">
        <v>44.99</v>
      </c>
      <c r="J5798" s="0">
        <v>23</v>
      </c>
    </row>
    <row r="5799" spans="1:10" customHeight="0">
      <c r="A5799" s="0">
        <f>HYPERLINK("https://dl.dropboxusercontent.com/scl/fi/n6ijiic6lzbt0ijlzwbi7/joelle.jpg?rlkey=3w3aouzpbx16yyvom5yqw7s1t&amp;dl=0","Click to download Image")</f>
      </c>
      <c r="B5799" s="0">
        <f>HYPERLINK("https://dl.dropboxusercontent.com/scl/fi/171g1743iyrcc5kr1vwu0/ladies-b.jpg?rlkey=y0ua86bnatq8qrlm38c71kxxz&amp;dl=0","Click to download SizeChart")</f>
      </c>
      <c r="C5799" s="0" t="inlineStr">
        <is>
          <t>Joelle Full Zip Women's Hoodie</t>
        </is>
      </c>
      <c r="D5799" s="0" t="inlineStr">
        <is>
          <t>'99256</t>
        </is>
      </c>
      <c r="E5799" s="0" t="inlineStr">
        <is>
          <t>JOELLE:99256C-L</t>
        </is>
      </c>
      <c r="F5799" s="0" t="inlineStr">
        <is>
          <t>'080009925603</t>
        </is>
      </c>
      <c r="G5799" s="0" t="inlineStr">
        <is>
          <t>WOMENS</t>
        </is>
      </c>
      <c r="H5799" s="0" t="inlineStr">
        <is>
          <t>L</t>
        </is>
      </c>
      <c r="I5799" s="0">
        <v>44.99</v>
      </c>
      <c r="J5799" s="0">
        <v>8</v>
      </c>
    </row>
    <row r="5800" spans="1:10" customHeight="0">
      <c r="A5800" s="0">
        <f>HYPERLINK("https://dl.dropboxusercontent.com/scl/fi/n6ijiic6lzbt0ijlzwbi7/joelle.jpg?rlkey=3w3aouzpbx16yyvom5yqw7s1t&amp;dl=0","Click to download Image")</f>
      </c>
      <c r="B5800" s="0">
        <f>HYPERLINK("https://dl.dropboxusercontent.com/scl/fi/171g1743iyrcc5kr1vwu0/ladies-b.jpg?rlkey=y0ua86bnatq8qrlm38c71kxxz&amp;dl=0","Click to download SizeChart")</f>
      </c>
      <c r="C5800" s="0" t="inlineStr">
        <is>
          <t>Joelle Full Zip Women's Hoodie</t>
        </is>
      </c>
      <c r="D5800" s="0" t="inlineStr">
        <is>
          <t>'99256</t>
        </is>
      </c>
      <c r="E5800" s="0" t="inlineStr">
        <is>
          <t>JOELLE:99256D-XL</t>
        </is>
      </c>
      <c r="F5800" s="0" t="inlineStr">
        <is>
          <t>'080009925604</t>
        </is>
      </c>
      <c r="G5800" s="0" t="inlineStr">
        <is>
          <t>WOMENS</t>
        </is>
      </c>
      <c r="H5800" s="0" t="inlineStr">
        <is>
          <t>XL</t>
        </is>
      </c>
      <c r="I5800" s="0">
        <v>44.99</v>
      </c>
      <c r="J5800" s="0">
        <v>31</v>
      </c>
    </row>
    <row r="5801" spans="1:10" customHeight="0">
      <c r="A5801" s="0">
        <f>HYPERLINK("https://dl.dropboxusercontent.com/scl/fi/n6ijiic6lzbt0ijlzwbi7/joelle.jpg?rlkey=3w3aouzpbx16yyvom5yqw7s1t&amp;dl=0","Click to download Image")</f>
      </c>
      <c r="B5801" s="0">
        <f>HYPERLINK("https://dl.dropboxusercontent.com/scl/fi/171g1743iyrcc5kr1vwu0/ladies-b.jpg?rlkey=y0ua86bnatq8qrlm38c71kxxz&amp;dl=0","Click to download SizeChart")</f>
      </c>
      <c r="C5801" s="0" t="inlineStr">
        <is>
          <t>Joelle Full Zip Women's Hoodie</t>
        </is>
      </c>
      <c r="D5801" s="0" t="inlineStr">
        <is>
          <t>'99256</t>
        </is>
      </c>
      <c r="E5801" s="0" t="inlineStr">
        <is>
          <t>JOELLE:99256E-2XL</t>
        </is>
      </c>
      <c r="F5801" s="0" t="inlineStr">
        <is>
          <t>'080009925605</t>
        </is>
      </c>
      <c r="G5801" s="0" t="inlineStr">
        <is>
          <t>WOMENS</t>
        </is>
      </c>
      <c r="H5801" s="0" t="inlineStr">
        <is>
          <t>2XL</t>
        </is>
      </c>
      <c r="I5801" s="0">
        <v>46.99</v>
      </c>
      <c r="J5801" s="0">
        <v>49</v>
      </c>
    </row>
    <row r="5802" spans="1:10" customHeight="0">
      <c r="A5802" s="0">
        <f>HYPERLINK("https://dl.dropboxusercontent.com/scl/fi/n6ijiic6lzbt0ijlzwbi7/joelle.jpg?rlkey=3w3aouzpbx16yyvom5yqw7s1t&amp;dl=0","Click to download Image")</f>
      </c>
      <c r="B5802" s="0">
        <f>HYPERLINK("https://dl.dropboxusercontent.com/scl/fi/171g1743iyrcc5kr1vwu0/ladies-b.jpg?rlkey=y0ua86bnatq8qrlm38c71kxxz&amp;dl=0","Click to download SizeChart")</f>
      </c>
      <c r="C5802" s="0" t="inlineStr">
        <is>
          <t>Joelle Full Zip Women's Hoodie</t>
        </is>
      </c>
      <c r="D5802" s="0" t="inlineStr">
        <is>
          <t>'99256</t>
        </is>
      </c>
      <c r="E5802" s="0" t="inlineStr">
        <is>
          <t>JOELLE:99256F-3XL</t>
        </is>
      </c>
      <c r="F5802" s="0" t="inlineStr">
        <is>
          <t>'080009925606</t>
        </is>
      </c>
      <c r="G5802" s="0" t="inlineStr">
        <is>
          <t>WOMENS</t>
        </is>
      </c>
      <c r="H5802" s="0" t="inlineStr">
        <is>
          <t>3XL</t>
        </is>
      </c>
      <c r="I5802" s="0">
        <v>46.99</v>
      </c>
      <c r="J5802" s="0">
        <v>1</v>
      </c>
    </row>
    <row r="5803" spans="1:10" customHeight="0">
      <c r="A5803" s="0">
        <f>HYPERLINK("https://dl.dropboxusercontent.com/scl/fi/9qyxzusq2irvmqwu53ke3/pamela.jpg?rlkey=4tsrq25i1j7oh4xkh9gfte9kc&amp;dl=0","Click to download Image")</f>
      </c>
      <c r="C5803" s="0" t="inlineStr">
        <is>
          <t>Pamela Leather Duffle Bag</t>
        </is>
      </c>
      <c r="D5803" s="0" t="inlineStr">
        <is>
          <t>'94331</t>
        </is>
      </c>
      <c r="E5803" s="0" t="inlineStr">
        <is>
          <t>PAMELA:94331</t>
        </is>
      </c>
      <c r="F5803" s="0" t="inlineStr">
        <is>
          <t>'000000000000</t>
        </is>
      </c>
      <c r="H5803" s="0" t="inlineStr">
        <is>
          <t>OS</t>
        </is>
      </c>
      <c r="I5803" s="0">
        <v>49.99</v>
      </c>
      <c r="J5803" s="0">
        <v>457</v>
      </c>
    </row>
    <row r="5804" spans="1:10" customHeight="0">
      <c r="A5804" s="0">
        <f>HYPERLINK("https://dl.dropboxusercontent.com/scl/fi/x9rb7ywiyocfocgra6pvb/98901af.jpg?rlkey=36g2laexy90x7bmp6skqpm2sr&amp;dl=0","Click to download Image")</f>
      </c>
      <c r="B5804" s="0">
        <f>HYPERLINK("https://dl.dropboxusercontent.com/scl/fi/0zde25nc7l1b2dg74h39j/graphic-update22022-toddler.jpg?rlkey=4qikg99wpxjdzfl9f6xm2hy96&amp;dl=0","Click to download SizeChart")</f>
      </c>
      <c r="C5804" s="0" t="inlineStr">
        <is>
          <t>Harley Toddler Rain Jacket</t>
        </is>
      </c>
      <c r="D5804" s="0" t="inlineStr">
        <is>
          <t>'101915</t>
        </is>
      </c>
      <c r="E5804" s="0" t="inlineStr">
        <is>
          <t>HARLEY:101915A-2T</t>
        </is>
      </c>
      <c r="F5804" s="0" t="inlineStr">
        <is>
          <t>'000000000000</t>
        </is>
      </c>
      <c r="G5804" s="0" t="inlineStr">
        <is>
          <t>TODDLER</t>
        </is>
      </c>
      <c r="H5804" s="0" t="inlineStr">
        <is>
          <t>2T</t>
        </is>
      </c>
      <c r="I5804" s="0">
        <v>42.99</v>
      </c>
      <c r="J5804" s="0">
        <v>24</v>
      </c>
    </row>
    <row r="5805" spans="1:10" customHeight="0">
      <c r="A5805" s="0">
        <f>HYPERLINK("https://dl.dropboxusercontent.com/scl/fi/x9rb7ywiyocfocgra6pvb/98901af.jpg?rlkey=36g2laexy90x7bmp6skqpm2sr&amp;dl=0","Click to download Image")</f>
      </c>
      <c r="B5805" s="0">
        <f>HYPERLINK("https://dl.dropboxusercontent.com/scl/fi/0zde25nc7l1b2dg74h39j/graphic-update22022-toddler.jpg?rlkey=4qikg99wpxjdzfl9f6xm2hy96&amp;dl=0","Click to download SizeChart")</f>
      </c>
      <c r="C5805" s="0" t="inlineStr">
        <is>
          <t>Harley Toddler Rain Jacket</t>
        </is>
      </c>
      <c r="D5805" s="0" t="inlineStr">
        <is>
          <t>'101915</t>
        </is>
      </c>
      <c r="E5805" s="0" t="inlineStr">
        <is>
          <t>HARLEY:101915B-3T</t>
        </is>
      </c>
      <c r="F5805" s="0" t="inlineStr">
        <is>
          <t>'000000000000</t>
        </is>
      </c>
      <c r="G5805" s="0" t="inlineStr">
        <is>
          <t>TODDLER</t>
        </is>
      </c>
      <c r="H5805" s="0" t="inlineStr">
        <is>
          <t>3T</t>
        </is>
      </c>
      <c r="I5805" s="0">
        <v>42.99</v>
      </c>
      <c r="J5805" s="0">
        <v>22</v>
      </c>
    </row>
    <row r="5806" spans="1:10" customHeight="0">
      <c r="A5806" s="0">
        <f>HYPERLINK("https://dl.dropboxusercontent.com/scl/fi/x9rb7ywiyocfocgra6pvb/98901af.jpg?rlkey=36g2laexy90x7bmp6skqpm2sr&amp;dl=0","Click to download Image")</f>
      </c>
      <c r="B5806" s="0">
        <f>HYPERLINK("https://dl.dropboxusercontent.com/scl/fi/0zde25nc7l1b2dg74h39j/graphic-update22022-toddler.jpg?rlkey=4qikg99wpxjdzfl9f6xm2hy96&amp;dl=0","Click to download SizeChart")</f>
      </c>
      <c r="C5806" s="0" t="inlineStr">
        <is>
          <t>Harley Toddler Rain Jacket</t>
        </is>
      </c>
      <c r="D5806" s="0" t="inlineStr">
        <is>
          <t>'101915</t>
        </is>
      </c>
      <c r="E5806" s="0" t="inlineStr">
        <is>
          <t>HARLEY:101915C-4T</t>
        </is>
      </c>
      <c r="F5806" s="0" t="inlineStr">
        <is>
          <t>'000000000000</t>
        </is>
      </c>
      <c r="G5806" s="0" t="inlineStr">
        <is>
          <t>TODDLER</t>
        </is>
      </c>
      <c r="H5806" s="0" t="inlineStr">
        <is>
          <t>4T</t>
        </is>
      </c>
      <c r="I5806" s="0">
        <v>42.99</v>
      </c>
      <c r="J5806" s="0">
        <v>23</v>
      </c>
    </row>
    <row r="5807" spans="1:10" customHeight="0">
      <c r="A5807" s="0">
        <f>HYPERLINK("https://dl.dropboxusercontent.com/scl/fi/x9rb7ywiyocfocgra6pvb/98901af.jpg?rlkey=36g2laexy90x7bmp6skqpm2sr&amp;dl=0","Click to download Image")</f>
      </c>
      <c r="B5807" s="0">
        <f>HYPERLINK("https://dl.dropboxusercontent.com/scl/fi/0zde25nc7l1b2dg74h39j/graphic-update22022-toddler.jpg?rlkey=4qikg99wpxjdzfl9f6xm2hy96&amp;dl=0","Click to download SizeChart")</f>
      </c>
      <c r="C5807" s="0" t="inlineStr">
        <is>
          <t>Harley Toddler Rain Jacket</t>
        </is>
      </c>
      <c r="D5807" s="0" t="inlineStr">
        <is>
          <t>'101915</t>
        </is>
      </c>
      <c r="E5807" s="0" t="inlineStr">
        <is>
          <t>HARLEY:101915D-5T</t>
        </is>
      </c>
      <c r="F5807" s="0" t="inlineStr">
        <is>
          <t>'000000000000</t>
        </is>
      </c>
      <c r="G5807" s="0" t="inlineStr">
        <is>
          <t>TODDLER</t>
        </is>
      </c>
      <c r="H5807" s="0" t="inlineStr">
        <is>
          <t>5T</t>
        </is>
      </c>
      <c r="I5807" s="0">
        <v>42.99</v>
      </c>
      <c r="J5807" s="0">
        <v>26</v>
      </c>
    </row>
    <row r="5808" spans="1:10" customHeight="0">
      <c r="A5808" s="0">
        <f>HYPERLINK("https://dl.dropboxusercontent.com/scl/fi/jee0al4xqv4qqvphon6fk/101625-af.jpg?rlkey=4t6tojzr2xztwzzzr4kh5bjat&amp;dl=0","Click to download Image")</f>
      </c>
      <c r="B5808" s="0">
        <f>HYPERLINK("https://dl.dropboxusercontent.com/scl/fi/0zde25nc7l1b2dg74h39j/graphic-update22022-toddler.jpg?rlkey=4qikg99wpxjdzfl9f6xm2hy96&amp;dl=0","Click to download SizeChart")</f>
      </c>
      <c r="C5808" s="0" t="inlineStr">
        <is>
          <t>Harley Toddler Rain Jacket</t>
        </is>
      </c>
      <c r="D5808" s="0" t="inlineStr">
        <is>
          <t>'101916</t>
        </is>
      </c>
      <c r="E5808" s="0" t="inlineStr">
        <is>
          <t>HARLEY:101916A-2T</t>
        </is>
      </c>
      <c r="F5808" s="0" t="inlineStr">
        <is>
          <t>'000000000000</t>
        </is>
      </c>
      <c r="G5808" s="0" t="inlineStr">
        <is>
          <t>TODDLER</t>
        </is>
      </c>
      <c r="H5808" s="0" t="inlineStr">
        <is>
          <t>2T</t>
        </is>
      </c>
      <c r="I5808" s="0">
        <v>42.99</v>
      </c>
      <c r="J5808" s="0">
        <v>23</v>
      </c>
    </row>
    <row r="5809" spans="1:10" customHeight="0">
      <c r="A5809" s="0">
        <f>HYPERLINK("https://dl.dropboxusercontent.com/scl/fi/jee0al4xqv4qqvphon6fk/101625-af.jpg?rlkey=4t6tojzr2xztwzzzr4kh5bjat&amp;dl=0","Click to download Image")</f>
      </c>
      <c r="B5809" s="0">
        <f>HYPERLINK("https://dl.dropboxusercontent.com/scl/fi/0zde25nc7l1b2dg74h39j/graphic-update22022-toddler.jpg?rlkey=4qikg99wpxjdzfl9f6xm2hy96&amp;dl=0","Click to download SizeChart")</f>
      </c>
      <c r="C5809" s="0" t="inlineStr">
        <is>
          <t>Harley Toddler Rain Jacket</t>
        </is>
      </c>
      <c r="D5809" s="0" t="inlineStr">
        <is>
          <t>'101916</t>
        </is>
      </c>
      <c r="E5809" s="0" t="inlineStr">
        <is>
          <t>HARLEY:101916B-3T</t>
        </is>
      </c>
      <c r="F5809" s="0" t="inlineStr">
        <is>
          <t>'000000000000</t>
        </is>
      </c>
      <c r="G5809" s="0" t="inlineStr">
        <is>
          <t>TODDLER</t>
        </is>
      </c>
      <c r="H5809" s="0" t="inlineStr">
        <is>
          <t>3T</t>
        </is>
      </c>
      <c r="I5809" s="0">
        <v>42.99</v>
      </c>
      <c r="J5809" s="0">
        <v>25</v>
      </c>
    </row>
    <row r="5810" spans="1:10" customHeight="0">
      <c r="A5810" s="0">
        <f>HYPERLINK("https://dl.dropboxusercontent.com/scl/fi/jee0al4xqv4qqvphon6fk/101625-af.jpg?rlkey=4t6tojzr2xztwzzzr4kh5bjat&amp;dl=0","Click to download Image")</f>
      </c>
      <c r="B5810" s="0">
        <f>HYPERLINK("https://dl.dropboxusercontent.com/scl/fi/0zde25nc7l1b2dg74h39j/graphic-update22022-toddler.jpg?rlkey=4qikg99wpxjdzfl9f6xm2hy96&amp;dl=0","Click to download SizeChart")</f>
      </c>
      <c r="C5810" s="0" t="inlineStr">
        <is>
          <t>Harley Toddler Rain Jacket</t>
        </is>
      </c>
      <c r="D5810" s="0" t="inlineStr">
        <is>
          <t>'101916</t>
        </is>
      </c>
      <c r="E5810" s="0" t="inlineStr">
        <is>
          <t>HARLEY:101916C-4T</t>
        </is>
      </c>
      <c r="F5810" s="0" t="inlineStr">
        <is>
          <t>'000000000000</t>
        </is>
      </c>
      <c r="G5810" s="0" t="inlineStr">
        <is>
          <t>TODDLER</t>
        </is>
      </c>
      <c r="H5810" s="0" t="inlineStr">
        <is>
          <t>4T</t>
        </is>
      </c>
      <c r="I5810" s="0">
        <v>42.99</v>
      </c>
      <c r="J5810" s="0">
        <v>24</v>
      </c>
    </row>
    <row r="5811" spans="1:10" customHeight="0">
      <c r="A5811" s="0">
        <f>HYPERLINK("https://dl.dropboxusercontent.com/scl/fi/jee0al4xqv4qqvphon6fk/101625-af.jpg?rlkey=4t6tojzr2xztwzzzr4kh5bjat&amp;dl=0","Click to download Image")</f>
      </c>
      <c r="B5811" s="0">
        <f>HYPERLINK("https://dl.dropboxusercontent.com/scl/fi/0zde25nc7l1b2dg74h39j/graphic-update22022-toddler.jpg?rlkey=4qikg99wpxjdzfl9f6xm2hy96&amp;dl=0","Click to download SizeChart")</f>
      </c>
      <c r="C5811" s="0" t="inlineStr">
        <is>
          <t>Harley Toddler Rain Jacket</t>
        </is>
      </c>
      <c r="D5811" s="0" t="inlineStr">
        <is>
          <t>'101916</t>
        </is>
      </c>
      <c r="E5811" s="0" t="inlineStr">
        <is>
          <t>HARLEY:101916D-5T</t>
        </is>
      </c>
      <c r="F5811" s="0" t="inlineStr">
        <is>
          <t>'000000000000</t>
        </is>
      </c>
      <c r="G5811" s="0" t="inlineStr">
        <is>
          <t>TODDLER</t>
        </is>
      </c>
      <c r="H5811" s="0" t="inlineStr">
        <is>
          <t>5T</t>
        </is>
      </c>
      <c r="I5811" s="0">
        <v>42.99</v>
      </c>
      <c r="J5811" s="0">
        <v>26</v>
      </c>
    </row>
    <row r="5812" spans="1:10" customHeight="0">
      <c r="A5812" s="0">
        <f>HYPERLINK("https://dl.dropboxusercontent.com/scl/fi/efv649r4grifrx465dcbt/paisley.jpg?rlkey=92jqn23xy4el1pg49rypcg6dq&amp;dl=0","Click to download Image")</f>
      </c>
      <c r="C5812" s="0" t="inlineStr">
        <is>
          <t>Paisley Women's Rhinestone Military Cap</t>
        </is>
      </c>
      <c r="D5812" s="0" t="inlineStr">
        <is>
          <t>'97825</t>
        </is>
      </c>
      <c r="E5812" s="0" t="inlineStr">
        <is>
          <t>PAISLEY:97825</t>
        </is>
      </c>
      <c r="F5812" s="0" t="inlineStr">
        <is>
          <t>'000000000000</t>
        </is>
      </c>
      <c r="G5812" s="0" t="inlineStr">
        <is>
          <t>WOMENS</t>
        </is>
      </c>
      <c r="H5812" s="0" t="inlineStr">
        <is>
          <t>WOMENS</t>
        </is>
      </c>
      <c r="I5812" s="0">
        <v>24.99</v>
      </c>
      <c r="J5812" s="0">
        <v>85</v>
      </c>
    </row>
    <row r="5813" spans="1:10" customHeight="0">
      <c r="A5813" s="0">
        <f>HYPERLINK("https://dl.dropboxusercontent.com/scl/fi/dw219oue4454as1nj7b5q/audrinat.jpg?rlkey=0nmehhpd19d5njjwdd803gbgu&amp;dl=0","Click to download Image")</f>
      </c>
      <c r="C5813" s="0" t="inlineStr">
        <is>
          <t>Audrina Washed Women's Cap</t>
        </is>
      </c>
      <c r="D5813" s="0" t="inlineStr">
        <is>
          <t>'98850</t>
        </is>
      </c>
      <c r="E5813" s="0" t="inlineStr">
        <is>
          <t>AUDRINA:98850</t>
        </is>
      </c>
      <c r="F5813" s="0" t="inlineStr">
        <is>
          <t>'070009885001</t>
        </is>
      </c>
      <c r="G5813" s="0" t="inlineStr">
        <is>
          <t>WOMENS</t>
        </is>
      </c>
      <c r="H5813" s="0" t="inlineStr">
        <is>
          <t>WOMENS</t>
        </is>
      </c>
      <c r="I5813" s="0">
        <v>23.99</v>
      </c>
      <c r="J5813" s="0">
        <v>186</v>
      </c>
    </row>
    <row r="5814" spans="1:10" customHeight="0">
      <c r="A5814" s="0">
        <f>HYPERLINK("https://dl.dropboxusercontent.com/scl/fi/7r4ase8dacfhf10r3btf4/oscar.jpg?rlkey=6hl7lh66555pa3af1x8t5nnl6&amp;dl=0","Click to download Image")</f>
      </c>
      <c r="B5814" s="0">
        <f>HYPERLINK("https://dl.dropboxusercontent.com/scl/fi/wlt6qtk97fsw0k4jvnjif/size-chartsmens-standard-relaxed-fit-tshirt.jpg?rlkey=e8mwcz6qe6wxy7pmwfxuqvkeg&amp;dl=0","Click to download SizeChart")</f>
      </c>
      <c r="C5814" s="0" t="inlineStr">
        <is>
          <t>Oscar Men's Pique Polo</t>
        </is>
      </c>
      <c r="D5814" s="0" t="inlineStr">
        <is>
          <t>'101348</t>
        </is>
      </c>
      <c r="E5814" s="0" t="inlineStr">
        <is>
          <t>OSCAR:101348A- S</t>
        </is>
      </c>
      <c r="F5814" s="0" t="inlineStr">
        <is>
          <t>'000000000000</t>
        </is>
      </c>
      <c r="G5814" s="0" t="inlineStr">
        <is>
          <t>MENS</t>
        </is>
      </c>
      <c r="H5814" s="0" t="inlineStr">
        <is>
          <t>S</t>
        </is>
      </c>
      <c r="I5814" s="0">
        <v>49.99</v>
      </c>
      <c r="J5814" s="0">
        <v>66</v>
      </c>
    </row>
    <row r="5815" spans="1:10" customHeight="0">
      <c r="A5815" s="0">
        <f>HYPERLINK("https://dl.dropboxusercontent.com/scl/fi/7r4ase8dacfhf10r3btf4/oscar.jpg?rlkey=6hl7lh66555pa3af1x8t5nnl6&amp;dl=0","Click to download Image")</f>
      </c>
      <c r="B5815" s="0">
        <f>HYPERLINK("https://dl.dropboxusercontent.com/scl/fi/wlt6qtk97fsw0k4jvnjif/size-chartsmens-standard-relaxed-fit-tshirt.jpg?rlkey=e8mwcz6qe6wxy7pmwfxuqvkeg&amp;dl=0","Click to download SizeChart")</f>
      </c>
      <c r="C5815" s="0" t="inlineStr">
        <is>
          <t>Oscar Men's Pique Polo</t>
        </is>
      </c>
      <c r="D5815" s="0" t="inlineStr">
        <is>
          <t>'101348</t>
        </is>
      </c>
      <c r="E5815" s="0" t="inlineStr">
        <is>
          <t>OSCAR:101348B-M</t>
        </is>
      </c>
      <c r="F5815" s="0" t="inlineStr">
        <is>
          <t>'000000000000</t>
        </is>
      </c>
      <c r="G5815" s="0" t="inlineStr">
        <is>
          <t>MENS</t>
        </is>
      </c>
      <c r="H5815" s="0" t="inlineStr">
        <is>
          <t>M</t>
        </is>
      </c>
      <c r="I5815" s="0">
        <v>49.99</v>
      </c>
      <c r="J5815" s="0">
        <v>84</v>
      </c>
    </row>
    <row r="5816" spans="1:10" customHeight="0">
      <c r="A5816" s="0">
        <f>HYPERLINK("https://dl.dropboxusercontent.com/scl/fi/7r4ase8dacfhf10r3btf4/oscar.jpg?rlkey=6hl7lh66555pa3af1x8t5nnl6&amp;dl=0","Click to download Image")</f>
      </c>
      <c r="B5816" s="0">
        <f>HYPERLINK("https://dl.dropboxusercontent.com/scl/fi/wlt6qtk97fsw0k4jvnjif/size-chartsmens-standard-relaxed-fit-tshirt.jpg?rlkey=e8mwcz6qe6wxy7pmwfxuqvkeg&amp;dl=0","Click to download SizeChart")</f>
      </c>
      <c r="C5816" s="0" t="inlineStr">
        <is>
          <t>Oscar Men's Pique Polo</t>
        </is>
      </c>
      <c r="D5816" s="0" t="inlineStr">
        <is>
          <t>'101348</t>
        </is>
      </c>
      <c r="E5816" s="0" t="inlineStr">
        <is>
          <t>OSCAR:101348C-L</t>
        </is>
      </c>
      <c r="F5816" s="0" t="inlineStr">
        <is>
          <t>'000000000000</t>
        </is>
      </c>
      <c r="G5816" s="0" t="inlineStr">
        <is>
          <t>MENS</t>
        </is>
      </c>
      <c r="H5816" s="0" t="inlineStr">
        <is>
          <t>L</t>
        </is>
      </c>
      <c r="I5816" s="0">
        <v>49.99</v>
      </c>
      <c r="J5816" s="0">
        <v>84</v>
      </c>
    </row>
    <row r="5817" spans="1:10" customHeight="0">
      <c r="A5817" s="0">
        <f>HYPERLINK("https://dl.dropboxusercontent.com/scl/fi/7r4ase8dacfhf10r3btf4/oscar.jpg?rlkey=6hl7lh66555pa3af1x8t5nnl6&amp;dl=0","Click to download Image")</f>
      </c>
      <c r="B5817" s="0">
        <f>HYPERLINK("https://dl.dropboxusercontent.com/scl/fi/wlt6qtk97fsw0k4jvnjif/size-chartsmens-standard-relaxed-fit-tshirt.jpg?rlkey=e8mwcz6qe6wxy7pmwfxuqvkeg&amp;dl=0","Click to download SizeChart")</f>
      </c>
      <c r="C5817" s="0" t="inlineStr">
        <is>
          <t>Oscar Men's Pique Polo</t>
        </is>
      </c>
      <c r="D5817" s="0" t="inlineStr">
        <is>
          <t>'101348</t>
        </is>
      </c>
      <c r="E5817" s="0" t="inlineStr">
        <is>
          <t>OSCAR:101348D-XL</t>
        </is>
      </c>
      <c r="F5817" s="0" t="inlineStr">
        <is>
          <t>'000000000000</t>
        </is>
      </c>
      <c r="G5817" s="0" t="inlineStr">
        <is>
          <t>MENS</t>
        </is>
      </c>
      <c r="H5817" s="0" t="inlineStr">
        <is>
          <t>XL</t>
        </is>
      </c>
      <c r="I5817" s="0">
        <v>49.99</v>
      </c>
      <c r="J5817" s="0">
        <v>83</v>
      </c>
    </row>
    <row r="5818" spans="1:10" customHeight="0">
      <c r="A5818" s="0">
        <f>HYPERLINK("https://dl.dropboxusercontent.com/scl/fi/7r4ase8dacfhf10r3btf4/oscar.jpg?rlkey=6hl7lh66555pa3af1x8t5nnl6&amp;dl=0","Click to download Image")</f>
      </c>
      <c r="B5818" s="0">
        <f>HYPERLINK("https://dl.dropboxusercontent.com/scl/fi/wlt6qtk97fsw0k4jvnjif/size-chartsmens-standard-relaxed-fit-tshirt.jpg?rlkey=e8mwcz6qe6wxy7pmwfxuqvkeg&amp;dl=0","Click to download SizeChart")</f>
      </c>
      <c r="C5818" s="0" t="inlineStr">
        <is>
          <t>Oscar Men's Pique Polo</t>
        </is>
      </c>
      <c r="D5818" s="0" t="inlineStr">
        <is>
          <t>'101348</t>
        </is>
      </c>
      <c r="E5818" s="0" t="inlineStr">
        <is>
          <t>OSCAR:101348E-2XL</t>
        </is>
      </c>
      <c r="F5818" s="0" t="inlineStr">
        <is>
          <t>'000000000000</t>
        </is>
      </c>
      <c r="G5818" s="0" t="inlineStr">
        <is>
          <t>MENS</t>
        </is>
      </c>
      <c r="H5818" s="0" t="inlineStr">
        <is>
          <t>2XL</t>
        </is>
      </c>
      <c r="I5818" s="0">
        <v>51.99</v>
      </c>
      <c r="J5818" s="0">
        <v>70</v>
      </c>
    </row>
    <row r="5819" spans="1:10" customHeight="0">
      <c r="A5819" s="0">
        <f>HYPERLINK("https://dl.dropboxusercontent.com/scl/fi/7r4ase8dacfhf10r3btf4/oscar.jpg?rlkey=6hl7lh66555pa3af1x8t5nnl6&amp;dl=0","Click to download Image")</f>
      </c>
      <c r="B5819" s="0">
        <f>HYPERLINK("https://dl.dropboxusercontent.com/scl/fi/wlt6qtk97fsw0k4jvnjif/size-chartsmens-standard-relaxed-fit-tshirt.jpg?rlkey=e8mwcz6qe6wxy7pmwfxuqvkeg&amp;dl=0","Click to download SizeChart")</f>
      </c>
      <c r="C5819" s="0" t="inlineStr">
        <is>
          <t>Oscar Men's Pique Polo</t>
        </is>
      </c>
      <c r="D5819" s="0" t="inlineStr">
        <is>
          <t>'101348</t>
        </is>
      </c>
      <c r="E5819" s="0" t="inlineStr">
        <is>
          <t>OSCAR:101348F-3XL</t>
        </is>
      </c>
      <c r="F5819" s="0" t="inlineStr">
        <is>
          <t>'000000000000</t>
        </is>
      </c>
      <c r="G5819" s="0" t="inlineStr">
        <is>
          <t>MENS</t>
        </is>
      </c>
      <c r="H5819" s="0" t="inlineStr">
        <is>
          <t>3XL</t>
        </is>
      </c>
      <c r="I5819" s="0">
        <v>51.99</v>
      </c>
      <c r="J5819" s="0">
        <v>33</v>
      </c>
    </row>
    <row r="5820" spans="1:10" customHeight="0">
      <c r="A5820" s="0">
        <f>HYPERLINK("https://dl.dropboxusercontent.com/scl/fi/gyln9dwupdfh5g6o0ytsr/jenson.jpg?rlkey=6946ktf95szsruu5au9nvba9q&amp;dl=0","Click to download Image")</f>
      </c>
      <c r="C5820" s="0" t="inlineStr">
        <is>
          <t>Jenson Cotton T-Shirt</t>
        </is>
      </c>
      <c r="D5820" s="0" t="inlineStr">
        <is>
          <t>'100382</t>
        </is>
      </c>
      <c r="E5820" s="0" t="inlineStr">
        <is>
          <t>JENSON:100382E-2XL</t>
        </is>
      </c>
      <c r="F5820" s="0" t="inlineStr">
        <is>
          <t>'090010038205</t>
        </is>
      </c>
      <c r="G5820" s="0" t="inlineStr">
        <is>
          <t>MENS</t>
        </is>
      </c>
      <c r="H5820" s="0" t="inlineStr">
        <is>
          <t>2XL</t>
        </is>
      </c>
      <c r="I5820" s="0">
        <v>29.99</v>
      </c>
      <c r="J5820" s="0">
        <v>38</v>
      </c>
    </row>
    <row r="5821" spans="1:10" customHeight="0">
      <c r="A5821" s="0">
        <f>HYPERLINK("https://dl.dropboxusercontent.com/scl/fi/gyln9dwupdfh5g6o0ytsr/jenson.jpg?rlkey=6946ktf95szsruu5au9nvba9q&amp;dl=0","Click to download Image")</f>
      </c>
      <c r="C5821" s="0" t="inlineStr">
        <is>
          <t>Jenson Cotton T-Shirt</t>
        </is>
      </c>
      <c r="D5821" s="0" t="inlineStr">
        <is>
          <t>'100382</t>
        </is>
      </c>
      <c r="E5821" s="0" t="inlineStr">
        <is>
          <t>JENSON:100382F-3XL</t>
        </is>
      </c>
      <c r="F5821" s="0" t="inlineStr">
        <is>
          <t>'090010038206</t>
        </is>
      </c>
      <c r="G5821" s="0" t="inlineStr">
        <is>
          <t>MENS</t>
        </is>
      </c>
      <c r="H5821" s="0" t="inlineStr">
        <is>
          <t>3XL</t>
        </is>
      </c>
      <c r="I5821" s="0">
        <v>29.99</v>
      </c>
      <c r="J5821" s="0">
        <v>18</v>
      </c>
    </row>
    <row r="5822" spans="1:10" customHeight="0">
      <c r="A5822" s="0">
        <f>HYPERLINK("https://dl.dropboxusercontent.com/scl/fi/3w5v0jgabslsdgamdmbal/98808-af.jpg?rlkey=6jkpk6b1eobv1p196il185x9a&amp;dl=0","Click to download Image")</f>
      </c>
      <c r="C5822" s="0" t="inlineStr">
        <is>
          <t>Crissie Half Zip Women's Hoodie</t>
        </is>
      </c>
      <c r="D5822" s="0" t="inlineStr">
        <is>
          <t>'98808</t>
        </is>
      </c>
      <c r="E5822" s="0" t="inlineStr">
        <is>
          <t>CRISSIE:98808A-S</t>
        </is>
      </c>
      <c r="F5822" s="0" t="inlineStr">
        <is>
          <t>'000000000000</t>
        </is>
      </c>
      <c r="G5822" s="0" t="inlineStr">
        <is>
          <t>WOMENS</t>
        </is>
      </c>
      <c r="H5822" s="0" t="inlineStr">
        <is>
          <t>S</t>
        </is>
      </c>
      <c r="I5822" s="0">
        <v>49.99</v>
      </c>
      <c r="J5822" s="0">
        <v>58</v>
      </c>
    </row>
    <row r="5823" spans="1:10" customHeight="0">
      <c r="A5823" s="0">
        <f>HYPERLINK("https://dl.dropboxusercontent.com/scl/fi/3w5v0jgabslsdgamdmbal/98808-af.jpg?rlkey=6jkpk6b1eobv1p196il185x9a&amp;dl=0","Click to download Image")</f>
      </c>
      <c r="C5823" s="0" t="inlineStr">
        <is>
          <t>Crissie Half Zip Women's Hoodie</t>
        </is>
      </c>
      <c r="D5823" s="0" t="inlineStr">
        <is>
          <t>'98808</t>
        </is>
      </c>
      <c r="E5823" s="0" t="inlineStr">
        <is>
          <t>CRISSIE:98808B-M</t>
        </is>
      </c>
      <c r="F5823" s="0" t="inlineStr">
        <is>
          <t>'000000000000</t>
        </is>
      </c>
      <c r="G5823" s="0" t="inlineStr">
        <is>
          <t>WOMENS</t>
        </is>
      </c>
      <c r="H5823" s="0" t="inlineStr">
        <is>
          <t>M</t>
        </is>
      </c>
      <c r="I5823" s="0">
        <v>49.99</v>
      </c>
      <c r="J5823" s="0">
        <v>58</v>
      </c>
    </row>
    <row r="5824" spans="1:10" customHeight="0">
      <c r="A5824" s="0">
        <f>HYPERLINK("https://dl.dropboxusercontent.com/scl/fi/3w5v0jgabslsdgamdmbal/98808-af.jpg?rlkey=6jkpk6b1eobv1p196il185x9a&amp;dl=0","Click to download Image")</f>
      </c>
      <c r="C5824" s="0" t="inlineStr">
        <is>
          <t>Crissie Half Zip Women's Hoodie</t>
        </is>
      </c>
      <c r="D5824" s="0" t="inlineStr">
        <is>
          <t>'98808</t>
        </is>
      </c>
      <c r="E5824" s="0" t="inlineStr">
        <is>
          <t>CRISSIE:98808C-L</t>
        </is>
      </c>
      <c r="F5824" s="0" t="inlineStr">
        <is>
          <t>'000000000000</t>
        </is>
      </c>
      <c r="G5824" s="0" t="inlineStr">
        <is>
          <t>WOMENS</t>
        </is>
      </c>
      <c r="H5824" s="0" t="inlineStr">
        <is>
          <t>L</t>
        </is>
      </c>
      <c r="I5824" s="0">
        <v>49.99</v>
      </c>
      <c r="J5824" s="0">
        <v>56</v>
      </c>
    </row>
    <row r="5825" spans="1:10" customHeight="0">
      <c r="A5825" s="0">
        <f>HYPERLINK("https://dl.dropboxusercontent.com/scl/fi/3w5v0jgabslsdgamdmbal/98808-af.jpg?rlkey=6jkpk6b1eobv1p196il185x9a&amp;dl=0","Click to download Image")</f>
      </c>
      <c r="C5825" s="0" t="inlineStr">
        <is>
          <t>Crissie Half Zip Women's Hoodie</t>
        </is>
      </c>
      <c r="D5825" s="0" t="inlineStr">
        <is>
          <t>'98808</t>
        </is>
      </c>
      <c r="E5825" s="0" t="inlineStr">
        <is>
          <t>CRISSIE:98808D-XL</t>
        </is>
      </c>
      <c r="F5825" s="0" t="inlineStr">
        <is>
          <t>'000000000000</t>
        </is>
      </c>
      <c r="G5825" s="0" t="inlineStr">
        <is>
          <t>WOMENS</t>
        </is>
      </c>
      <c r="H5825" s="0" t="inlineStr">
        <is>
          <t>XL</t>
        </is>
      </c>
      <c r="I5825" s="0">
        <v>49.99</v>
      </c>
      <c r="J5825" s="0">
        <v>65</v>
      </c>
    </row>
    <row r="5826" spans="1:10" customHeight="0">
      <c r="A5826" s="0">
        <f>HYPERLINK("https://dl.dropboxusercontent.com/scl/fi/3w5v0jgabslsdgamdmbal/98808-af.jpg?rlkey=6jkpk6b1eobv1p196il185x9a&amp;dl=0","Click to download Image")</f>
      </c>
      <c r="C5826" s="0" t="inlineStr">
        <is>
          <t>Crissie Half Zip Women's Hoodie</t>
        </is>
      </c>
      <c r="D5826" s="0" t="inlineStr">
        <is>
          <t>'98808</t>
        </is>
      </c>
      <c r="E5826" s="0" t="inlineStr">
        <is>
          <t>CRISSIE:98808E-2XL</t>
        </is>
      </c>
      <c r="F5826" s="0" t="inlineStr">
        <is>
          <t>'000000000000</t>
        </is>
      </c>
      <c r="G5826" s="0" t="inlineStr">
        <is>
          <t>WOMENS</t>
        </is>
      </c>
      <c r="H5826" s="0" t="inlineStr">
        <is>
          <t>2XL</t>
        </is>
      </c>
      <c r="I5826" s="0">
        <v>51.99</v>
      </c>
      <c r="J5826" s="0">
        <v>49</v>
      </c>
    </row>
    <row r="5827" spans="1:10" customHeight="0">
      <c r="A5827" s="0">
        <f>HYPERLINK("https://dl.dropboxusercontent.com/scl/fi/3w5v0jgabslsdgamdmbal/98808-af.jpg?rlkey=6jkpk6b1eobv1p196il185x9a&amp;dl=0","Click to download Image")</f>
      </c>
      <c r="C5827" s="0" t="inlineStr">
        <is>
          <t>Crissie Half Zip Women's Hoodie</t>
        </is>
      </c>
      <c r="D5827" s="0" t="inlineStr">
        <is>
          <t>'98808</t>
        </is>
      </c>
      <c r="E5827" s="0" t="inlineStr">
        <is>
          <t>CRISSIE:98808F-3XL</t>
        </is>
      </c>
      <c r="F5827" s="0" t="inlineStr">
        <is>
          <t>'000000000000</t>
        </is>
      </c>
      <c r="G5827" s="0" t="inlineStr">
        <is>
          <t>WOMENS</t>
        </is>
      </c>
      <c r="H5827" s="0" t="inlineStr">
        <is>
          <t>3XL</t>
        </is>
      </c>
      <c r="I5827" s="0">
        <v>51.99</v>
      </c>
      <c r="J5827" s="0">
        <v>1</v>
      </c>
    </row>
    <row r="5828" spans="1:10" customHeight="0">
      <c r="A5828" s="0">
        <f>HYPERLINK("https://dl.dropboxusercontent.com/scl/fi/0fl13i2c8rn7mmttb8jmg/dsc240123534.jpg?rlkey=dvt9io653z41ggu60jnifys6z&amp;dl=0","Click to download Image")</f>
      </c>
      <c r="C5828" s="0" t="inlineStr">
        <is>
          <t>Oliver Heavy Duty Cooler</t>
        </is>
      </c>
      <c r="D5828" s="0" t="inlineStr">
        <is>
          <t>'98001</t>
        </is>
      </c>
      <c r="E5828" s="0" t="inlineStr">
        <is>
          <t>OLIVER:98001</t>
        </is>
      </c>
      <c r="F5828" s="0" t="inlineStr">
        <is>
          <t>'090009800101</t>
        </is>
      </c>
      <c r="I5828" s="0">
        <v>59.99</v>
      </c>
      <c r="J5828" s="0">
        <v>22</v>
      </c>
    </row>
    <row r="5829" spans="1:10" customHeight="0">
      <c r="A5829" s="0">
        <f>HYPERLINK("https://dl.dropboxusercontent.com/scl/fi/4ha9ii8x5z08brp7wh3q5/olivia.jpg?rlkey=nqynwnjhb1onszpxcny7w2ffh&amp;dl=0","Click to download Image")</f>
      </c>
      <c r="B5829" s="0">
        <f>HYPERLINK("https://dl.dropboxusercontent.com/scl/fi/473gzfj69ywy3r868blyx/size-chartladies-k.jpg?rlkey=aldy6mhpusbbkwxbjr0272b56&amp;dl=0","Click to download SizeChart")</f>
      </c>
      <c r="C5829" s="0" t="inlineStr">
        <is>
          <t>Olivia Women's Athletic Shorts</t>
        </is>
      </c>
      <c r="D5829" s="0" t="inlineStr">
        <is>
          <t>'96918</t>
        </is>
      </c>
      <c r="E5829" s="0" t="inlineStr">
        <is>
          <t>OLIVIA:96918A-S</t>
        </is>
      </c>
      <c r="F5829" s="0" t="inlineStr">
        <is>
          <t>'000000000000</t>
        </is>
      </c>
      <c r="G5829" s="0" t="inlineStr">
        <is>
          <t>WOMENS</t>
        </is>
      </c>
      <c r="H5829" s="0" t="inlineStr">
        <is>
          <t>S</t>
        </is>
      </c>
      <c r="I5829" s="0">
        <v>32.99</v>
      </c>
      <c r="J5829" s="0">
        <v>29</v>
      </c>
    </row>
    <row r="5830" spans="1:10" customHeight="0">
      <c r="A5830" s="0">
        <f>HYPERLINK("https://dl.dropboxusercontent.com/scl/fi/4ha9ii8x5z08brp7wh3q5/olivia.jpg?rlkey=nqynwnjhb1onszpxcny7w2ffh&amp;dl=0","Click to download Image")</f>
      </c>
      <c r="B5830" s="0">
        <f>HYPERLINK("https://dl.dropboxusercontent.com/scl/fi/473gzfj69ywy3r868blyx/size-chartladies-k.jpg?rlkey=aldy6mhpusbbkwxbjr0272b56&amp;dl=0","Click to download SizeChart")</f>
      </c>
      <c r="C5830" s="0" t="inlineStr">
        <is>
          <t>Olivia Women's Athletic Shorts</t>
        </is>
      </c>
      <c r="D5830" s="0" t="inlineStr">
        <is>
          <t>'96918</t>
        </is>
      </c>
      <c r="E5830" s="0" t="inlineStr">
        <is>
          <t>OLIVIA:96918B-M</t>
        </is>
      </c>
      <c r="F5830" s="0" t="inlineStr">
        <is>
          <t>'000000000000</t>
        </is>
      </c>
      <c r="G5830" s="0" t="inlineStr">
        <is>
          <t>WOMENS</t>
        </is>
      </c>
      <c r="H5830" s="0" t="inlineStr">
        <is>
          <t>M</t>
        </is>
      </c>
      <c r="I5830" s="0">
        <v>32.99</v>
      </c>
      <c r="J5830" s="0">
        <v>44</v>
      </c>
    </row>
    <row r="5831" spans="1:10" customHeight="0">
      <c r="A5831" s="0">
        <f>HYPERLINK("https://dl.dropboxusercontent.com/scl/fi/4ha9ii8x5z08brp7wh3q5/olivia.jpg?rlkey=nqynwnjhb1onszpxcny7w2ffh&amp;dl=0","Click to download Image")</f>
      </c>
      <c r="B5831" s="0">
        <f>HYPERLINK("https://dl.dropboxusercontent.com/scl/fi/473gzfj69ywy3r868blyx/size-chartladies-k.jpg?rlkey=aldy6mhpusbbkwxbjr0272b56&amp;dl=0","Click to download SizeChart")</f>
      </c>
      <c r="C5831" s="0" t="inlineStr">
        <is>
          <t>Olivia Women's Athletic Shorts</t>
        </is>
      </c>
      <c r="D5831" s="0" t="inlineStr">
        <is>
          <t>'96918</t>
        </is>
      </c>
      <c r="E5831" s="0" t="inlineStr">
        <is>
          <t>OLIVIA:96918C-L</t>
        </is>
      </c>
      <c r="F5831" s="0" t="inlineStr">
        <is>
          <t>'000000000000</t>
        </is>
      </c>
      <c r="G5831" s="0" t="inlineStr">
        <is>
          <t>WOMENS</t>
        </is>
      </c>
      <c r="H5831" s="0" t="inlineStr">
        <is>
          <t>L</t>
        </is>
      </c>
      <c r="I5831" s="0">
        <v>32.99</v>
      </c>
      <c r="J5831" s="0">
        <v>66</v>
      </c>
    </row>
    <row r="5832" spans="1:10" customHeight="0">
      <c r="A5832" s="0">
        <f>HYPERLINK("https://dl.dropboxusercontent.com/scl/fi/4ha9ii8x5z08brp7wh3q5/olivia.jpg?rlkey=nqynwnjhb1onszpxcny7w2ffh&amp;dl=0","Click to download Image")</f>
      </c>
      <c r="B5832" s="0">
        <f>HYPERLINK("https://dl.dropboxusercontent.com/scl/fi/473gzfj69ywy3r868blyx/size-chartladies-k.jpg?rlkey=aldy6mhpusbbkwxbjr0272b56&amp;dl=0","Click to download SizeChart")</f>
      </c>
      <c r="C5832" s="0" t="inlineStr">
        <is>
          <t>Olivia Women's Athletic Shorts</t>
        </is>
      </c>
      <c r="D5832" s="0" t="inlineStr">
        <is>
          <t>'96918</t>
        </is>
      </c>
      <c r="E5832" s="0" t="inlineStr">
        <is>
          <t>OLIVIA:96918D-XL</t>
        </is>
      </c>
      <c r="F5832" s="0" t="inlineStr">
        <is>
          <t>'000000000000</t>
        </is>
      </c>
      <c r="G5832" s="0" t="inlineStr">
        <is>
          <t>WOMENS</t>
        </is>
      </c>
      <c r="H5832" s="0" t="inlineStr">
        <is>
          <t>XL</t>
        </is>
      </c>
      <c r="I5832" s="0">
        <v>32.99</v>
      </c>
      <c r="J5832" s="0">
        <v>59</v>
      </c>
    </row>
    <row r="5833" spans="1:10" customHeight="0">
      <c r="A5833" s="0">
        <f>HYPERLINK("https://dl.dropboxusercontent.com/scl/fi/4ha9ii8x5z08brp7wh3q5/olivia.jpg?rlkey=nqynwnjhb1onszpxcny7w2ffh&amp;dl=0","Click to download Image")</f>
      </c>
      <c r="B5833" s="0">
        <f>HYPERLINK("https://dl.dropboxusercontent.com/scl/fi/473gzfj69ywy3r868blyx/size-chartladies-k.jpg?rlkey=aldy6mhpusbbkwxbjr0272b56&amp;dl=0","Click to download SizeChart")</f>
      </c>
      <c r="C5833" s="0" t="inlineStr">
        <is>
          <t>Olivia Women's Athletic Shorts</t>
        </is>
      </c>
      <c r="D5833" s="0" t="inlineStr">
        <is>
          <t>'96918</t>
        </is>
      </c>
      <c r="E5833" s="0" t="inlineStr">
        <is>
          <t>OLIVIA:96918E-2XL</t>
        </is>
      </c>
      <c r="F5833" s="0" t="inlineStr">
        <is>
          <t>'000000000000</t>
        </is>
      </c>
      <c r="G5833" s="0" t="inlineStr">
        <is>
          <t>WOMENS</t>
        </is>
      </c>
      <c r="H5833" s="0" t="inlineStr">
        <is>
          <t>2XL</t>
        </is>
      </c>
      <c r="I5833" s="0">
        <v>34.99</v>
      </c>
      <c r="J5833" s="0">
        <v>39</v>
      </c>
    </row>
    <row r="5834" spans="1:10" customHeight="0">
      <c r="A5834" s="0">
        <f>HYPERLINK("https://dl.dropboxusercontent.com/scl/fi/cqbezgyfjlmsqp1gzre9r/98807-af.jpg?rlkey=z65vpmfhr8sv9xnuk9cg1h9tz&amp;dl=0","Click to download Image")</f>
      </c>
      <c r="C5834" s="0" t="inlineStr">
        <is>
          <t>Christopher Half Zip Men's Hoodie</t>
        </is>
      </c>
      <c r="D5834" s="0" t="inlineStr">
        <is>
          <t>'98807</t>
        </is>
      </c>
      <c r="E5834" s="0" t="inlineStr">
        <is>
          <t>CHRISTOPHER:98807A-S</t>
        </is>
      </c>
      <c r="F5834" s="0" t="inlineStr">
        <is>
          <t>'000000000000</t>
        </is>
      </c>
      <c r="G5834" s="0" t="inlineStr">
        <is>
          <t>MENS</t>
        </is>
      </c>
      <c r="H5834" s="0" t="inlineStr">
        <is>
          <t>S</t>
        </is>
      </c>
      <c r="I5834" s="0">
        <v>44.99</v>
      </c>
      <c r="J5834" s="0">
        <v>64</v>
      </c>
    </row>
    <row r="5835" spans="1:10" customHeight="0">
      <c r="A5835" s="0">
        <f>HYPERLINK("https://dl.dropboxusercontent.com/scl/fi/cqbezgyfjlmsqp1gzre9r/98807-af.jpg?rlkey=z65vpmfhr8sv9xnuk9cg1h9tz&amp;dl=0","Click to download Image")</f>
      </c>
      <c r="C5835" s="0" t="inlineStr">
        <is>
          <t>Christopher Half Zip Men's Hoodie</t>
        </is>
      </c>
      <c r="D5835" s="0" t="inlineStr">
        <is>
          <t>'98807</t>
        </is>
      </c>
      <c r="E5835" s="0" t="inlineStr">
        <is>
          <t>CHRISTOPHER:98807B-M</t>
        </is>
      </c>
      <c r="F5835" s="0" t="inlineStr">
        <is>
          <t>'000000000000</t>
        </is>
      </c>
      <c r="G5835" s="0" t="inlineStr">
        <is>
          <t>MENS</t>
        </is>
      </c>
      <c r="H5835" s="0" t="inlineStr">
        <is>
          <t>M</t>
        </is>
      </c>
      <c r="I5835" s="0">
        <v>44.99</v>
      </c>
      <c r="J5835" s="0">
        <v>68</v>
      </c>
    </row>
    <row r="5836" spans="1:10" customHeight="0">
      <c r="A5836" s="0">
        <f>HYPERLINK("https://dl.dropboxusercontent.com/scl/fi/cqbezgyfjlmsqp1gzre9r/98807-af.jpg?rlkey=z65vpmfhr8sv9xnuk9cg1h9tz&amp;dl=0","Click to download Image")</f>
      </c>
      <c r="C5836" s="0" t="inlineStr">
        <is>
          <t>Christopher Half Zip Men's Hoodie</t>
        </is>
      </c>
      <c r="D5836" s="0" t="inlineStr">
        <is>
          <t>'98807</t>
        </is>
      </c>
      <c r="E5836" s="0" t="inlineStr">
        <is>
          <t>CHRISTOPHER:98807C-L</t>
        </is>
      </c>
      <c r="F5836" s="0" t="inlineStr">
        <is>
          <t>'000000000000</t>
        </is>
      </c>
      <c r="G5836" s="0" t="inlineStr">
        <is>
          <t>MENS</t>
        </is>
      </c>
      <c r="H5836" s="0" t="inlineStr">
        <is>
          <t>L</t>
        </is>
      </c>
      <c r="I5836" s="0">
        <v>44.99</v>
      </c>
      <c r="J5836" s="0">
        <v>74</v>
      </c>
    </row>
    <row r="5837" spans="1:10" customHeight="0">
      <c r="A5837" s="0">
        <f>HYPERLINK("https://dl.dropboxusercontent.com/scl/fi/cqbezgyfjlmsqp1gzre9r/98807-af.jpg?rlkey=z65vpmfhr8sv9xnuk9cg1h9tz&amp;dl=0","Click to download Image")</f>
      </c>
      <c r="C5837" s="0" t="inlineStr">
        <is>
          <t>Christopher Half Zip Men's Hoodie</t>
        </is>
      </c>
      <c r="D5837" s="0" t="inlineStr">
        <is>
          <t>'98807</t>
        </is>
      </c>
      <c r="E5837" s="0" t="inlineStr">
        <is>
          <t>CHRISTOPHER:98807D-XL</t>
        </is>
      </c>
      <c r="F5837" s="0" t="inlineStr">
        <is>
          <t>'000000000000</t>
        </is>
      </c>
      <c r="G5837" s="0" t="inlineStr">
        <is>
          <t>MENS</t>
        </is>
      </c>
      <c r="H5837" s="0" t="inlineStr">
        <is>
          <t>XL</t>
        </is>
      </c>
      <c r="I5837" s="0">
        <v>44.99</v>
      </c>
      <c r="J5837" s="0">
        <v>65</v>
      </c>
    </row>
    <row r="5838" spans="1:10" customHeight="0">
      <c r="A5838" s="0">
        <f>HYPERLINK("https://dl.dropboxusercontent.com/scl/fi/cqbezgyfjlmsqp1gzre9r/98807-af.jpg?rlkey=z65vpmfhr8sv9xnuk9cg1h9tz&amp;dl=0","Click to download Image")</f>
      </c>
      <c r="C5838" s="0" t="inlineStr">
        <is>
          <t>Christopher Half Zip Men's Hoodie</t>
        </is>
      </c>
      <c r="D5838" s="0" t="inlineStr">
        <is>
          <t>'98807</t>
        </is>
      </c>
      <c r="E5838" s="0" t="inlineStr">
        <is>
          <t>CHRISTOPHER:98807E-2XL</t>
        </is>
      </c>
      <c r="F5838" s="0" t="inlineStr">
        <is>
          <t>'000000000000</t>
        </is>
      </c>
      <c r="G5838" s="0" t="inlineStr">
        <is>
          <t>MENS</t>
        </is>
      </c>
      <c r="H5838" s="0" t="inlineStr">
        <is>
          <t>2XL</t>
        </is>
      </c>
      <c r="I5838" s="0">
        <v>46.99</v>
      </c>
      <c r="J5838" s="0">
        <v>58</v>
      </c>
    </row>
    <row r="5839" spans="1:10" customHeight="0">
      <c r="A5839" s="0">
        <f>HYPERLINK("https://dl.dropboxusercontent.com/scl/fi/cqbezgyfjlmsqp1gzre9r/98807-af.jpg?rlkey=z65vpmfhr8sv9xnuk9cg1h9tz&amp;dl=0","Click to download Image")</f>
      </c>
      <c r="C5839" s="0" t="inlineStr">
        <is>
          <t>Christopher Half Zip Men's Hoodie</t>
        </is>
      </c>
      <c r="D5839" s="0" t="inlineStr">
        <is>
          <t>'98807</t>
        </is>
      </c>
      <c r="E5839" s="0" t="inlineStr">
        <is>
          <t>CHRISTOPHER:98807F-3XL</t>
        </is>
      </c>
      <c r="F5839" s="0" t="inlineStr">
        <is>
          <t>'000000000000</t>
        </is>
      </c>
      <c r="G5839" s="0" t="inlineStr">
        <is>
          <t>MENS</t>
        </is>
      </c>
      <c r="H5839" s="0" t="inlineStr">
        <is>
          <t>3XL</t>
        </is>
      </c>
      <c r="I5839" s="0">
        <v>46.99</v>
      </c>
      <c r="J5839" s="0">
        <v>19</v>
      </c>
    </row>
    <row r="5840" spans="1:10" customHeight="0">
      <c r="A5840" s="0">
        <f>HYPERLINK("https://dl.dropboxusercontent.com/scl/fi/4r9x19y4itkk516mzw8tt/92251-f.jpg?rlkey=toun4pzd0gmz8yspmfh1vvv8e&amp;dl=0","Click to download Image")</f>
      </c>
      <c r="C5840" s="0" t="inlineStr">
        <is>
          <t>Deluxe Backpack</t>
        </is>
      </c>
      <c r="D5840" s="0" t="inlineStr">
        <is>
          <t>'92251</t>
        </is>
      </c>
      <c r="E5840" s="0" t="inlineStr">
        <is>
          <t>DELUXE:92251-DLX</t>
        </is>
      </c>
      <c r="F5840" s="0" t="inlineStr">
        <is>
          <t>'000000000000</t>
        </is>
      </c>
      <c r="I5840" s="0">
        <v>49.99</v>
      </c>
      <c r="J5840" s="0">
        <v>152</v>
      </c>
    </row>
    <row r="5841" spans="1:10" customHeight="0">
      <c r="A5841" s="0">
        <f>HYPERLINK("https://dl.dropboxusercontent.com/scl/fi/q7v5v29xb700j5hxxszrn/91951-f.jpg?rlkey=o1e5i4xwtr8j6d7hvzgh4rjzf&amp;dl=0","Click to download Image")</f>
      </c>
      <c r="C5841" s="0" t="inlineStr">
        <is>
          <t>Deluxe Backpack</t>
        </is>
      </c>
      <c r="D5841" s="0" t="inlineStr">
        <is>
          <t>'91951</t>
        </is>
      </c>
      <c r="E5841" s="0" t="inlineStr">
        <is>
          <t>DELUXE:91951-DLX</t>
        </is>
      </c>
      <c r="F5841" s="0" t="inlineStr">
        <is>
          <t>'000000000000</t>
        </is>
      </c>
      <c r="I5841" s="0">
        <v>49.99</v>
      </c>
      <c r="J5841" s="0">
        <v>298</v>
      </c>
    </row>
    <row r="5842" spans="1:10" customHeight="0">
      <c r="A5842" s="0">
        <f>HYPERLINK("https://dl.dropboxusercontent.com/scl/fi/u6rk7dhlotk75qy8rv3bw/madelyn.jpg?rlkey=mm1s9ha8lya9vy79g9egm7u2p&amp;dl=0","Click to download Image")</f>
      </c>
      <c r="B5842" s="0">
        <f>HYPERLINK("https://dl.dropboxusercontent.com/scl/fi/y4jmdfw0ei975g913argn/size-chart-ladies-a.jpg?rlkey=4gvm0yz50prjm09mdattssmpq&amp;dl=0","Click to download SizeChart")</f>
      </c>
      <c r="C5842" s="0" t="inlineStr">
        <is>
          <t>Madelyn Burnout Long Sleeve</t>
        </is>
      </c>
      <c r="D5842" s="0" t="inlineStr">
        <is>
          <t>'97255</t>
        </is>
      </c>
      <c r="E5842" s="0" t="inlineStr">
        <is>
          <t>MADELYN:97255A-S</t>
        </is>
      </c>
      <c r="F5842" s="0" t="inlineStr">
        <is>
          <t>'080009725501</t>
        </is>
      </c>
      <c r="G5842" s="0" t="inlineStr">
        <is>
          <t>WOMENS</t>
        </is>
      </c>
      <c r="H5842" s="0" t="inlineStr">
        <is>
          <t>S</t>
        </is>
      </c>
      <c r="I5842" s="0">
        <v>29.99</v>
      </c>
      <c r="J5842" s="0">
        <v>22</v>
      </c>
    </row>
    <row r="5843" spans="1:10" customHeight="0">
      <c r="A5843" s="0">
        <f>HYPERLINK("https://dl.dropboxusercontent.com/scl/fi/u6rk7dhlotk75qy8rv3bw/madelyn.jpg?rlkey=mm1s9ha8lya9vy79g9egm7u2p&amp;dl=0","Click to download Image")</f>
      </c>
      <c r="B5843" s="0">
        <f>HYPERLINK("https://dl.dropboxusercontent.com/scl/fi/y4jmdfw0ei975g913argn/size-chart-ladies-a.jpg?rlkey=4gvm0yz50prjm09mdattssmpq&amp;dl=0","Click to download SizeChart")</f>
      </c>
      <c r="C5843" s="0" t="inlineStr">
        <is>
          <t>Madelyn Burnout Long Sleeve</t>
        </is>
      </c>
      <c r="D5843" s="0" t="inlineStr">
        <is>
          <t>'97255</t>
        </is>
      </c>
      <c r="E5843" s="0" t="inlineStr">
        <is>
          <t>MADELYN:97255B-M</t>
        </is>
      </c>
      <c r="F5843" s="0" t="inlineStr">
        <is>
          <t>'080009725502</t>
        </is>
      </c>
      <c r="G5843" s="0" t="inlineStr">
        <is>
          <t>WOMENS</t>
        </is>
      </c>
      <c r="H5843" s="0" t="inlineStr">
        <is>
          <t>M</t>
        </is>
      </c>
      <c r="I5843" s="0">
        <v>29.99</v>
      </c>
      <c r="J5843" s="0">
        <v>33</v>
      </c>
    </row>
    <row r="5844" spans="1:10" customHeight="0">
      <c r="A5844" s="0">
        <f>HYPERLINK("https://dl.dropboxusercontent.com/scl/fi/u6rk7dhlotk75qy8rv3bw/madelyn.jpg?rlkey=mm1s9ha8lya9vy79g9egm7u2p&amp;dl=0","Click to download Image")</f>
      </c>
      <c r="B5844" s="0">
        <f>HYPERLINK("https://dl.dropboxusercontent.com/scl/fi/y4jmdfw0ei975g913argn/size-chart-ladies-a.jpg?rlkey=4gvm0yz50prjm09mdattssmpq&amp;dl=0","Click to download SizeChart")</f>
      </c>
      <c r="C5844" s="0" t="inlineStr">
        <is>
          <t>Madelyn Burnout Long Sleeve</t>
        </is>
      </c>
      <c r="D5844" s="0" t="inlineStr">
        <is>
          <t>'97255</t>
        </is>
      </c>
      <c r="E5844" s="0" t="inlineStr">
        <is>
          <t>MADELYN:97255C-L</t>
        </is>
      </c>
      <c r="F5844" s="0" t="inlineStr">
        <is>
          <t>'080009725503</t>
        </is>
      </c>
      <c r="G5844" s="0" t="inlineStr">
        <is>
          <t>WOMENS</t>
        </is>
      </c>
      <c r="H5844" s="0" t="inlineStr">
        <is>
          <t>L</t>
        </is>
      </c>
      <c r="I5844" s="0">
        <v>29.99</v>
      </c>
      <c r="J5844" s="0">
        <v>38</v>
      </c>
    </row>
    <row r="5845" spans="1:10" customHeight="0">
      <c r="A5845" s="0">
        <f>HYPERLINK("https://dl.dropboxusercontent.com/scl/fi/u6rk7dhlotk75qy8rv3bw/madelyn.jpg?rlkey=mm1s9ha8lya9vy79g9egm7u2p&amp;dl=0","Click to download Image")</f>
      </c>
      <c r="B5845" s="0">
        <f>HYPERLINK("https://dl.dropboxusercontent.com/scl/fi/y4jmdfw0ei975g913argn/size-chart-ladies-a.jpg?rlkey=4gvm0yz50prjm09mdattssmpq&amp;dl=0","Click to download SizeChart")</f>
      </c>
      <c r="C5845" s="0" t="inlineStr">
        <is>
          <t>Madelyn Burnout Long Sleeve</t>
        </is>
      </c>
      <c r="D5845" s="0" t="inlineStr">
        <is>
          <t>'97255</t>
        </is>
      </c>
      <c r="E5845" s="0" t="inlineStr">
        <is>
          <t>MADELYN:97255D-XL</t>
        </is>
      </c>
      <c r="F5845" s="0" t="inlineStr">
        <is>
          <t>'080009725504</t>
        </is>
      </c>
      <c r="G5845" s="0" t="inlineStr">
        <is>
          <t>WOMENS</t>
        </is>
      </c>
      <c r="H5845" s="0" t="inlineStr">
        <is>
          <t>XL</t>
        </is>
      </c>
      <c r="I5845" s="0">
        <v>29.99</v>
      </c>
      <c r="J5845" s="0">
        <v>37</v>
      </c>
    </row>
    <row r="5846" spans="1:10" customHeight="0">
      <c r="A5846" s="0">
        <f>HYPERLINK("https://dl.dropboxusercontent.com/scl/fi/u6rk7dhlotk75qy8rv3bw/madelyn.jpg?rlkey=mm1s9ha8lya9vy79g9egm7u2p&amp;dl=0","Click to download Image")</f>
      </c>
      <c r="B5846" s="0">
        <f>HYPERLINK("https://dl.dropboxusercontent.com/scl/fi/y4jmdfw0ei975g913argn/size-chart-ladies-a.jpg?rlkey=4gvm0yz50prjm09mdattssmpq&amp;dl=0","Click to download SizeChart")</f>
      </c>
      <c r="C5846" s="0" t="inlineStr">
        <is>
          <t>Madelyn Burnout Long Sleeve</t>
        </is>
      </c>
      <c r="D5846" s="0" t="inlineStr">
        <is>
          <t>'97255</t>
        </is>
      </c>
      <c r="E5846" s="0" t="inlineStr">
        <is>
          <t>MADELYN:97255E-2XL</t>
        </is>
      </c>
      <c r="F5846" s="0" t="inlineStr">
        <is>
          <t>'080009725505</t>
        </is>
      </c>
      <c r="G5846" s="0" t="inlineStr">
        <is>
          <t>WOMENS</t>
        </is>
      </c>
      <c r="H5846" s="0" t="inlineStr">
        <is>
          <t>2XL</t>
        </is>
      </c>
      <c r="I5846" s="0">
        <v>31.99</v>
      </c>
      <c r="J5846" s="0">
        <v>32</v>
      </c>
    </row>
    <row r="5847" spans="1:10" customHeight="0">
      <c r="A5847" s="0">
        <f>HYPERLINK("https://dl.dropboxusercontent.com/scl/fi/u6rk7dhlotk75qy8rv3bw/madelyn.jpg?rlkey=mm1s9ha8lya9vy79g9egm7u2p&amp;dl=0","Click to download Image")</f>
      </c>
      <c r="B5847" s="0">
        <f>HYPERLINK("https://dl.dropboxusercontent.com/scl/fi/y4jmdfw0ei975g913argn/size-chart-ladies-a.jpg?rlkey=4gvm0yz50prjm09mdattssmpq&amp;dl=0","Click to download SizeChart")</f>
      </c>
      <c r="C5847" s="0" t="inlineStr">
        <is>
          <t>Madelyn Burnout Long Sleeve</t>
        </is>
      </c>
      <c r="D5847" s="0" t="inlineStr">
        <is>
          <t>'97255</t>
        </is>
      </c>
      <c r="E5847" s="0" t="inlineStr">
        <is>
          <t>MADELYN:97255F-3XL</t>
        </is>
      </c>
      <c r="F5847" s="0" t="inlineStr">
        <is>
          <t>'080009725506</t>
        </is>
      </c>
      <c r="G5847" s="0" t="inlineStr">
        <is>
          <t>WOMENS</t>
        </is>
      </c>
      <c r="H5847" s="0" t="inlineStr">
        <is>
          <t>3XL</t>
        </is>
      </c>
      <c r="I5847" s="0">
        <v>31.99</v>
      </c>
      <c r="J5847" s="0">
        <v>25</v>
      </c>
    </row>
    <row r="5848" spans="1:10" customHeight="0">
      <c r="A5848" s="0">
        <f>HYPERLINK("https://dl.dropboxusercontent.com/scl/fi/4q3t20qqqchx467vmzp49/97131f33966.jpg?rlkey=6t3pdv5rz053k92zqmtaovsbu&amp;dl=0","Click to download Image")</f>
      </c>
      <c r="B5848" s="0">
        <f>HYPERLINK("https://dl.dropboxusercontent.com/scl/fi/y4jmdfw0ei975g913argn/size-chart-ladies-a.jpg?rlkey=4gvm0yz50prjm09mdattssmpq&amp;dl=0","Click to download SizeChart")</f>
      </c>
      <c r="C5848" s="0" t="inlineStr">
        <is>
          <t>Madelyn Burnout Long Sleeve</t>
        </is>
      </c>
      <c r="D5848" s="0" t="inlineStr">
        <is>
          <t>'97131</t>
        </is>
      </c>
      <c r="E5848" s="0" t="inlineStr">
        <is>
          <t>MADELYN:97131A-S</t>
        </is>
      </c>
      <c r="F5848" s="0" t="inlineStr">
        <is>
          <t>'080009713101</t>
        </is>
      </c>
      <c r="G5848" s="0" t="inlineStr">
        <is>
          <t>WOMENS</t>
        </is>
      </c>
      <c r="H5848" s="0" t="inlineStr">
        <is>
          <t>S</t>
        </is>
      </c>
      <c r="I5848" s="0">
        <v>29.99</v>
      </c>
      <c r="J5848" s="0">
        <v>4</v>
      </c>
    </row>
    <row r="5849" spans="1:10" customHeight="0">
      <c r="A5849" s="0">
        <f>HYPERLINK("https://dl.dropboxusercontent.com/scl/fi/4q3t20qqqchx467vmzp49/97131f33966.jpg?rlkey=6t3pdv5rz053k92zqmtaovsbu&amp;dl=0","Click to download Image")</f>
      </c>
      <c r="B5849" s="0">
        <f>HYPERLINK("https://dl.dropboxusercontent.com/scl/fi/y4jmdfw0ei975g913argn/size-chart-ladies-a.jpg?rlkey=4gvm0yz50prjm09mdattssmpq&amp;dl=0","Click to download SizeChart")</f>
      </c>
      <c r="C5849" s="0" t="inlineStr">
        <is>
          <t>Madelyn Burnout Long Sleeve</t>
        </is>
      </c>
      <c r="D5849" s="0" t="inlineStr">
        <is>
          <t>'97131</t>
        </is>
      </c>
      <c r="E5849" s="0" t="inlineStr">
        <is>
          <t>MADELYN:97131B-M</t>
        </is>
      </c>
      <c r="F5849" s="0" t="inlineStr">
        <is>
          <t>'080009713102</t>
        </is>
      </c>
      <c r="G5849" s="0" t="inlineStr">
        <is>
          <t>WOMENS</t>
        </is>
      </c>
      <c r="H5849" s="0" t="inlineStr">
        <is>
          <t>M</t>
        </is>
      </c>
      <c r="I5849" s="0">
        <v>29.99</v>
      </c>
      <c r="J5849" s="0">
        <v>15</v>
      </c>
    </row>
    <row r="5850" spans="1:10" customHeight="0">
      <c r="A5850" s="0">
        <f>HYPERLINK("https://dl.dropboxusercontent.com/scl/fi/4q3t20qqqchx467vmzp49/97131f33966.jpg?rlkey=6t3pdv5rz053k92zqmtaovsbu&amp;dl=0","Click to download Image")</f>
      </c>
      <c r="B5850" s="0">
        <f>HYPERLINK("https://dl.dropboxusercontent.com/scl/fi/y4jmdfw0ei975g913argn/size-chart-ladies-a.jpg?rlkey=4gvm0yz50prjm09mdattssmpq&amp;dl=0","Click to download SizeChart")</f>
      </c>
      <c r="C5850" s="0" t="inlineStr">
        <is>
          <t>Madelyn Burnout Long Sleeve</t>
        </is>
      </c>
      <c r="D5850" s="0" t="inlineStr">
        <is>
          <t>'97131</t>
        </is>
      </c>
      <c r="E5850" s="0" t="inlineStr">
        <is>
          <t>MADELYN:97131C-L</t>
        </is>
      </c>
      <c r="F5850" s="0" t="inlineStr">
        <is>
          <t>'080009713103</t>
        </is>
      </c>
      <c r="G5850" s="0" t="inlineStr">
        <is>
          <t>WOMENS</t>
        </is>
      </c>
      <c r="H5850" s="0" t="inlineStr">
        <is>
          <t>L</t>
        </is>
      </c>
      <c r="I5850" s="0">
        <v>29.99</v>
      </c>
      <c r="J5850" s="0">
        <v>45</v>
      </c>
    </row>
    <row r="5851" spans="1:10" customHeight="0">
      <c r="A5851" s="0">
        <f>HYPERLINK("https://dl.dropboxusercontent.com/scl/fi/4q3t20qqqchx467vmzp49/97131f33966.jpg?rlkey=6t3pdv5rz053k92zqmtaovsbu&amp;dl=0","Click to download Image")</f>
      </c>
      <c r="B5851" s="0">
        <f>HYPERLINK("https://dl.dropboxusercontent.com/scl/fi/y4jmdfw0ei975g913argn/size-chart-ladies-a.jpg?rlkey=4gvm0yz50prjm09mdattssmpq&amp;dl=0","Click to download SizeChart")</f>
      </c>
      <c r="C5851" s="0" t="inlineStr">
        <is>
          <t>Madelyn Burnout Long Sleeve</t>
        </is>
      </c>
      <c r="D5851" s="0" t="inlineStr">
        <is>
          <t>'97131</t>
        </is>
      </c>
      <c r="E5851" s="0" t="inlineStr">
        <is>
          <t>MADELYN:97131D-XL</t>
        </is>
      </c>
      <c r="F5851" s="0" t="inlineStr">
        <is>
          <t>'080009713104</t>
        </is>
      </c>
      <c r="G5851" s="0" t="inlineStr">
        <is>
          <t>WOMENS</t>
        </is>
      </c>
      <c r="H5851" s="0" t="inlineStr">
        <is>
          <t>XL</t>
        </is>
      </c>
      <c r="I5851" s="0">
        <v>29.99</v>
      </c>
      <c r="J5851" s="0">
        <v>52</v>
      </c>
    </row>
    <row r="5852" spans="1:10" customHeight="0">
      <c r="A5852" s="0">
        <f>HYPERLINK("https://dl.dropboxusercontent.com/scl/fi/4q3t20qqqchx467vmzp49/97131f33966.jpg?rlkey=6t3pdv5rz053k92zqmtaovsbu&amp;dl=0","Click to download Image")</f>
      </c>
      <c r="B5852" s="0">
        <f>HYPERLINK("https://dl.dropboxusercontent.com/scl/fi/y4jmdfw0ei975g913argn/size-chart-ladies-a.jpg?rlkey=4gvm0yz50prjm09mdattssmpq&amp;dl=0","Click to download SizeChart")</f>
      </c>
      <c r="C5852" s="0" t="inlineStr">
        <is>
          <t>Madelyn Burnout Long Sleeve</t>
        </is>
      </c>
      <c r="D5852" s="0" t="inlineStr">
        <is>
          <t>'97131</t>
        </is>
      </c>
      <c r="E5852" s="0" t="inlineStr">
        <is>
          <t>MADELYN:97131E-2XL</t>
        </is>
      </c>
      <c r="F5852" s="0" t="inlineStr">
        <is>
          <t>'080009713105</t>
        </is>
      </c>
      <c r="G5852" s="0" t="inlineStr">
        <is>
          <t>WOMENS</t>
        </is>
      </c>
      <c r="H5852" s="0" t="inlineStr">
        <is>
          <t>2XL</t>
        </is>
      </c>
      <c r="I5852" s="0">
        <v>31.99</v>
      </c>
      <c r="J5852" s="0">
        <v>28</v>
      </c>
    </row>
    <row r="5853" spans="1:10" customHeight="0">
      <c r="A5853" s="0">
        <f>HYPERLINK("https://dl.dropboxusercontent.com/scl/fi/4q3t20qqqchx467vmzp49/97131f33966.jpg?rlkey=6t3pdv5rz053k92zqmtaovsbu&amp;dl=0","Click to download Image")</f>
      </c>
      <c r="B5853" s="0">
        <f>HYPERLINK("https://dl.dropboxusercontent.com/scl/fi/y4jmdfw0ei975g913argn/size-chart-ladies-a.jpg?rlkey=4gvm0yz50prjm09mdattssmpq&amp;dl=0","Click to download SizeChart")</f>
      </c>
      <c r="C5853" s="0" t="inlineStr">
        <is>
          <t>Madelyn Burnout Long Sleeve</t>
        </is>
      </c>
      <c r="D5853" s="0" t="inlineStr">
        <is>
          <t>'97131</t>
        </is>
      </c>
      <c r="E5853" s="0" t="inlineStr">
        <is>
          <t>MADELYN:97131F-3XL</t>
        </is>
      </c>
      <c r="F5853" s="0" t="inlineStr">
        <is>
          <t>'080009713106</t>
        </is>
      </c>
      <c r="G5853" s="0" t="inlineStr">
        <is>
          <t>WOMENS</t>
        </is>
      </c>
      <c r="H5853" s="0" t="inlineStr">
        <is>
          <t>3XL</t>
        </is>
      </c>
      <c r="I5853" s="0">
        <v>31.99</v>
      </c>
      <c r="J5853" s="0">
        <v>19</v>
      </c>
    </row>
    <row r="5854" spans="1:10" customHeight="0">
      <c r="A5854" s="0">
        <f>HYPERLINK("https://dl.dropboxusercontent.com/scl/fi/ffa98aqvl349lx48ktgzq/95570-af-impact-isu.png?rlkey=4ll0gyikd7ysrwq2d23zfsd7h&amp;dl=0","Click to download Image")</f>
      </c>
      <c r="C5854" s="0" t="inlineStr">
        <is>
          <t>Impact Duffle Bag</t>
        </is>
      </c>
      <c r="D5854" s="0" t="inlineStr">
        <is>
          <t>'95570</t>
        </is>
      </c>
      <c r="E5854" s="0" t="inlineStr">
        <is>
          <t>IMPACT:95570</t>
        </is>
      </c>
      <c r="F5854" s="0" t="inlineStr">
        <is>
          <t>'090009557001</t>
        </is>
      </c>
      <c r="I5854" s="0">
        <v>29.99</v>
      </c>
      <c r="J5854" s="0">
        <v>389</v>
      </c>
    </row>
    <row r="5855" spans="1:10" customHeight="0">
      <c r="A5855" s="0">
        <f>HYPERLINK("https://dl.dropboxusercontent.com/scl/fi/sojwbiummvfq065qwb13o/94330-af.png?rlkey=67yonrrkzcbhef7ve4so74qoc&amp;dl=0","Click to download Image")</f>
      </c>
      <c r="C5855" s="0" t="inlineStr">
        <is>
          <t>Impact Duffle Bag</t>
        </is>
      </c>
      <c r="D5855" s="0" t="inlineStr">
        <is>
          <t>'94330</t>
        </is>
      </c>
      <c r="E5855" s="0" t="inlineStr">
        <is>
          <t>IMPACT:94330</t>
        </is>
      </c>
      <c r="F5855" s="0" t="inlineStr">
        <is>
          <t>'090009433001</t>
        </is>
      </c>
      <c r="I5855" s="0">
        <v>29.99</v>
      </c>
      <c r="J5855" s="0">
        <v>159</v>
      </c>
    </row>
    <row r="5856" spans="1:10" customHeight="0">
      <c r="A5856" s="0">
        <f>HYPERLINK("https://dl.dropboxusercontent.com/scl/fi/76yjm172j4b011e68pps3/noah.jpg?rlkey=988bxgw32fo25cl7ye5vhctfr&amp;dl=0","Click to download Image")</f>
      </c>
      <c r="B5856" s="0">
        <f>HYPERLINK("https://dl.dropboxusercontent.com/scl/fi/l8w18zile0slw3rcw6io0/size-chartyouth-b.jpg?rlkey=qv2tjepont1iownp2um4ddyku&amp;dl=0","Click to download SizeChart")</f>
      </c>
      <c r="C5856" s="0" t="inlineStr">
        <is>
          <t>Noah Youth Hoodie</t>
        </is>
      </c>
      <c r="D5856" s="0" t="inlineStr">
        <is>
          <t>'98104</t>
        </is>
      </c>
      <c r="E5856" s="0" t="inlineStr">
        <is>
          <t>NOAH:98104A-YS</t>
        </is>
      </c>
      <c r="F5856" s="0" t="inlineStr">
        <is>
          <t>'000000000000</t>
        </is>
      </c>
      <c r="G5856" s="0" t="inlineStr">
        <is>
          <t>YOUTH</t>
        </is>
      </c>
      <c r="H5856" s="0" t="inlineStr">
        <is>
          <t>YS</t>
        </is>
      </c>
      <c r="I5856" s="0">
        <v>44.99</v>
      </c>
      <c r="J5856" s="0">
        <v>107</v>
      </c>
    </row>
    <row r="5857" spans="1:10" customHeight="0">
      <c r="A5857" s="0">
        <f>HYPERLINK("https://dl.dropboxusercontent.com/scl/fi/76yjm172j4b011e68pps3/noah.jpg?rlkey=988bxgw32fo25cl7ye5vhctfr&amp;dl=0","Click to download Image")</f>
      </c>
      <c r="B5857" s="0">
        <f>HYPERLINK("https://dl.dropboxusercontent.com/scl/fi/l8w18zile0slw3rcw6io0/size-chartyouth-b.jpg?rlkey=qv2tjepont1iownp2um4ddyku&amp;dl=0","Click to download SizeChart")</f>
      </c>
      <c r="C5857" s="0" t="inlineStr">
        <is>
          <t>Noah Youth Hoodie</t>
        </is>
      </c>
      <c r="D5857" s="0" t="inlineStr">
        <is>
          <t>'98104</t>
        </is>
      </c>
      <c r="E5857" s="0" t="inlineStr">
        <is>
          <t>NOAH:98104B-YM</t>
        </is>
      </c>
      <c r="F5857" s="0" t="inlineStr">
        <is>
          <t>'000000000000</t>
        </is>
      </c>
      <c r="G5857" s="0" t="inlineStr">
        <is>
          <t>YOUTH</t>
        </is>
      </c>
      <c r="H5857" s="0" t="inlineStr">
        <is>
          <t>YM</t>
        </is>
      </c>
      <c r="I5857" s="0">
        <v>44.99</v>
      </c>
      <c r="J5857" s="0">
        <v>101</v>
      </c>
    </row>
    <row r="5858" spans="1:10" customHeight="0">
      <c r="A5858" s="0">
        <f>HYPERLINK("https://dl.dropboxusercontent.com/scl/fi/76yjm172j4b011e68pps3/noah.jpg?rlkey=988bxgw32fo25cl7ye5vhctfr&amp;dl=0","Click to download Image")</f>
      </c>
      <c r="B5858" s="0">
        <f>HYPERLINK("https://dl.dropboxusercontent.com/scl/fi/l8w18zile0slw3rcw6io0/size-chartyouth-b.jpg?rlkey=qv2tjepont1iownp2um4ddyku&amp;dl=0","Click to download SizeChart")</f>
      </c>
      <c r="C5858" s="0" t="inlineStr">
        <is>
          <t>Noah Youth Hoodie</t>
        </is>
      </c>
      <c r="D5858" s="0" t="inlineStr">
        <is>
          <t>'98104</t>
        </is>
      </c>
      <c r="E5858" s="0" t="inlineStr">
        <is>
          <t>NOAH:98104C-YL</t>
        </is>
      </c>
      <c r="F5858" s="0" t="inlineStr">
        <is>
          <t>'000000000000</t>
        </is>
      </c>
      <c r="G5858" s="0" t="inlineStr">
        <is>
          <t>YOUTH</t>
        </is>
      </c>
      <c r="H5858" s="0" t="inlineStr">
        <is>
          <t>YL</t>
        </is>
      </c>
      <c r="I5858" s="0">
        <v>44.99</v>
      </c>
      <c r="J5858" s="0">
        <v>78</v>
      </c>
    </row>
    <row r="5859" spans="1:10" customHeight="0">
      <c r="A5859" s="0">
        <f>HYPERLINK("https://dl.dropboxusercontent.com/scl/fi/76yjm172j4b011e68pps3/noah.jpg?rlkey=988bxgw32fo25cl7ye5vhctfr&amp;dl=0","Click to download Image")</f>
      </c>
      <c r="B5859" s="0">
        <f>HYPERLINK("https://dl.dropboxusercontent.com/scl/fi/l8w18zile0slw3rcw6io0/size-chartyouth-b.jpg?rlkey=qv2tjepont1iownp2um4ddyku&amp;dl=0","Click to download SizeChart")</f>
      </c>
      <c r="C5859" s="0" t="inlineStr">
        <is>
          <t>Noah Youth Hoodie</t>
        </is>
      </c>
      <c r="D5859" s="0" t="inlineStr">
        <is>
          <t>'98104</t>
        </is>
      </c>
      <c r="E5859" s="0" t="inlineStr">
        <is>
          <t>NOAH:98104D-YXL</t>
        </is>
      </c>
      <c r="F5859" s="0" t="inlineStr">
        <is>
          <t>'000000000000</t>
        </is>
      </c>
      <c r="G5859" s="0" t="inlineStr">
        <is>
          <t>YOUTH</t>
        </is>
      </c>
      <c r="H5859" s="0" t="inlineStr">
        <is>
          <t>YXL</t>
        </is>
      </c>
      <c r="I5859" s="0">
        <v>44.99</v>
      </c>
      <c r="J5859" s="0">
        <v>103</v>
      </c>
    </row>
    <row r="5860" spans="1:10" customHeight="0">
      <c r="A5860" s="0">
        <f>HYPERLINK("https://dl.dropboxusercontent.com/scl/fi/55bp1ec2lxi9nlax5cta0/94192af42665.jpg?rlkey=gv77nshkxe28gysdxo5ez39jm&amp;dl=0","Click to download Image")</f>
      </c>
      <c r="C5860" s="0" t="inlineStr">
        <is>
          <t>Kelly Backpack</t>
        </is>
      </c>
      <c r="D5860" s="0" t="inlineStr">
        <is>
          <t>'94192</t>
        </is>
      </c>
      <c r="E5860" s="0" t="inlineStr">
        <is>
          <t>KELLY:94192</t>
        </is>
      </c>
      <c r="F5860" s="0" t="inlineStr">
        <is>
          <t>'090009419201</t>
        </is>
      </c>
      <c r="I5860" s="0">
        <v>49.99</v>
      </c>
      <c r="J5860" s="0">
        <v>260</v>
      </c>
    </row>
    <row r="5861" spans="1:10" customHeight="0">
      <c r="A5861" s="0">
        <f>HYPERLINK("https://dl.dropboxusercontent.com/scl/fi/yakvwd4pmen1f3ifjpizg/hooded.jpg?rlkey=8jp7a6uonc8vr7diksp26l8ws&amp;dl=0","Click to download Image")</f>
      </c>
      <c r="C5861" s="0" t="inlineStr">
        <is>
          <t>Herky Youth Hooded Backpack</t>
        </is>
      </c>
      <c r="D5861" s="0" t="inlineStr">
        <is>
          <t>'94281</t>
        </is>
      </c>
      <c r="E5861" s="0" t="inlineStr">
        <is>
          <t>HOODED:94281</t>
        </is>
      </c>
      <c r="F5861" s="0" t="inlineStr">
        <is>
          <t>'090009428101</t>
        </is>
      </c>
      <c r="I5861" s="0">
        <v>22.99</v>
      </c>
      <c r="J5861" s="0">
        <v>369</v>
      </c>
    </row>
    <row r="5862" spans="1:10" customHeight="0">
      <c r="A5862" s="0">
        <f>HYPERLINK("https://dl.dropboxusercontent.com/scl/fi/82snsim53y0s1iszjdo2s/isu-blackout-face-mask.jpg?rlkey=6a6u5gqpsuviv4wszxmoylgug&amp;dl=0","Click to download Image")</f>
      </c>
      <c r="C5862" s="0" t="inlineStr">
        <is>
          <t>Reusable Face Mask </t>
        </is>
      </c>
      <c r="D5862" s="0" t="inlineStr">
        <is>
          <t>'121436</t>
        </is>
      </c>
      <c r="E5862" s="0" t="inlineStr">
        <is>
          <t>ISU DIRKS MASK:121436</t>
        </is>
      </c>
      <c r="F5862" s="0" t="inlineStr">
        <is>
          <t>'701121436012</t>
        </is>
      </c>
      <c r="I5862" s="0">
        <v>7.99</v>
      </c>
      <c r="J5862" s="0">
        <v>144</v>
      </c>
    </row>
    <row r="5863" spans="1:10" customHeight="0">
      <c r="A5863" s="0">
        <f>HYPERLINK("https://dl.dropboxusercontent.com/scl/fi/paewj1z7939d080omm5pz/120030af91649.jpg?rlkey=q9n36oh1ooz8xwb0ig0zkrxbv&amp;dl=0","Click to download Image")</f>
      </c>
      <c r="C5863" s="0" t="inlineStr">
        <is>
          <t>Reusable Face Mask </t>
        </is>
      </c>
      <c r="D5863" s="0" t="inlineStr">
        <is>
          <t>'120030</t>
        </is>
      </c>
      <c r="E5863" s="0" t="inlineStr">
        <is>
          <t>ISU PRINTED MASK:120030</t>
        </is>
      </c>
      <c r="F5863" s="0" t="inlineStr">
        <is>
          <t>'701120031010</t>
        </is>
      </c>
      <c r="I5863" s="0">
        <v>7.99</v>
      </c>
      <c r="J5863" s="0">
        <v>1749</v>
      </c>
    </row>
    <row r="5864" spans="1:10" customHeight="0">
      <c r="A5864" s="0">
        <f>HYPERLINK("https://dl.dropboxusercontent.com/scl/fi/7j4fskfexd2mmel1cqijg/120031af31260.jpg?rlkey=v2cc7egfb1yrnbde74cronwzw&amp;dl=0","Click to download Image")</f>
      </c>
      <c r="C5864" s="0" t="inlineStr">
        <is>
          <t>Reusable Face Mask </t>
        </is>
      </c>
      <c r="D5864" s="0" t="inlineStr">
        <is>
          <t>'120031</t>
        </is>
      </c>
      <c r="E5864" s="0" t="inlineStr">
        <is>
          <t>ISU PRINTED MASK:120031</t>
        </is>
      </c>
      <c r="F5864" s="0" t="inlineStr">
        <is>
          <t>'701120031010</t>
        </is>
      </c>
      <c r="I5864" s="0">
        <v>7.99</v>
      </c>
      <c r="J5864" s="0">
        <v>597</v>
      </c>
    </row>
    <row r="5865" spans="1:10" customHeight="0">
      <c r="A5865" s="0">
        <f>HYPERLINK("https://dl.dropboxusercontent.com/scl/fi/fj5xyjd79ryh412717yo4/face-mask-af-black-mu.jpg?rlkey=xsrlc04on2nd8imuntt8oig1l&amp;dl=0","Click to download Image")</f>
      </c>
      <c r="C5865" s="0" t="inlineStr">
        <is>
          <t>Reusable Face Mask </t>
        </is>
      </c>
      <c r="D5865" s="0" t="inlineStr">
        <is>
          <t>'118610</t>
        </is>
      </c>
      <c r="E5865" s="0" t="inlineStr">
        <is>
          <t>MU KIZZY BLACK:118610</t>
        </is>
      </c>
      <c r="F5865" s="0" t="inlineStr">
        <is>
          <t>'703118610016</t>
        </is>
      </c>
      <c r="I5865" s="0">
        <v>7.99</v>
      </c>
      <c r="J5865" s="0">
        <v>768</v>
      </c>
    </row>
    <row r="5866" spans="1:10" customHeight="0">
      <c r="A5866" s="0">
        <f>HYPERLINK("https://dl.dropboxusercontent.com/scl/fi/h3e1ps40s8hinxm927x2n/118148af84106.jpg?rlkey=1zd7zy4yv0ijto205qoljqut5&amp;dl=0","Click to download Image")</f>
      </c>
      <c r="C5866" s="0" t="inlineStr">
        <is>
          <t>Reusable Face Mask </t>
        </is>
      </c>
      <c r="D5866" s="0" t="inlineStr">
        <is>
          <t>'118148</t>
        </is>
      </c>
      <c r="E5866" s="0" t="inlineStr">
        <is>
          <t>UNI MASK:118148</t>
        </is>
      </c>
      <c r="F5866" s="0" t="inlineStr">
        <is>
          <t>'700118148013</t>
        </is>
      </c>
      <c r="I5866" s="0">
        <v>7.99</v>
      </c>
      <c r="J5866" s="0">
        <v>2784</v>
      </c>
    </row>
    <row r="5867" spans="1:10" customHeight="0">
      <c r="A5867" s="0">
        <f>HYPERLINK("https://dl.dropboxusercontent.com/scl/fi/sxvekjewbs67p61rue504/hannah.jpg?rlkey=p8muf3b8uh1y00huudsp4do6h&amp;dl=0","Click to download Image")</f>
      </c>
      <c r="C5867" s="0" t="inlineStr">
        <is>
          <t>Hannah French Terry Tote</t>
        </is>
      </c>
      <c r="D5867" s="0" t="inlineStr">
        <is>
          <t>'95975</t>
        </is>
      </c>
      <c r="E5867" s="0" t="inlineStr">
        <is>
          <t>HANNAH:95975</t>
        </is>
      </c>
      <c r="F5867" s="0" t="inlineStr">
        <is>
          <t>'090009597501</t>
        </is>
      </c>
      <c r="I5867" s="0">
        <v>29.99</v>
      </c>
      <c r="J5867" s="0">
        <v>154</v>
      </c>
    </row>
    <row r="5868" spans="1:10" customHeight="0">
      <c r="A5868" s="0">
        <f>HYPERLINK("https://dl.dropboxusercontent.com/scl/fi/yacq71415nqrqmfluqtt6/nathan.jpg?rlkey=dqi9f6somhurhws2wrg0p9qap&amp;dl=0","Click to download Image")</f>
      </c>
      <c r="B5868" s="0">
        <f>HYPERLINK("https://dl.dropboxusercontent.com/scl/fi/05s4x5u4j0p031tlk92f5/mens-e.jpg?rlkey=2hoijy247kkqh3r0no8cfxipi&amp;dl=0","Click to download SizeChart")</f>
      </c>
      <c r="C5868" s="0" t="inlineStr">
        <is>
          <t>Nathan Men's Hooded Shirt</t>
        </is>
      </c>
      <c r="D5868" s="0" t="inlineStr">
        <is>
          <t>'98747</t>
        </is>
      </c>
      <c r="E5868" s="0" t="inlineStr">
        <is>
          <t>NATHAN:98747A-S</t>
        </is>
      </c>
      <c r="F5868" s="0" t="inlineStr">
        <is>
          <t>'000000000000</t>
        </is>
      </c>
      <c r="G5868" s="0" t="inlineStr">
        <is>
          <t>MENS</t>
        </is>
      </c>
      <c r="H5868" s="0" t="inlineStr">
        <is>
          <t>S</t>
        </is>
      </c>
      <c r="I5868" s="0">
        <v>39.99</v>
      </c>
      <c r="J5868" s="0">
        <v>30</v>
      </c>
    </row>
    <row r="5869" spans="1:10" customHeight="0">
      <c r="A5869" s="0">
        <f>HYPERLINK("https://dl.dropboxusercontent.com/scl/fi/yacq71415nqrqmfluqtt6/nathan.jpg?rlkey=dqi9f6somhurhws2wrg0p9qap&amp;dl=0","Click to download Image")</f>
      </c>
      <c r="B5869" s="0">
        <f>HYPERLINK("https://dl.dropboxusercontent.com/scl/fi/05s4x5u4j0p031tlk92f5/mens-e.jpg?rlkey=2hoijy247kkqh3r0no8cfxipi&amp;dl=0","Click to download SizeChart")</f>
      </c>
      <c r="C5869" s="0" t="inlineStr">
        <is>
          <t>Nathan Men's Hooded Shirt</t>
        </is>
      </c>
      <c r="D5869" s="0" t="inlineStr">
        <is>
          <t>'98747</t>
        </is>
      </c>
      <c r="E5869" s="0" t="inlineStr">
        <is>
          <t>NATHAN:98747B-M</t>
        </is>
      </c>
      <c r="F5869" s="0" t="inlineStr">
        <is>
          <t>'000000000000</t>
        </is>
      </c>
      <c r="G5869" s="0" t="inlineStr">
        <is>
          <t>MENS</t>
        </is>
      </c>
      <c r="H5869" s="0" t="inlineStr">
        <is>
          <t>M</t>
        </is>
      </c>
      <c r="I5869" s="0">
        <v>39.99</v>
      </c>
      <c r="J5869" s="0">
        <v>45</v>
      </c>
    </row>
    <row r="5870" spans="1:10" customHeight="0">
      <c r="A5870" s="0">
        <f>HYPERLINK("https://dl.dropboxusercontent.com/scl/fi/yacq71415nqrqmfluqtt6/nathan.jpg?rlkey=dqi9f6somhurhws2wrg0p9qap&amp;dl=0","Click to download Image")</f>
      </c>
      <c r="B5870" s="0">
        <f>HYPERLINK("https://dl.dropboxusercontent.com/scl/fi/05s4x5u4j0p031tlk92f5/mens-e.jpg?rlkey=2hoijy247kkqh3r0no8cfxipi&amp;dl=0","Click to download SizeChart")</f>
      </c>
      <c r="C5870" s="0" t="inlineStr">
        <is>
          <t>Nathan Men's Hooded Shirt</t>
        </is>
      </c>
      <c r="D5870" s="0" t="inlineStr">
        <is>
          <t>'98747</t>
        </is>
      </c>
      <c r="E5870" s="0" t="inlineStr">
        <is>
          <t>NATHAN:98747C-L</t>
        </is>
      </c>
      <c r="F5870" s="0" t="inlineStr">
        <is>
          <t>'000000000000</t>
        </is>
      </c>
      <c r="G5870" s="0" t="inlineStr">
        <is>
          <t>MENS</t>
        </is>
      </c>
      <c r="H5870" s="0" t="inlineStr">
        <is>
          <t>L</t>
        </is>
      </c>
      <c r="I5870" s="0">
        <v>39.99</v>
      </c>
      <c r="J5870" s="0">
        <v>33</v>
      </c>
    </row>
    <row r="5871" spans="1:10" customHeight="0">
      <c r="A5871" s="0">
        <f>HYPERLINK("https://dl.dropboxusercontent.com/scl/fi/yacq71415nqrqmfluqtt6/nathan.jpg?rlkey=dqi9f6somhurhws2wrg0p9qap&amp;dl=0","Click to download Image")</f>
      </c>
      <c r="B5871" s="0">
        <f>HYPERLINK("https://dl.dropboxusercontent.com/scl/fi/05s4x5u4j0p031tlk92f5/mens-e.jpg?rlkey=2hoijy247kkqh3r0no8cfxipi&amp;dl=0","Click to download SizeChart")</f>
      </c>
      <c r="C5871" s="0" t="inlineStr">
        <is>
          <t>Nathan Men's Hooded Shirt</t>
        </is>
      </c>
      <c r="D5871" s="0" t="inlineStr">
        <is>
          <t>'98747</t>
        </is>
      </c>
      <c r="E5871" s="0" t="inlineStr">
        <is>
          <t>NATHAN:98747D-XL</t>
        </is>
      </c>
      <c r="F5871" s="0" t="inlineStr">
        <is>
          <t>'000000000000</t>
        </is>
      </c>
      <c r="G5871" s="0" t="inlineStr">
        <is>
          <t>MENS</t>
        </is>
      </c>
      <c r="H5871" s="0" t="inlineStr">
        <is>
          <t>XL</t>
        </is>
      </c>
      <c r="I5871" s="0">
        <v>39.99</v>
      </c>
      <c r="J5871" s="0">
        <v>31</v>
      </c>
    </row>
    <row r="5872" spans="1:10" customHeight="0">
      <c r="A5872" s="0">
        <f>HYPERLINK("https://dl.dropboxusercontent.com/scl/fi/yacq71415nqrqmfluqtt6/nathan.jpg?rlkey=dqi9f6somhurhws2wrg0p9qap&amp;dl=0","Click to download Image")</f>
      </c>
      <c r="B5872" s="0">
        <f>HYPERLINK("https://dl.dropboxusercontent.com/scl/fi/05s4x5u4j0p031tlk92f5/mens-e.jpg?rlkey=2hoijy247kkqh3r0no8cfxipi&amp;dl=0","Click to download SizeChart")</f>
      </c>
      <c r="C5872" s="0" t="inlineStr">
        <is>
          <t>Nathan Men's Hooded Shirt</t>
        </is>
      </c>
      <c r="D5872" s="0" t="inlineStr">
        <is>
          <t>'98747</t>
        </is>
      </c>
      <c r="E5872" s="0" t="inlineStr">
        <is>
          <t>NATHAN:98747E-2XL</t>
        </is>
      </c>
      <c r="F5872" s="0" t="inlineStr">
        <is>
          <t>'000000000000</t>
        </is>
      </c>
      <c r="G5872" s="0" t="inlineStr">
        <is>
          <t>MENS</t>
        </is>
      </c>
      <c r="H5872" s="0" t="inlineStr">
        <is>
          <t>2XL</t>
        </is>
      </c>
      <c r="I5872" s="0">
        <v>41.99</v>
      </c>
      <c r="J5872" s="0">
        <v>24</v>
      </c>
    </row>
    <row r="5873" spans="1:10" customHeight="0">
      <c r="A5873" s="0">
        <f>HYPERLINK("https://dl.dropboxusercontent.com/scl/fi/yacq71415nqrqmfluqtt6/nathan.jpg?rlkey=dqi9f6somhurhws2wrg0p9qap&amp;dl=0","Click to download Image")</f>
      </c>
      <c r="B5873" s="0">
        <f>HYPERLINK("https://dl.dropboxusercontent.com/scl/fi/05s4x5u4j0p031tlk92f5/mens-e.jpg?rlkey=2hoijy247kkqh3r0no8cfxipi&amp;dl=0","Click to download SizeChart")</f>
      </c>
      <c r="C5873" s="0" t="inlineStr">
        <is>
          <t>Nathan Men's Hooded Shirt</t>
        </is>
      </c>
      <c r="D5873" s="0" t="inlineStr">
        <is>
          <t>'98747</t>
        </is>
      </c>
      <c r="E5873" s="0" t="inlineStr">
        <is>
          <t>NATHAN:98747F-3XL</t>
        </is>
      </c>
      <c r="F5873" s="0" t="inlineStr">
        <is>
          <t>'000000000000</t>
        </is>
      </c>
      <c r="G5873" s="0" t="inlineStr">
        <is>
          <t>MENS</t>
        </is>
      </c>
      <c r="H5873" s="0" t="inlineStr">
        <is>
          <t>3XL</t>
        </is>
      </c>
      <c r="I5873" s="0">
        <v>41.99</v>
      </c>
      <c r="J5873" s="0">
        <v>1</v>
      </c>
    </row>
    <row r="5874" spans="1:10" customHeight="0">
      <c r="A5874" s="0">
        <f>HYPERLINK("https://dl.dropboxusercontent.com/scl/fi/pqokuge0ngz3me6eg4qju/graham.jpg?rlkey=wfkznra48hop72lyfcxnynkwz&amp;dl=0","Click to download Image")</f>
      </c>
      <c r="C5874" s="0" t="inlineStr">
        <is>
          <t>Graham Packable Youth Backpack</t>
        </is>
      </c>
      <c r="D5874" s="0" t="inlineStr">
        <is>
          <t>'98366</t>
        </is>
      </c>
      <c r="E5874" s="0" t="inlineStr">
        <is>
          <t>GRAHAM:98366</t>
        </is>
      </c>
      <c r="F5874" s="0" t="inlineStr">
        <is>
          <t>'090009836601</t>
        </is>
      </c>
      <c r="I5874" s="0">
        <v>39.99</v>
      </c>
      <c r="J5874" s="0">
        <v>274</v>
      </c>
    </row>
    <row r="5875" spans="1:10" customHeight="0">
      <c r="A5875" s="0">
        <f>HYPERLINK("https://dl.dropboxusercontent.com/scl/fi/i3361vwpg6gvbsgiry7vw/nash.jpg?rlkey=9n9tmt65w4batv0x868824r8p&amp;dl=0","Click to download Image")</f>
      </c>
      <c r="B5875" s="0">
        <f>HYPERLINK("https://dl.dropboxusercontent.com/scl/fi/uu9b6pxxrmdiwirfhhg4s/size-chartmens-g.jpg?rlkey=9n9b7a3kh2uwc75ggcub7pory&amp;dl=0","Click to download SizeChart")</f>
      </c>
      <c r="C5875" s="0" t="inlineStr">
        <is>
          <t>Nash Men's Athletic Shorts</t>
        </is>
      </c>
      <c r="D5875" s="0" t="inlineStr">
        <is>
          <t>'94527</t>
        </is>
      </c>
      <c r="E5875" s="0" t="inlineStr">
        <is>
          <t>NASH:94527A-S</t>
        </is>
      </c>
      <c r="F5875" s="0" t="inlineStr">
        <is>
          <t>'000000000000</t>
        </is>
      </c>
      <c r="G5875" s="0" t="inlineStr">
        <is>
          <t>MENS</t>
        </is>
      </c>
      <c r="H5875" s="0" t="inlineStr">
        <is>
          <t>S</t>
        </is>
      </c>
      <c r="I5875" s="0">
        <v>34.99</v>
      </c>
      <c r="J5875" s="0">
        <v>5</v>
      </c>
    </row>
    <row r="5876" spans="1:10" customHeight="0">
      <c r="A5876" s="0">
        <f>HYPERLINK("https://dl.dropboxusercontent.com/scl/fi/i3361vwpg6gvbsgiry7vw/nash.jpg?rlkey=9n9tmt65w4batv0x868824r8p&amp;dl=0","Click to download Image")</f>
      </c>
      <c r="B5876" s="0">
        <f>HYPERLINK("https://dl.dropboxusercontent.com/scl/fi/uu9b6pxxrmdiwirfhhg4s/size-chartmens-g.jpg?rlkey=9n9b7a3kh2uwc75ggcub7pory&amp;dl=0","Click to download SizeChart")</f>
      </c>
      <c r="C5876" s="0" t="inlineStr">
        <is>
          <t>Nash Men's Athletic Shorts</t>
        </is>
      </c>
      <c r="D5876" s="0" t="inlineStr">
        <is>
          <t>'94527</t>
        </is>
      </c>
      <c r="E5876" s="0" t="inlineStr">
        <is>
          <t>NASH:94527B-M</t>
        </is>
      </c>
      <c r="F5876" s="0" t="inlineStr">
        <is>
          <t>'000000000000</t>
        </is>
      </c>
      <c r="G5876" s="0" t="inlineStr">
        <is>
          <t>MENS</t>
        </is>
      </c>
      <c r="H5876" s="0" t="inlineStr">
        <is>
          <t>M</t>
        </is>
      </c>
      <c r="I5876" s="0">
        <v>34.99</v>
      </c>
      <c r="J5876" s="0">
        <v>7</v>
      </c>
    </row>
    <row r="5877" spans="1:10" customHeight="0">
      <c r="A5877" s="0">
        <f>HYPERLINK("https://dl.dropboxusercontent.com/scl/fi/i3361vwpg6gvbsgiry7vw/nash.jpg?rlkey=9n9tmt65w4batv0x868824r8p&amp;dl=0","Click to download Image")</f>
      </c>
      <c r="B5877" s="0">
        <f>HYPERLINK("https://dl.dropboxusercontent.com/scl/fi/uu9b6pxxrmdiwirfhhg4s/size-chartmens-g.jpg?rlkey=9n9b7a3kh2uwc75ggcub7pory&amp;dl=0","Click to download SizeChart")</f>
      </c>
      <c r="C5877" s="0" t="inlineStr">
        <is>
          <t>Nash Men's Athletic Shorts</t>
        </is>
      </c>
      <c r="D5877" s="0" t="inlineStr">
        <is>
          <t>'94527</t>
        </is>
      </c>
      <c r="E5877" s="0" t="inlineStr">
        <is>
          <t>NASH:94527C-L</t>
        </is>
      </c>
      <c r="F5877" s="0" t="inlineStr">
        <is>
          <t>'000000000000</t>
        </is>
      </c>
      <c r="G5877" s="0" t="inlineStr">
        <is>
          <t>MENS</t>
        </is>
      </c>
      <c r="H5877" s="0" t="inlineStr">
        <is>
          <t>L</t>
        </is>
      </c>
      <c r="I5877" s="0">
        <v>34.99</v>
      </c>
      <c r="J5877" s="0">
        <v>28</v>
      </c>
    </row>
    <row r="5878" spans="1:10" customHeight="0">
      <c r="A5878" s="0">
        <f>HYPERLINK("https://dl.dropboxusercontent.com/scl/fi/i3361vwpg6gvbsgiry7vw/nash.jpg?rlkey=9n9tmt65w4batv0x868824r8p&amp;dl=0","Click to download Image")</f>
      </c>
      <c r="B5878" s="0">
        <f>HYPERLINK("https://dl.dropboxusercontent.com/scl/fi/uu9b6pxxrmdiwirfhhg4s/size-chartmens-g.jpg?rlkey=9n9b7a3kh2uwc75ggcub7pory&amp;dl=0","Click to download SizeChart")</f>
      </c>
      <c r="C5878" s="0" t="inlineStr">
        <is>
          <t>Nash Men's Athletic Shorts</t>
        </is>
      </c>
      <c r="D5878" s="0" t="inlineStr">
        <is>
          <t>'94527</t>
        </is>
      </c>
      <c r="E5878" s="0" t="inlineStr">
        <is>
          <t>NASH:94527D-XL</t>
        </is>
      </c>
      <c r="F5878" s="0" t="inlineStr">
        <is>
          <t>'000000000000</t>
        </is>
      </c>
      <c r="G5878" s="0" t="inlineStr">
        <is>
          <t>MENS</t>
        </is>
      </c>
      <c r="H5878" s="0" t="inlineStr">
        <is>
          <t>XL</t>
        </is>
      </c>
      <c r="I5878" s="0">
        <v>34.99</v>
      </c>
      <c r="J5878" s="0">
        <v>39</v>
      </c>
    </row>
    <row r="5879" spans="1:10" customHeight="0">
      <c r="A5879" s="0">
        <f>HYPERLINK("https://dl.dropboxusercontent.com/scl/fi/i3361vwpg6gvbsgiry7vw/nash.jpg?rlkey=9n9tmt65w4batv0x868824r8p&amp;dl=0","Click to download Image")</f>
      </c>
      <c r="B5879" s="0">
        <f>HYPERLINK("https://dl.dropboxusercontent.com/scl/fi/uu9b6pxxrmdiwirfhhg4s/size-chartmens-g.jpg?rlkey=9n9b7a3kh2uwc75ggcub7pory&amp;dl=0","Click to download SizeChart")</f>
      </c>
      <c r="C5879" s="0" t="inlineStr">
        <is>
          <t>Nash Men's Athletic Shorts</t>
        </is>
      </c>
      <c r="D5879" s="0" t="inlineStr">
        <is>
          <t>'94527</t>
        </is>
      </c>
      <c r="E5879" s="0" t="inlineStr">
        <is>
          <t>NASH:94527E-2X</t>
        </is>
      </c>
      <c r="F5879" s="0" t="inlineStr">
        <is>
          <t>'000000000000</t>
        </is>
      </c>
      <c r="G5879" s="0" t="inlineStr">
        <is>
          <t>MENS</t>
        </is>
      </c>
      <c r="H5879" s="0" t="inlineStr">
        <is>
          <t>2XL</t>
        </is>
      </c>
      <c r="I5879" s="0">
        <v>36.99</v>
      </c>
      <c r="J5879" s="0">
        <v>19</v>
      </c>
    </row>
    <row r="5880" spans="1:10" customHeight="0">
      <c r="A5880" s="0">
        <f>HYPERLINK("https://dl.dropboxusercontent.com/scl/fi/i3361vwpg6gvbsgiry7vw/nash.jpg?rlkey=9n9tmt65w4batv0x868824r8p&amp;dl=0","Click to download Image")</f>
      </c>
      <c r="B5880" s="0">
        <f>HYPERLINK("https://dl.dropboxusercontent.com/scl/fi/uu9b6pxxrmdiwirfhhg4s/size-chartmens-g.jpg?rlkey=9n9b7a3kh2uwc75ggcub7pory&amp;dl=0","Click to download SizeChart")</f>
      </c>
      <c r="C5880" s="0" t="inlineStr">
        <is>
          <t>Nash Men's Athletic Shorts</t>
        </is>
      </c>
      <c r="D5880" s="0" t="inlineStr">
        <is>
          <t>'94527</t>
        </is>
      </c>
      <c r="E5880" s="0" t="inlineStr">
        <is>
          <t>NASH:94527F-3X</t>
        </is>
      </c>
      <c r="F5880" s="0" t="inlineStr">
        <is>
          <t>'000000000000</t>
        </is>
      </c>
      <c r="G5880" s="0" t="inlineStr">
        <is>
          <t>MENS</t>
        </is>
      </c>
      <c r="H5880" s="0" t="inlineStr">
        <is>
          <t>3XL</t>
        </is>
      </c>
      <c r="I5880" s="0">
        <v>36.99</v>
      </c>
      <c r="J5880" s="0">
        <v>11</v>
      </c>
    </row>
    <row r="5881" spans="1:10" customHeight="0">
      <c r="A5881" s="0">
        <f>HYPERLINK("https://dl.dropboxusercontent.com/scl/fi/fg6upin2tinejf8pfwx4w/95384f01736.jpg?rlkey=zmel69qtzmliv36syo3ke9vms&amp;dl=0","Click to download Image")</f>
      </c>
      <c r="B5881" s="0">
        <f>HYPERLINK("https://dl.dropboxusercontent.com/scl/fi/thbwhnfr8qic9uaa2xhra/ladies-b-1.jpg?rlkey=8y6vir7q0cfuqlkpum4pwd0b6&amp;dl=0","Click to download SizeChart")</f>
      </c>
      <c r="C5881" s="0" t="inlineStr">
        <is>
          <t>Claire French Terry Hoodie</t>
        </is>
      </c>
      <c r="D5881" s="0" t="inlineStr">
        <is>
          <t>'95384</t>
        </is>
      </c>
      <c r="E5881" s="0" t="inlineStr">
        <is>
          <t>CLAIRE:95384C-L</t>
        </is>
      </c>
      <c r="F5881" s="0" t="inlineStr">
        <is>
          <t>'000000000000</t>
        </is>
      </c>
      <c r="G5881" s="0" t="inlineStr">
        <is>
          <t>WOMENS</t>
        </is>
      </c>
      <c r="H5881" s="0" t="inlineStr">
        <is>
          <t>L</t>
        </is>
      </c>
      <c r="I5881" s="0">
        <v>49.99</v>
      </c>
      <c r="J5881" s="0">
        <v>15</v>
      </c>
    </row>
    <row r="5882" spans="1:10" customHeight="0">
      <c r="A5882" s="0">
        <f>HYPERLINK("https://dl.dropboxusercontent.com/scl/fi/fg6upin2tinejf8pfwx4w/95384f01736.jpg?rlkey=zmel69qtzmliv36syo3ke9vms&amp;dl=0","Click to download Image")</f>
      </c>
      <c r="B5882" s="0">
        <f>HYPERLINK("https://dl.dropboxusercontent.com/scl/fi/thbwhnfr8qic9uaa2xhra/ladies-b-1.jpg?rlkey=8y6vir7q0cfuqlkpum4pwd0b6&amp;dl=0","Click to download SizeChart")</f>
      </c>
      <c r="C5882" s="0" t="inlineStr">
        <is>
          <t>Claire French Terry Hoodie</t>
        </is>
      </c>
      <c r="D5882" s="0" t="inlineStr">
        <is>
          <t>'95384</t>
        </is>
      </c>
      <c r="E5882" s="0" t="inlineStr">
        <is>
          <t>CLAIRE:95384D-XL</t>
        </is>
      </c>
      <c r="F5882" s="0" t="inlineStr">
        <is>
          <t>'000000000000</t>
        </is>
      </c>
      <c r="G5882" s="0" t="inlineStr">
        <is>
          <t>WOMENS</t>
        </is>
      </c>
      <c r="H5882" s="0" t="inlineStr">
        <is>
          <t>XL</t>
        </is>
      </c>
      <c r="I5882" s="0">
        <v>49.99</v>
      </c>
      <c r="J5882" s="0">
        <v>8</v>
      </c>
    </row>
    <row r="5883" spans="1:10" customHeight="0">
      <c r="A5883" s="0">
        <f>HYPERLINK("https://dl.dropboxusercontent.com/scl/fi/tjbqwjefdgc29o6ogqwfb/99821set59774.jpg?rlkey=lpz52cfeh069y0iqc788ayovd&amp;dl=0","Click to download Image")</f>
      </c>
      <c r="C5883" s="0" t="inlineStr">
        <is>
          <t>Kyrie Infant Set</t>
        </is>
      </c>
      <c r="D5883" s="0" t="inlineStr">
        <is>
          <t>'99821</t>
        </is>
      </c>
      <c r="E5883" s="0" t="inlineStr">
        <is>
          <t>KYRIE:99821A-0-3M</t>
        </is>
      </c>
      <c r="F5883" s="0" t="inlineStr">
        <is>
          <t>'080009982101</t>
        </is>
      </c>
      <c r="G5883" s="0" t="inlineStr">
        <is>
          <t>INFANT</t>
        </is>
      </c>
      <c r="H5883" s="0" t="inlineStr">
        <is>
          <t>0-3M</t>
        </is>
      </c>
      <c r="I5883" s="0">
        <v>24.99</v>
      </c>
      <c r="J5883" s="0">
        <v>58</v>
      </c>
    </row>
    <row r="5884" spans="1:10" customHeight="0">
      <c r="A5884" s="0">
        <f>HYPERLINK("https://dl.dropboxusercontent.com/scl/fi/tjbqwjefdgc29o6ogqwfb/99821set59774.jpg?rlkey=lpz52cfeh069y0iqc788ayovd&amp;dl=0","Click to download Image")</f>
      </c>
      <c r="C5884" s="0" t="inlineStr">
        <is>
          <t>Kyrie Infant Set</t>
        </is>
      </c>
      <c r="D5884" s="0" t="inlineStr">
        <is>
          <t>'99821</t>
        </is>
      </c>
      <c r="E5884" s="0" t="inlineStr">
        <is>
          <t>KYRIE:99821B-3-6M</t>
        </is>
      </c>
      <c r="F5884" s="0" t="inlineStr">
        <is>
          <t>'080009982102</t>
        </is>
      </c>
      <c r="G5884" s="0" t="inlineStr">
        <is>
          <t>INFANT</t>
        </is>
      </c>
      <c r="H5884" s="0" t="inlineStr">
        <is>
          <t>3-6M</t>
        </is>
      </c>
      <c r="I5884" s="0">
        <v>24.99</v>
      </c>
      <c r="J5884" s="0">
        <v>51</v>
      </c>
    </row>
    <row r="5885" spans="1:10" customHeight="0">
      <c r="A5885" s="0">
        <f>HYPERLINK("https://dl.dropboxusercontent.com/scl/fi/tjbqwjefdgc29o6ogqwfb/99821set59774.jpg?rlkey=lpz52cfeh069y0iqc788ayovd&amp;dl=0","Click to download Image")</f>
      </c>
      <c r="C5885" s="0" t="inlineStr">
        <is>
          <t>Kyrie Infant Set</t>
        </is>
      </c>
      <c r="D5885" s="0" t="inlineStr">
        <is>
          <t>'99821</t>
        </is>
      </c>
      <c r="E5885" s="0" t="inlineStr">
        <is>
          <t>KYRIE:99821C-6-9M</t>
        </is>
      </c>
      <c r="F5885" s="0" t="inlineStr">
        <is>
          <t>'080009982103</t>
        </is>
      </c>
      <c r="G5885" s="0" t="inlineStr">
        <is>
          <t>INFANT</t>
        </is>
      </c>
      <c r="H5885" s="0" t="inlineStr">
        <is>
          <t>6-9M</t>
        </is>
      </c>
      <c r="I5885" s="0">
        <v>24.99</v>
      </c>
      <c r="J5885" s="0">
        <v>48</v>
      </c>
    </row>
    <row r="5886" spans="1:10" customHeight="0">
      <c r="A5886" s="0">
        <f>HYPERLINK("https://dl.dropboxusercontent.com/scl/fi/tjbqwjefdgc29o6ogqwfb/99821set59774.jpg?rlkey=lpz52cfeh069y0iqc788ayovd&amp;dl=0","Click to download Image")</f>
      </c>
      <c r="C5886" s="0" t="inlineStr">
        <is>
          <t>Kyrie Infant Set</t>
        </is>
      </c>
      <c r="D5886" s="0" t="inlineStr">
        <is>
          <t>'99821</t>
        </is>
      </c>
      <c r="E5886" s="0" t="inlineStr">
        <is>
          <t>KYRIE:99821D-9-12M</t>
        </is>
      </c>
      <c r="F5886" s="0" t="inlineStr">
        <is>
          <t>'080009982104</t>
        </is>
      </c>
      <c r="G5886" s="0" t="inlineStr">
        <is>
          <t>INFANT</t>
        </is>
      </c>
      <c r="H5886" s="0" t="inlineStr">
        <is>
          <t>12M</t>
        </is>
      </c>
      <c r="I5886" s="0">
        <v>24.99</v>
      </c>
      <c r="J5886" s="0">
        <v>52</v>
      </c>
    </row>
    <row r="5887" spans="1:10" customHeight="0">
      <c r="A5887" s="0">
        <f>HYPERLINK("https://dl.dropboxusercontent.com/scl/fi/duz7qjldcq1dzjcb2ez86/miriam.jpg?rlkey=cgyvs44zr3mzbh0uunb1polcr&amp;dl=0","Click to download Image")</f>
      </c>
      <c r="B5887" s="0">
        <f>HYPERLINK("https://dl.dropboxusercontent.com/scl/fi/33dg4mldp2g34ne0pi4s6/ladies-b.jpg?rlkey=9m4iic07nn925fvllugjxhfgj&amp;dl=0","Click to download SizeChart")</f>
      </c>
      <c r="C5887" s="0" t="inlineStr">
        <is>
          <t>Miriam Women's Full Zip Hoodie</t>
        </is>
      </c>
      <c r="D5887" s="0" t="inlineStr">
        <is>
          <t>'99241</t>
        </is>
      </c>
      <c r="E5887" s="0" t="inlineStr">
        <is>
          <t>MIRIAM:99241A-S</t>
        </is>
      </c>
      <c r="F5887" s="0" t="inlineStr">
        <is>
          <t>'000000000000</t>
        </is>
      </c>
      <c r="G5887" s="0" t="inlineStr">
        <is>
          <t>WOMENS</t>
        </is>
      </c>
      <c r="H5887" s="0" t="inlineStr">
        <is>
          <t>S</t>
        </is>
      </c>
      <c r="I5887" s="0">
        <v>49.99</v>
      </c>
      <c r="J5887" s="0">
        <v>47</v>
      </c>
    </row>
    <row r="5888" spans="1:10" customHeight="0">
      <c r="A5888" s="0">
        <f>HYPERLINK("https://dl.dropboxusercontent.com/scl/fi/duz7qjldcq1dzjcb2ez86/miriam.jpg?rlkey=cgyvs44zr3mzbh0uunb1polcr&amp;dl=0","Click to download Image")</f>
      </c>
      <c r="B5888" s="0">
        <f>HYPERLINK("https://dl.dropboxusercontent.com/scl/fi/33dg4mldp2g34ne0pi4s6/ladies-b.jpg?rlkey=9m4iic07nn925fvllugjxhfgj&amp;dl=0","Click to download SizeChart")</f>
      </c>
      <c r="C5888" s="0" t="inlineStr">
        <is>
          <t>Miriam Women's Full Zip Hoodie</t>
        </is>
      </c>
      <c r="D5888" s="0" t="inlineStr">
        <is>
          <t>'99241</t>
        </is>
      </c>
      <c r="E5888" s="0" t="inlineStr">
        <is>
          <t>MIRIAM:99241B-M</t>
        </is>
      </c>
      <c r="F5888" s="0" t="inlineStr">
        <is>
          <t>'000000000000</t>
        </is>
      </c>
      <c r="G5888" s="0" t="inlineStr">
        <is>
          <t>WOMENS</t>
        </is>
      </c>
      <c r="H5888" s="0" t="inlineStr">
        <is>
          <t>M</t>
        </is>
      </c>
      <c r="I5888" s="0">
        <v>49.99</v>
      </c>
      <c r="J5888" s="0">
        <v>37</v>
      </c>
    </row>
    <row r="5889" spans="1:10" customHeight="0">
      <c r="A5889" s="0">
        <f>HYPERLINK("https://dl.dropboxusercontent.com/scl/fi/duz7qjldcq1dzjcb2ez86/miriam.jpg?rlkey=cgyvs44zr3mzbh0uunb1polcr&amp;dl=0","Click to download Image")</f>
      </c>
      <c r="B5889" s="0">
        <f>HYPERLINK("https://dl.dropboxusercontent.com/scl/fi/33dg4mldp2g34ne0pi4s6/ladies-b.jpg?rlkey=9m4iic07nn925fvllugjxhfgj&amp;dl=0","Click to download SizeChart")</f>
      </c>
      <c r="C5889" s="0" t="inlineStr">
        <is>
          <t>Miriam Women's Full Zip Hoodie</t>
        </is>
      </c>
      <c r="D5889" s="0" t="inlineStr">
        <is>
          <t>'99241</t>
        </is>
      </c>
      <c r="E5889" s="0" t="inlineStr">
        <is>
          <t>MIRIAM:99241C-L</t>
        </is>
      </c>
      <c r="F5889" s="0" t="inlineStr">
        <is>
          <t>'000000000000</t>
        </is>
      </c>
      <c r="G5889" s="0" t="inlineStr">
        <is>
          <t>WOMENS</t>
        </is>
      </c>
      <c r="H5889" s="0" t="inlineStr">
        <is>
          <t>L</t>
        </is>
      </c>
      <c r="I5889" s="0">
        <v>49.99</v>
      </c>
      <c r="J5889" s="0">
        <v>47</v>
      </c>
    </row>
    <row r="5890" spans="1:10" customHeight="0">
      <c r="A5890" s="0">
        <f>HYPERLINK("https://dl.dropboxusercontent.com/scl/fi/duz7qjldcq1dzjcb2ez86/miriam.jpg?rlkey=cgyvs44zr3mzbh0uunb1polcr&amp;dl=0","Click to download Image")</f>
      </c>
      <c r="B5890" s="0">
        <f>HYPERLINK("https://dl.dropboxusercontent.com/scl/fi/33dg4mldp2g34ne0pi4s6/ladies-b.jpg?rlkey=9m4iic07nn925fvllugjxhfgj&amp;dl=0","Click to download SizeChart")</f>
      </c>
      <c r="C5890" s="0" t="inlineStr">
        <is>
          <t>Miriam Women's Full Zip Hoodie</t>
        </is>
      </c>
      <c r="D5890" s="0" t="inlineStr">
        <is>
          <t>'99241</t>
        </is>
      </c>
      <c r="E5890" s="0" t="inlineStr">
        <is>
          <t>MIRIAM:99241D-XL</t>
        </is>
      </c>
      <c r="F5890" s="0" t="inlineStr">
        <is>
          <t>'000000000000</t>
        </is>
      </c>
      <c r="G5890" s="0" t="inlineStr">
        <is>
          <t>WOMENS</t>
        </is>
      </c>
      <c r="H5890" s="0" t="inlineStr">
        <is>
          <t>XL</t>
        </is>
      </c>
      <c r="I5890" s="0">
        <v>49.99</v>
      </c>
      <c r="J5890" s="0">
        <v>33</v>
      </c>
    </row>
    <row r="5891" spans="1:10" customHeight="0">
      <c r="A5891" s="0">
        <f>HYPERLINK("https://dl.dropboxusercontent.com/scl/fi/duz7qjldcq1dzjcb2ez86/miriam.jpg?rlkey=cgyvs44zr3mzbh0uunb1polcr&amp;dl=0","Click to download Image")</f>
      </c>
      <c r="B5891" s="0">
        <f>HYPERLINK("https://dl.dropboxusercontent.com/scl/fi/33dg4mldp2g34ne0pi4s6/ladies-b.jpg?rlkey=9m4iic07nn925fvllugjxhfgj&amp;dl=0","Click to download SizeChart")</f>
      </c>
      <c r="C5891" s="0" t="inlineStr">
        <is>
          <t>Miriam Women's Full Zip Hoodie</t>
        </is>
      </c>
      <c r="D5891" s="0" t="inlineStr">
        <is>
          <t>'99241</t>
        </is>
      </c>
      <c r="E5891" s="0" t="inlineStr">
        <is>
          <t>MIRIAM:99241E-2XL</t>
        </is>
      </c>
      <c r="F5891" s="0" t="inlineStr">
        <is>
          <t>'000000000000</t>
        </is>
      </c>
      <c r="G5891" s="0" t="inlineStr">
        <is>
          <t>WOMENS</t>
        </is>
      </c>
      <c r="H5891" s="0" t="inlineStr">
        <is>
          <t>2XL</t>
        </is>
      </c>
      <c r="I5891" s="0">
        <v>51.99</v>
      </c>
      <c r="J5891" s="0">
        <v>51</v>
      </c>
    </row>
    <row r="5892" spans="1:10" customHeight="0">
      <c r="A5892" s="0">
        <f>HYPERLINK("https://dl.dropboxusercontent.com/scl/fi/duz7qjldcq1dzjcb2ez86/miriam.jpg?rlkey=cgyvs44zr3mzbh0uunb1polcr&amp;dl=0","Click to download Image")</f>
      </c>
      <c r="B5892" s="0">
        <f>HYPERLINK("https://dl.dropboxusercontent.com/scl/fi/33dg4mldp2g34ne0pi4s6/ladies-b.jpg?rlkey=9m4iic07nn925fvllugjxhfgj&amp;dl=0","Click to download SizeChart")</f>
      </c>
      <c r="C5892" s="0" t="inlineStr">
        <is>
          <t>Miriam Women's Full Zip Hoodie</t>
        </is>
      </c>
      <c r="D5892" s="0" t="inlineStr">
        <is>
          <t>'99241</t>
        </is>
      </c>
      <c r="E5892" s="0" t="inlineStr">
        <is>
          <t>MIRIAM:99241F-3XL</t>
        </is>
      </c>
      <c r="F5892" s="0" t="inlineStr">
        <is>
          <t>'000000000000</t>
        </is>
      </c>
      <c r="G5892" s="0" t="inlineStr">
        <is>
          <t>WOMENS</t>
        </is>
      </c>
      <c r="H5892" s="0" t="inlineStr">
        <is>
          <t>3XL</t>
        </is>
      </c>
      <c r="I5892" s="0">
        <v>51.99</v>
      </c>
      <c r="J5892" s="0">
        <v>9</v>
      </c>
    </row>
    <row r="5893" spans="1:10" customHeight="0">
      <c r="A5893" s="0">
        <f>HYPERLINK("https://dl.dropboxusercontent.com/scl/fi/1t6plq14clyvzohjszkd6/joelt.jpg?rlkey=e3kegiu8h7whkyw82qm7m6bh0&amp;dl=0","Click to download Image")</f>
      </c>
      <c r="C5893" s="0" t="inlineStr">
        <is>
          <t>Joel Men's Snapback</t>
        </is>
      </c>
      <c r="D5893" s="0" t="inlineStr">
        <is>
          <t>'98873</t>
        </is>
      </c>
      <c r="E5893" s="0" t="inlineStr">
        <is>
          <t>JOEL:98873</t>
        </is>
      </c>
      <c r="F5893" s="0" t="inlineStr">
        <is>
          <t>'070009887300</t>
        </is>
      </c>
      <c r="G5893" s="0" t="inlineStr">
        <is>
          <t>MENS</t>
        </is>
      </c>
      <c r="H5893" s="0" t="inlineStr">
        <is>
          <t>STANDARD MENS</t>
        </is>
      </c>
      <c r="I5893" s="0">
        <v>18.99</v>
      </c>
      <c r="J5893" s="0">
        <v>19</v>
      </c>
    </row>
    <row r="5894" spans="1:10" customHeight="0">
      <c r="A5894" s="0">
        <f>HYPERLINK("https://dl.dropboxusercontent.com/scl/fi/4otztq6ws6kf9jdsvgpr8/91787f.jpg?rlkey=mp1w6yj3m6ldn1dvbsynx2fpo&amp;dl=0","Click to download Image")</f>
      </c>
      <c r="C5894" s="0" t="inlineStr">
        <is>
          <t>Ashton Baby Beanies</t>
        </is>
      </c>
      <c r="D5894" s="0" t="inlineStr">
        <is>
          <t>'91787</t>
        </is>
      </c>
      <c r="E5894" s="0" t="inlineStr">
        <is>
          <t>ASHTON:91787</t>
        </is>
      </c>
      <c r="F5894" s="0" t="inlineStr">
        <is>
          <t>'000000000000</t>
        </is>
      </c>
      <c r="G5894" s="0" t="inlineStr">
        <is>
          <t>INFANT</t>
        </is>
      </c>
      <c r="H5894" s="0" t="inlineStr">
        <is>
          <t>INFANT</t>
        </is>
      </c>
      <c r="I5894" s="0">
        <v>9.99</v>
      </c>
      <c r="J5894" s="0">
        <v>132</v>
      </c>
    </row>
    <row r="5895" spans="1:10" customHeight="0">
      <c r="A5895" s="0">
        <f>HYPERLINK("https://dl.dropboxusercontent.com/scl/fi/pp037537f85he72kgztow/91788f46257.jpg?rlkey=9sz35niah5jfptthhaztkdvd1&amp;dl=0","Click to download Image")</f>
      </c>
      <c r="C5895" s="0" t="inlineStr">
        <is>
          <t>Ashton Baby Beanies</t>
        </is>
      </c>
      <c r="D5895" s="0" t="inlineStr">
        <is>
          <t>'91788</t>
        </is>
      </c>
      <c r="E5895" s="0" t="inlineStr">
        <is>
          <t>ASHTON:91788</t>
        </is>
      </c>
      <c r="F5895" s="0" t="inlineStr">
        <is>
          <t>'000000000000</t>
        </is>
      </c>
      <c r="G5895" s="0" t="inlineStr">
        <is>
          <t>INFANT</t>
        </is>
      </c>
      <c r="H5895" s="0" t="inlineStr">
        <is>
          <t>INFANT</t>
        </is>
      </c>
      <c r="I5895" s="0">
        <v>9.99</v>
      </c>
      <c r="J5895" s="0">
        <v>33</v>
      </c>
    </row>
    <row r="5896" spans="1:10" customHeight="0">
      <c r="A5896" s="0">
        <f>HYPERLINK("https://dl.dropboxusercontent.com/scl/fi/f6ji3bncc7bu5aaaiei7q/larissa.jpg?rlkey=vszk884123zkhxrq3bkk71gt0&amp;dl=0","Click to download Image")</f>
      </c>
      <c r="C5896" s="0" t="inlineStr">
        <is>
          <t>Larissa Women's Cap</t>
        </is>
      </c>
      <c r="D5896" s="0" t="inlineStr">
        <is>
          <t>'99717</t>
        </is>
      </c>
      <c r="E5896" s="0" t="inlineStr">
        <is>
          <t>LARISSA:99717</t>
        </is>
      </c>
      <c r="F5896" s="0" t="inlineStr">
        <is>
          <t>'070009971701</t>
        </is>
      </c>
      <c r="G5896" s="0" t="inlineStr">
        <is>
          <t>WOMENS</t>
        </is>
      </c>
      <c r="H5896" s="0" t="inlineStr">
        <is>
          <t>WOMENS</t>
        </is>
      </c>
      <c r="I5896" s="0">
        <v>20.99</v>
      </c>
      <c r="J5896" s="0">
        <v>3</v>
      </c>
    </row>
    <row r="5897" spans="1:10" customHeight="0">
      <c r="A5897" s="0">
        <f>HYPERLINK("https://dl.dropboxusercontent.com/scl/fi/s2wxf5m0lpsqfvsv6tfbf/alaina.jpg?rlkey=a3m1sobp4c8wd3nm24yxg9guf&amp;dl=0","Click to download Image")</f>
      </c>
      <c r="C5897" s="0" t="inlineStr">
        <is>
          <t>Alaina Women's Cap</t>
        </is>
      </c>
      <c r="D5897" s="0" t="inlineStr">
        <is>
          <t>'97828</t>
        </is>
      </c>
      <c r="E5897" s="0" t="inlineStr">
        <is>
          <t>ALAINA:97828</t>
        </is>
      </c>
      <c r="F5897" s="0" t="inlineStr">
        <is>
          <t>'070009782801</t>
        </is>
      </c>
      <c r="G5897" s="0" t="inlineStr">
        <is>
          <t>WOMENS</t>
        </is>
      </c>
      <c r="H5897" s="0" t="inlineStr">
        <is>
          <t>WOMENS</t>
        </is>
      </c>
      <c r="I5897" s="0">
        <v>23.99</v>
      </c>
      <c r="J5897" s="0">
        <v>60</v>
      </c>
    </row>
    <row r="5898" spans="1:10" customHeight="0">
      <c r="A5898" s="0">
        <f>HYPERLINK("https://dl.dropboxusercontent.com/scl/fi/pfkeobllktszd5nn0atgn/120792-f.jpg?rlkey=5pe10ed30qljoe4sll4cu15wt&amp;dl=0","Click to download Image")</f>
      </c>
      <c r="C5898" s="0" t="inlineStr">
        <is>
          <t>Halloween Reusable Face Mask</t>
        </is>
      </c>
      <c r="D5898" s="0" t="inlineStr">
        <is>
          <t>'120792</t>
        </is>
      </c>
      <c r="E5898" s="0" t="inlineStr">
        <is>
          <t>HALLOWEEN MASKS:120792</t>
        </is>
      </c>
      <c r="F5898" s="0" t="inlineStr">
        <is>
          <t>'000000000000</t>
        </is>
      </c>
      <c r="I5898" s="0">
        <v>7.99</v>
      </c>
      <c r="J5898" s="0">
        <v>20</v>
      </c>
    </row>
    <row r="5899" spans="1:10" customHeight="0">
      <c r="A5899" s="0">
        <f>HYPERLINK("https://dl.dropboxusercontent.com/scl/fi/c1dc3n1vsrcri34z4htrf/dsc0128edit.jpg?rlkey=awtty4r0znwsp8zynxn70fido&amp;dl=0","Click to download Image")</f>
      </c>
      <c r="C5899" s="0" t="inlineStr">
        <is>
          <t>Halloween Reusable Face Mask</t>
        </is>
      </c>
      <c r="D5899" s="0" t="inlineStr">
        <is>
          <t>'120794</t>
        </is>
      </c>
      <c r="E5899" s="0" t="inlineStr">
        <is>
          <t>HALLOWEEN MASKS:120794</t>
        </is>
      </c>
      <c r="F5899" s="0" t="inlineStr">
        <is>
          <t>'000000000000</t>
        </is>
      </c>
      <c r="I5899" s="0">
        <v>7.99</v>
      </c>
      <c r="J5899" s="0">
        <v>19</v>
      </c>
    </row>
    <row r="5900" spans="1:10" customHeight="0">
      <c r="A5900" s="0">
        <f>HYPERLINK("https://dl.dropboxusercontent.com/scl/fi/74pl1f72b6eb5b4ogh1e0/120788-f.jpg?rlkey=c0ksijaekunyuajnhpizsrunu&amp;dl=0","Click to download Image")</f>
      </c>
      <c r="C5900" s="0" t="inlineStr">
        <is>
          <t>Halloween Reusable Face Mask</t>
        </is>
      </c>
      <c r="D5900" s="0" t="inlineStr">
        <is>
          <t>'120788</t>
        </is>
      </c>
      <c r="E5900" s="0" t="inlineStr">
        <is>
          <t>HALLOWEEN MASKS:120788</t>
        </is>
      </c>
      <c r="F5900" s="0" t="inlineStr">
        <is>
          <t>'000000000000</t>
        </is>
      </c>
      <c r="I5900" s="0">
        <v>7.99</v>
      </c>
      <c r="J5900" s="0">
        <v>21</v>
      </c>
    </row>
    <row r="5901" spans="1:10" customHeight="0">
      <c r="A5901" s="0">
        <f>HYPERLINK("https://dl.dropboxusercontent.com/scl/fi/8j1gkl302qdwwegapapqr/120790-f.jpg?rlkey=ib6vis3c7hlo9q6k9h42g4ric&amp;dl=0","Click to download Image")</f>
      </c>
      <c r="C5901" s="0" t="inlineStr">
        <is>
          <t>Halloween Reusable Face Mask</t>
        </is>
      </c>
      <c r="D5901" s="0" t="inlineStr">
        <is>
          <t>'120790</t>
        </is>
      </c>
      <c r="E5901" s="0" t="inlineStr">
        <is>
          <t>HALLOWEEN MASKS:120790</t>
        </is>
      </c>
      <c r="F5901" s="0" t="inlineStr">
        <is>
          <t>'000000000000</t>
        </is>
      </c>
      <c r="I5901" s="0">
        <v>7.99</v>
      </c>
      <c r="J5901" s="0">
        <v>20</v>
      </c>
    </row>
    <row r="5902" spans="1:10" customHeight="0">
      <c r="A5902" s="0">
        <f>HYPERLINK("https://dl.dropboxusercontent.com/scl/fi/art2rjf1kmzao5grax4wl/patriotic-mask-gif.gif?rlkey=4iqscrh7a7scjjc7culatza6r&amp;dl=0","Click to download Image")</f>
      </c>
      <c r="C5902" s="0" t="inlineStr">
        <is>
          <t>Patriotic Reusable Face Mask 6pk</t>
        </is>
      </c>
      <c r="D5902" s="0" t="inlineStr">
        <is>
          <t>'117905</t>
        </is>
      </c>
      <c r="E5902" s="0" t="inlineStr">
        <is>
          <t>PATRIOTIC PRINTED FACE MASK:117905PK</t>
        </is>
      </c>
      <c r="F5902" s="0" t="inlineStr">
        <is>
          <t>'000000000000</t>
        </is>
      </c>
      <c r="I5902" s="0">
        <v>49.99</v>
      </c>
      <c r="J5902" s="0">
        <v>27</v>
      </c>
    </row>
    <row r="5903" spans="1:10" customHeight="0">
      <c r="A5903" s="0">
        <f>HYPERLINK("https://dl.dropboxusercontent.com/scl/fi/dbt7gkkdfve0tt4wvawzn/94579af15865.jpg?rlkey=7hp1l9t2jm9hwdrlqaq2kx3rq&amp;dl=0","Click to download Image")</f>
      </c>
      <c r="C5903" s="0" t="inlineStr">
        <is>
          <t>Glitz Girls Hoodie</t>
        </is>
      </c>
      <c r="D5903" s="0" t="inlineStr">
        <is>
          <t>'94579</t>
        </is>
      </c>
      <c r="E5903" s="0" t="inlineStr">
        <is>
          <t>GLITZ:94579A-S</t>
        </is>
      </c>
      <c r="F5903" s="0" t="inlineStr">
        <is>
          <t>'080009457901</t>
        </is>
      </c>
      <c r="G5903" s="0" t="inlineStr">
        <is>
          <t>YOUTH</t>
        </is>
      </c>
      <c r="H5903" s="0" t="inlineStr">
        <is>
          <t>YS</t>
        </is>
      </c>
      <c r="I5903" s="0">
        <v>39.99</v>
      </c>
      <c r="J5903" s="0">
        <v>35</v>
      </c>
    </row>
    <row r="5904" spans="1:10" customHeight="0">
      <c r="A5904" s="0">
        <f>HYPERLINK("https://dl.dropboxusercontent.com/scl/fi/dbt7gkkdfve0tt4wvawzn/94579af15865.jpg?rlkey=7hp1l9t2jm9hwdrlqaq2kx3rq&amp;dl=0","Click to download Image")</f>
      </c>
      <c r="C5904" s="0" t="inlineStr">
        <is>
          <t>Glitz Girls Hoodie</t>
        </is>
      </c>
      <c r="D5904" s="0" t="inlineStr">
        <is>
          <t>'94579</t>
        </is>
      </c>
      <c r="E5904" s="0" t="inlineStr">
        <is>
          <t>GLITZ:94579B-M</t>
        </is>
      </c>
      <c r="F5904" s="0" t="inlineStr">
        <is>
          <t>'080009457902</t>
        </is>
      </c>
      <c r="G5904" s="0" t="inlineStr">
        <is>
          <t>YOUTH</t>
        </is>
      </c>
      <c r="H5904" s="0" t="inlineStr">
        <is>
          <t>YM</t>
        </is>
      </c>
      <c r="I5904" s="0">
        <v>39.99</v>
      </c>
      <c r="J5904" s="0">
        <v>31</v>
      </c>
    </row>
    <row r="5905" spans="1:10" customHeight="0">
      <c r="A5905" s="0">
        <f>HYPERLINK("https://dl.dropboxusercontent.com/scl/fi/dbt7gkkdfve0tt4wvawzn/94579af15865.jpg?rlkey=7hp1l9t2jm9hwdrlqaq2kx3rq&amp;dl=0","Click to download Image")</f>
      </c>
      <c r="C5905" s="0" t="inlineStr">
        <is>
          <t>Glitz Girls Hoodie</t>
        </is>
      </c>
      <c r="D5905" s="0" t="inlineStr">
        <is>
          <t>'94579</t>
        </is>
      </c>
      <c r="E5905" s="0" t="inlineStr">
        <is>
          <t>GLITZ:94579C-L</t>
        </is>
      </c>
      <c r="F5905" s="0" t="inlineStr">
        <is>
          <t>'080009457903</t>
        </is>
      </c>
      <c r="G5905" s="0" t="inlineStr">
        <is>
          <t>YOUTH</t>
        </is>
      </c>
      <c r="H5905" s="0" t="inlineStr">
        <is>
          <t>YL</t>
        </is>
      </c>
      <c r="I5905" s="0">
        <v>39.99</v>
      </c>
      <c r="J5905" s="0">
        <v>35</v>
      </c>
    </row>
    <row r="5906" spans="1:10" customHeight="0">
      <c r="A5906" s="0">
        <f>HYPERLINK("https://dl.dropboxusercontent.com/scl/fi/dbt7gkkdfve0tt4wvawzn/94579af15865.jpg?rlkey=7hp1l9t2jm9hwdrlqaq2kx3rq&amp;dl=0","Click to download Image")</f>
      </c>
      <c r="C5906" s="0" t="inlineStr">
        <is>
          <t>Glitz Girls Hoodie</t>
        </is>
      </c>
      <c r="D5906" s="0" t="inlineStr">
        <is>
          <t>'94579</t>
        </is>
      </c>
      <c r="E5906" s="0" t="inlineStr">
        <is>
          <t>GLITZ:94579D-XL</t>
        </is>
      </c>
      <c r="F5906" s="0" t="inlineStr">
        <is>
          <t>'080009457904</t>
        </is>
      </c>
      <c r="G5906" s="0" t="inlineStr">
        <is>
          <t>YOUTH</t>
        </is>
      </c>
      <c r="H5906" s="0" t="inlineStr">
        <is>
          <t>YXL</t>
        </is>
      </c>
      <c r="I5906" s="0">
        <v>39.99</v>
      </c>
      <c r="J5906" s="0">
        <v>55</v>
      </c>
    </row>
    <row r="5907" spans="1:10" customHeight="0">
      <c r="A5907" s="0">
        <f>HYPERLINK("https://dl.dropboxusercontent.com/scl/fi/gfi2y8zhds33gkewo22dz/kate.jpg?rlkey=tn8rk3pn1srda3y5e6krhwbd7&amp;dl=0","Click to download Image")</f>
      </c>
      <c r="C5907" s="0" t="inlineStr">
        <is>
          <t>Kate Youth Full Zip Hoodie</t>
        </is>
      </c>
      <c r="D5907" s="0" t="inlineStr">
        <is>
          <t>'95908</t>
        </is>
      </c>
      <c r="E5907" s="0" t="inlineStr">
        <is>
          <t>KATE:95908A-S</t>
        </is>
      </c>
      <c r="F5907" s="0" t="inlineStr">
        <is>
          <t>'080009590801</t>
        </is>
      </c>
      <c r="G5907" s="0" t="inlineStr">
        <is>
          <t>YOUTH</t>
        </is>
      </c>
      <c r="H5907" s="0" t="inlineStr">
        <is>
          <t>YS</t>
        </is>
      </c>
      <c r="I5907" s="0">
        <v>26.99</v>
      </c>
      <c r="J5907" s="0">
        <v>64</v>
      </c>
    </row>
    <row r="5908" spans="1:10" customHeight="0">
      <c r="A5908" s="0">
        <f>HYPERLINK("https://dl.dropboxusercontent.com/scl/fi/gfi2y8zhds33gkewo22dz/kate.jpg?rlkey=tn8rk3pn1srda3y5e6krhwbd7&amp;dl=0","Click to download Image")</f>
      </c>
      <c r="C5908" s="0" t="inlineStr">
        <is>
          <t>Kate Youth Full Zip Hoodie</t>
        </is>
      </c>
      <c r="D5908" s="0" t="inlineStr">
        <is>
          <t>'95908</t>
        </is>
      </c>
      <c r="E5908" s="0" t="inlineStr">
        <is>
          <t>KATE:95908B-M</t>
        </is>
      </c>
      <c r="F5908" s="0" t="inlineStr">
        <is>
          <t>'080009590802</t>
        </is>
      </c>
      <c r="G5908" s="0" t="inlineStr">
        <is>
          <t>YOUTH</t>
        </is>
      </c>
      <c r="H5908" s="0" t="inlineStr">
        <is>
          <t>YM</t>
        </is>
      </c>
      <c r="I5908" s="0">
        <v>26.99</v>
      </c>
      <c r="J5908" s="0">
        <v>52</v>
      </c>
    </row>
    <row r="5909" spans="1:10" customHeight="0">
      <c r="A5909" s="0">
        <f>HYPERLINK("https://dl.dropboxusercontent.com/scl/fi/gfi2y8zhds33gkewo22dz/kate.jpg?rlkey=tn8rk3pn1srda3y5e6krhwbd7&amp;dl=0","Click to download Image")</f>
      </c>
      <c r="C5909" s="0" t="inlineStr">
        <is>
          <t>Kate Youth Full Zip Hoodie</t>
        </is>
      </c>
      <c r="D5909" s="0" t="inlineStr">
        <is>
          <t>'95908</t>
        </is>
      </c>
      <c r="E5909" s="0" t="inlineStr">
        <is>
          <t>KATE:95908C-L</t>
        </is>
      </c>
      <c r="F5909" s="0" t="inlineStr">
        <is>
          <t>'080009590803</t>
        </is>
      </c>
      <c r="G5909" s="0" t="inlineStr">
        <is>
          <t>YOUTH</t>
        </is>
      </c>
      <c r="H5909" s="0" t="inlineStr">
        <is>
          <t>YL</t>
        </is>
      </c>
      <c r="I5909" s="0">
        <v>26.99</v>
      </c>
      <c r="J5909" s="0">
        <v>60</v>
      </c>
    </row>
    <row r="5910" spans="1:10" customHeight="0">
      <c r="A5910" s="0">
        <f>HYPERLINK("https://dl.dropboxusercontent.com/scl/fi/gfi2y8zhds33gkewo22dz/kate.jpg?rlkey=tn8rk3pn1srda3y5e6krhwbd7&amp;dl=0","Click to download Image")</f>
      </c>
      <c r="C5910" s="0" t="inlineStr">
        <is>
          <t>Kate Youth Full Zip Hoodie</t>
        </is>
      </c>
      <c r="D5910" s="0" t="inlineStr">
        <is>
          <t>'95908</t>
        </is>
      </c>
      <c r="E5910" s="0" t="inlineStr">
        <is>
          <t>KATE:95908D-XL</t>
        </is>
      </c>
      <c r="F5910" s="0" t="inlineStr">
        <is>
          <t>'080009590804</t>
        </is>
      </c>
      <c r="G5910" s="0" t="inlineStr">
        <is>
          <t>YOUTH</t>
        </is>
      </c>
      <c r="H5910" s="0" t="inlineStr">
        <is>
          <t>YXL</t>
        </is>
      </c>
      <c r="I5910" s="0">
        <v>26.99</v>
      </c>
      <c r="J5910" s="0">
        <v>72</v>
      </c>
    </row>
    <row r="5911" spans="1:10" customHeight="0">
      <c r="A5911" s="0">
        <f>HYPERLINK("https://dl.dropboxusercontent.com/scl/fi/fnpt7kvzi3zca1fhm1dyz/checkers.jpg?rlkey=d4wixilbw2gvah3qo1kubm06o&amp;dl=0","Click to download Image")</f>
      </c>
      <c r="C5911" s="0" t="inlineStr">
        <is>
          <t>Checkers Men's Hip Hop Cap</t>
        </is>
      </c>
      <c r="D5911" s="0" t="inlineStr">
        <is>
          <t>'95062</t>
        </is>
      </c>
      <c r="E5911" s="0" t="inlineStr">
        <is>
          <t>CHECKERS:95062</t>
        </is>
      </c>
      <c r="F5911" s="0" t="inlineStr">
        <is>
          <t>'000000000000</t>
        </is>
      </c>
      <c r="G5911" s="0" t="inlineStr">
        <is>
          <t>MENS</t>
        </is>
      </c>
      <c r="H5911" s="0" t="inlineStr">
        <is>
          <t>STANDARD MENS</t>
        </is>
      </c>
      <c r="I5911" s="0">
        <v>18.99</v>
      </c>
      <c r="J5911" s="0">
        <v>60</v>
      </c>
    </row>
    <row r="5912" spans="1:10" customHeight="0">
      <c r="A5912" s="0">
        <f>HYPERLINK("https://dl.dropboxusercontent.com/scl/fi/m2zgdzbprj5xcukx54njt/dsc8130edit.jpg?rlkey=15ee5s5ue5352fyezzhi1i1dr&amp;dl=0","Click to download Image")</f>
      </c>
      <c r="C5912" s="0" t="inlineStr">
        <is>
          <t>Mr. And Mrs. Silk Face Masks</t>
        </is>
      </c>
      <c r="D5912" s="0" t="inlineStr">
        <is>
          <t>'121016MR</t>
        </is>
      </c>
      <c r="E5912" s="0" t="inlineStr">
        <is>
          <t>MR SILK MASK:121016MR</t>
        </is>
      </c>
      <c r="F5912" s="0" t="inlineStr">
        <is>
          <t>'000000000000</t>
        </is>
      </c>
      <c r="I5912" s="0">
        <v>11.98</v>
      </c>
      <c r="J5912" s="0">
        <v>90</v>
      </c>
    </row>
    <row r="5913" spans="1:10" customHeight="0">
      <c r="A5913" s="0">
        <f>HYPERLINK("https://dl.dropboxusercontent.com/scl/fi/5ysx2k05q5f8ltzyxldsr/121016-af1.jpg?rlkey=s0isb6am14gwjkf95a4rqgg1h&amp;dl=0","Click to download Image")</f>
      </c>
      <c r="C5913" s="0" t="inlineStr">
        <is>
          <t>Mr. And Mrs. Silk Face Masks</t>
        </is>
      </c>
      <c r="D5913" s="0" t="inlineStr">
        <is>
          <t>'121016MRS</t>
        </is>
      </c>
      <c r="E5913" s="0" t="inlineStr">
        <is>
          <t>MRS SILK MASK:121016MRS</t>
        </is>
      </c>
      <c r="F5913" s="0" t="inlineStr">
        <is>
          <t>'000000000000</t>
        </is>
      </c>
      <c r="I5913" s="0">
        <v>11.98</v>
      </c>
      <c r="J5913" s="0">
        <v>90</v>
      </c>
    </row>
    <row r="5914" spans="1:10" customHeight="0">
      <c r="A5914" s="0">
        <f>HYPERLINK("https://dl.dropboxusercontent.com/scl/fi/i3s3cwcte8upouxz89io0/isabella.jpg?rlkey=yc3auaxcoib1pbm21k4oerms5&amp;dl=0","Click to download Image")</f>
      </c>
      <c r="C5914" s="0" t="inlineStr">
        <is>
          <t>Isabella Studio Duffle</t>
        </is>
      </c>
      <c r="D5914" s="0" t="inlineStr">
        <is>
          <t>'95974</t>
        </is>
      </c>
      <c r="E5914" s="0" t="inlineStr">
        <is>
          <t>ISABELLA:95974</t>
        </is>
      </c>
      <c r="F5914" s="0" t="inlineStr">
        <is>
          <t>'090009597401</t>
        </is>
      </c>
      <c r="I5914" s="0">
        <v>48.99</v>
      </c>
      <c r="J5914" s="0">
        <v>395</v>
      </c>
    </row>
    <row r="5915" spans="1:10" customHeight="0">
      <c r="A5915" s="0">
        <f>HYPERLINK("https://dl.dropboxusercontent.com/scl/fi/s17wi72ffa7x1jtyy7buw/comic.jpg?rlkey=8um1ebfcww2hfnlzinvfcxr4c&amp;dl=0","Click to download Image")</f>
      </c>
      <c r="C5915" s="0" t="inlineStr">
        <is>
          <t>Comic Youth Cap</t>
        </is>
      </c>
      <c r="D5915" s="0" t="inlineStr">
        <is>
          <t>'92712</t>
        </is>
      </c>
      <c r="E5915" s="0" t="inlineStr">
        <is>
          <t>COMIC:92712</t>
        </is>
      </c>
      <c r="F5915" s="0" t="inlineStr">
        <is>
          <t>'000000000000</t>
        </is>
      </c>
      <c r="G5915" s="0" t="inlineStr">
        <is>
          <t>YOUTH</t>
        </is>
      </c>
      <c r="H5915" s="0" t="inlineStr">
        <is>
          <t>YOUTH</t>
        </is>
      </c>
      <c r="I5915" s="0">
        <v>9.99</v>
      </c>
      <c r="J5915" s="0">
        <v>212</v>
      </c>
    </row>
    <row r="5916" spans="1:10" customHeight="0">
      <c r="A5916" s="0">
        <f>HYPERLINK("https://dl.dropboxusercontent.com/scl/fi/y1v9kz2lwvqt3dvvqpt0x/105412-af.jpg?rlkey=44kt3grv4dzzc4zfcenv59qae&amp;dl=0","Click to download Image")</f>
      </c>
      <c r="B5916" s="0">
        <f>HYPERLINK("https://dl.dropboxusercontent.com/scl/fi/ru356u9gy27afvm8wrl3o/graphic-update2022-womens.jpg?rlkey=n84tv2sc15ypp8ieed9jitqrc&amp;dl=0","Click to download SizeChart")</f>
      </c>
      <c r="C5916" s="0" t="inlineStr">
        <is>
          <t>Foster Women's Quarter Zip</t>
        </is>
      </c>
      <c r="D5916" s="0" t="inlineStr">
        <is>
          <t>'105412</t>
        </is>
      </c>
      <c r="E5916" s="0" t="inlineStr">
        <is>
          <t>FOSTER:105412A-S</t>
        </is>
      </c>
      <c r="F5916" s="0" t="inlineStr">
        <is>
          <t>'000000000000</t>
        </is>
      </c>
      <c r="G5916" s="0" t="inlineStr">
        <is>
          <t>WOMENS</t>
        </is>
      </c>
      <c r="H5916" s="0" t="inlineStr">
        <is>
          <t>S</t>
        </is>
      </c>
      <c r="I5916" s="0">
        <v>29.99</v>
      </c>
      <c r="J5916" s="0">
        <v>42</v>
      </c>
    </row>
    <row r="5917" spans="1:10" customHeight="0">
      <c r="A5917" s="0">
        <f>HYPERLINK("https://dl.dropboxusercontent.com/scl/fi/y1v9kz2lwvqt3dvvqpt0x/105412-af.jpg?rlkey=44kt3grv4dzzc4zfcenv59qae&amp;dl=0","Click to download Image")</f>
      </c>
      <c r="B5917" s="0">
        <f>HYPERLINK("https://dl.dropboxusercontent.com/scl/fi/ru356u9gy27afvm8wrl3o/graphic-update2022-womens.jpg?rlkey=n84tv2sc15ypp8ieed9jitqrc&amp;dl=0","Click to download SizeChart")</f>
      </c>
      <c r="C5917" s="0" t="inlineStr">
        <is>
          <t>Foster Women's Quarter Zip</t>
        </is>
      </c>
      <c r="D5917" s="0" t="inlineStr">
        <is>
          <t>'105412</t>
        </is>
      </c>
      <c r="E5917" s="0" t="inlineStr">
        <is>
          <t>FOSTER:105412B-M</t>
        </is>
      </c>
      <c r="F5917" s="0" t="inlineStr">
        <is>
          <t>'000000000000</t>
        </is>
      </c>
      <c r="G5917" s="0" t="inlineStr">
        <is>
          <t>WOMENS</t>
        </is>
      </c>
      <c r="H5917" s="0" t="inlineStr">
        <is>
          <t>M</t>
        </is>
      </c>
      <c r="I5917" s="0">
        <v>29.99</v>
      </c>
      <c r="J5917" s="0">
        <v>26</v>
      </c>
    </row>
    <row r="5918" spans="1:10" customHeight="0">
      <c r="A5918" s="0">
        <f>HYPERLINK("https://dl.dropboxusercontent.com/scl/fi/y1v9kz2lwvqt3dvvqpt0x/105412-af.jpg?rlkey=44kt3grv4dzzc4zfcenv59qae&amp;dl=0","Click to download Image")</f>
      </c>
      <c r="B5918" s="0">
        <f>HYPERLINK("https://dl.dropboxusercontent.com/scl/fi/ru356u9gy27afvm8wrl3o/graphic-update2022-womens.jpg?rlkey=n84tv2sc15ypp8ieed9jitqrc&amp;dl=0","Click to download SizeChart")</f>
      </c>
      <c r="C5918" s="0" t="inlineStr">
        <is>
          <t>Foster Women's Quarter Zip</t>
        </is>
      </c>
      <c r="D5918" s="0" t="inlineStr">
        <is>
          <t>'105412</t>
        </is>
      </c>
      <c r="E5918" s="0" t="inlineStr">
        <is>
          <t>FOSTER:105412C-L</t>
        </is>
      </c>
      <c r="F5918" s="0" t="inlineStr">
        <is>
          <t>'000000000000</t>
        </is>
      </c>
      <c r="G5918" s="0" t="inlineStr">
        <is>
          <t>WOMENS</t>
        </is>
      </c>
      <c r="H5918" s="0" t="inlineStr">
        <is>
          <t>L</t>
        </is>
      </c>
      <c r="I5918" s="0">
        <v>29.99</v>
      </c>
      <c r="J5918" s="0">
        <v>3</v>
      </c>
    </row>
    <row r="5919" spans="1:10" customHeight="0">
      <c r="A5919" s="0">
        <f>HYPERLINK("https://dl.dropboxusercontent.com/scl/fi/y1v9kz2lwvqt3dvvqpt0x/105412-af.jpg?rlkey=44kt3grv4dzzc4zfcenv59qae&amp;dl=0","Click to download Image")</f>
      </c>
      <c r="B5919" s="0">
        <f>HYPERLINK("https://dl.dropboxusercontent.com/scl/fi/ru356u9gy27afvm8wrl3o/graphic-update2022-womens.jpg?rlkey=n84tv2sc15ypp8ieed9jitqrc&amp;dl=0","Click to download SizeChart")</f>
      </c>
      <c r="C5919" s="0" t="inlineStr">
        <is>
          <t>Foster Women's Quarter Zip</t>
        </is>
      </c>
      <c r="D5919" s="0" t="inlineStr">
        <is>
          <t>'105412</t>
        </is>
      </c>
      <c r="E5919" s="0" t="inlineStr">
        <is>
          <t>FOSTER:105412D-XL</t>
        </is>
      </c>
      <c r="F5919" s="0" t="inlineStr">
        <is>
          <t>'000000000000</t>
        </is>
      </c>
      <c r="G5919" s="0" t="inlineStr">
        <is>
          <t>WOMENS</t>
        </is>
      </c>
      <c r="H5919" s="0" t="inlineStr">
        <is>
          <t>XL</t>
        </is>
      </c>
      <c r="I5919" s="0">
        <v>29.99</v>
      </c>
      <c r="J5919" s="0">
        <v>14</v>
      </c>
    </row>
    <row r="5920" spans="1:10" customHeight="0">
      <c r="A5920" s="0">
        <f>HYPERLINK("https://dl.dropboxusercontent.com/scl/fi/y1v9kz2lwvqt3dvvqpt0x/105412-af.jpg?rlkey=44kt3grv4dzzc4zfcenv59qae&amp;dl=0","Click to download Image")</f>
      </c>
      <c r="B5920" s="0">
        <f>HYPERLINK("https://dl.dropboxusercontent.com/scl/fi/ru356u9gy27afvm8wrl3o/graphic-update2022-womens.jpg?rlkey=n84tv2sc15ypp8ieed9jitqrc&amp;dl=0","Click to download SizeChart")</f>
      </c>
      <c r="C5920" s="0" t="inlineStr">
        <is>
          <t>Foster Women's Quarter Zip</t>
        </is>
      </c>
      <c r="D5920" s="0" t="inlineStr">
        <is>
          <t>'105412</t>
        </is>
      </c>
      <c r="E5920" s="0" t="inlineStr">
        <is>
          <t>FOSTER:105412E-2XL</t>
        </is>
      </c>
      <c r="F5920" s="0" t="inlineStr">
        <is>
          <t>'000000000000</t>
        </is>
      </c>
      <c r="G5920" s="0" t="inlineStr">
        <is>
          <t>WOMENS</t>
        </is>
      </c>
      <c r="H5920" s="0" t="inlineStr">
        <is>
          <t>2XL</t>
        </is>
      </c>
      <c r="I5920" s="0">
        <v>31.99</v>
      </c>
      <c r="J5920" s="0">
        <v>33</v>
      </c>
    </row>
    <row r="5921" spans="1:10" customHeight="0">
      <c r="A5921" s="0">
        <f>HYPERLINK("https://dl.dropboxusercontent.com/scl/fi/y1v9kz2lwvqt3dvvqpt0x/105412-af.jpg?rlkey=44kt3grv4dzzc4zfcenv59qae&amp;dl=0","Click to download Image")</f>
      </c>
      <c r="B5921" s="0">
        <f>HYPERLINK("https://dl.dropboxusercontent.com/scl/fi/ru356u9gy27afvm8wrl3o/graphic-update2022-womens.jpg?rlkey=n84tv2sc15ypp8ieed9jitqrc&amp;dl=0","Click to download SizeChart")</f>
      </c>
      <c r="C5921" s="0" t="inlineStr">
        <is>
          <t>Foster Women's Quarter Zip</t>
        </is>
      </c>
      <c r="D5921" s="0" t="inlineStr">
        <is>
          <t>'105412</t>
        </is>
      </c>
      <c r="E5921" s="0" t="inlineStr">
        <is>
          <t>FOSTER:105412F-3XL</t>
        </is>
      </c>
      <c r="F5921" s="0" t="inlineStr">
        <is>
          <t>'000000000000</t>
        </is>
      </c>
      <c r="G5921" s="0" t="inlineStr">
        <is>
          <t>WOMENS</t>
        </is>
      </c>
      <c r="H5921" s="0" t="inlineStr">
        <is>
          <t>3XL</t>
        </is>
      </c>
      <c r="I5921" s="0">
        <v>31.99</v>
      </c>
      <c r="J5921" s="0">
        <v>6</v>
      </c>
    </row>
    <row r="5922" spans="1:10" customHeight="0">
      <c r="A5922" s="0">
        <f>HYPERLINK("https://dl.dropboxusercontent.com/scl/fi/ebanhfasy6u5obld8z27c/105475-af.jpg?rlkey=se7nxq833l67r22gqgg7wpa1j&amp;dl=0","Click to download Image")</f>
      </c>
      <c r="B5922" s="0">
        <f>HYPERLINK("https://dl.dropboxusercontent.com/scl/fi/ru356u9gy27afvm8wrl3o/graphic-update2022-womens.jpg?rlkey=n84tv2sc15ypp8ieed9jitqrc&amp;dl=0","Click to download SizeChart")</f>
      </c>
      <c r="C5922" s="0" t="inlineStr">
        <is>
          <t>Foster Women's Quarter Zip</t>
        </is>
      </c>
      <c r="D5922" s="0" t="inlineStr">
        <is>
          <t>'105475</t>
        </is>
      </c>
      <c r="E5922" s="0" t="inlineStr">
        <is>
          <t>FOSTER:105475A-S</t>
        </is>
      </c>
      <c r="F5922" s="0" t="inlineStr">
        <is>
          <t>'000000000000</t>
        </is>
      </c>
      <c r="G5922" s="0" t="inlineStr">
        <is>
          <t>WOMENS</t>
        </is>
      </c>
      <c r="H5922" s="0" t="inlineStr">
        <is>
          <t>S</t>
        </is>
      </c>
      <c r="I5922" s="0">
        <v>29.99</v>
      </c>
      <c r="J5922" s="0">
        <v>13</v>
      </c>
    </row>
    <row r="5923" spans="1:10" customHeight="0">
      <c r="A5923" s="0">
        <f>HYPERLINK("https://dl.dropboxusercontent.com/scl/fi/ebanhfasy6u5obld8z27c/105475-af.jpg?rlkey=se7nxq833l67r22gqgg7wpa1j&amp;dl=0","Click to download Image")</f>
      </c>
      <c r="B5923" s="0">
        <f>HYPERLINK("https://dl.dropboxusercontent.com/scl/fi/ru356u9gy27afvm8wrl3o/graphic-update2022-womens.jpg?rlkey=n84tv2sc15ypp8ieed9jitqrc&amp;dl=0","Click to download SizeChart")</f>
      </c>
      <c r="C5923" s="0" t="inlineStr">
        <is>
          <t>Foster Women's Quarter Zip</t>
        </is>
      </c>
      <c r="D5923" s="0" t="inlineStr">
        <is>
          <t>'105475</t>
        </is>
      </c>
      <c r="E5923" s="0" t="inlineStr">
        <is>
          <t>FOSTER:105475B-M</t>
        </is>
      </c>
      <c r="F5923" s="0" t="inlineStr">
        <is>
          <t>'000000000000</t>
        </is>
      </c>
      <c r="G5923" s="0" t="inlineStr">
        <is>
          <t>WOMENS</t>
        </is>
      </c>
      <c r="H5923" s="0" t="inlineStr">
        <is>
          <t>M</t>
        </is>
      </c>
      <c r="I5923" s="0">
        <v>29.99</v>
      </c>
      <c r="J5923" s="0">
        <v>11</v>
      </c>
    </row>
    <row r="5924" spans="1:10" customHeight="0">
      <c r="A5924" s="0">
        <f>HYPERLINK("https://dl.dropboxusercontent.com/scl/fi/ebanhfasy6u5obld8z27c/105475-af.jpg?rlkey=se7nxq833l67r22gqgg7wpa1j&amp;dl=0","Click to download Image")</f>
      </c>
      <c r="B5924" s="0">
        <f>HYPERLINK("https://dl.dropboxusercontent.com/scl/fi/ru356u9gy27afvm8wrl3o/graphic-update2022-womens.jpg?rlkey=n84tv2sc15ypp8ieed9jitqrc&amp;dl=0","Click to download SizeChart")</f>
      </c>
      <c r="C5924" s="0" t="inlineStr">
        <is>
          <t>Foster Women's Quarter Zip</t>
        </is>
      </c>
      <c r="D5924" s="0" t="inlineStr">
        <is>
          <t>'105475</t>
        </is>
      </c>
      <c r="E5924" s="0" t="inlineStr">
        <is>
          <t>FOSTER:105475C-L</t>
        </is>
      </c>
      <c r="F5924" s="0" t="inlineStr">
        <is>
          <t>'000000000000</t>
        </is>
      </c>
      <c r="G5924" s="0" t="inlineStr">
        <is>
          <t>WOMENS</t>
        </is>
      </c>
      <c r="H5924" s="0" t="inlineStr">
        <is>
          <t>L</t>
        </is>
      </c>
      <c r="I5924" s="0">
        <v>29.99</v>
      </c>
      <c r="J5924" s="0">
        <v>5</v>
      </c>
    </row>
    <row r="5925" spans="1:10" customHeight="0">
      <c r="A5925" s="0">
        <f>HYPERLINK("https://dl.dropboxusercontent.com/scl/fi/ebanhfasy6u5obld8z27c/105475-af.jpg?rlkey=se7nxq833l67r22gqgg7wpa1j&amp;dl=0","Click to download Image")</f>
      </c>
      <c r="B5925" s="0">
        <f>HYPERLINK("https://dl.dropboxusercontent.com/scl/fi/ru356u9gy27afvm8wrl3o/graphic-update2022-womens.jpg?rlkey=n84tv2sc15ypp8ieed9jitqrc&amp;dl=0","Click to download SizeChart")</f>
      </c>
      <c r="C5925" s="0" t="inlineStr">
        <is>
          <t>Foster Women's Quarter Zip</t>
        </is>
      </c>
      <c r="D5925" s="0" t="inlineStr">
        <is>
          <t>'105475</t>
        </is>
      </c>
      <c r="E5925" s="0" t="inlineStr">
        <is>
          <t>FOSTER:105475D-XL</t>
        </is>
      </c>
      <c r="F5925" s="0" t="inlineStr">
        <is>
          <t>'000000000000</t>
        </is>
      </c>
      <c r="G5925" s="0" t="inlineStr">
        <is>
          <t>WOMENS</t>
        </is>
      </c>
      <c r="H5925" s="0" t="inlineStr">
        <is>
          <t>XL</t>
        </is>
      </c>
      <c r="I5925" s="0">
        <v>29.99</v>
      </c>
      <c r="J5925" s="0">
        <v>2</v>
      </c>
    </row>
    <row r="5926" spans="1:10" customHeight="0">
      <c r="A5926" s="0">
        <f>HYPERLINK("https://dl.dropboxusercontent.com/scl/fi/ebanhfasy6u5obld8z27c/105475-af.jpg?rlkey=se7nxq833l67r22gqgg7wpa1j&amp;dl=0","Click to download Image")</f>
      </c>
      <c r="B5926" s="0">
        <f>HYPERLINK("https://dl.dropboxusercontent.com/scl/fi/ru356u9gy27afvm8wrl3o/graphic-update2022-womens.jpg?rlkey=n84tv2sc15ypp8ieed9jitqrc&amp;dl=0","Click to download SizeChart")</f>
      </c>
      <c r="C5926" s="0" t="inlineStr">
        <is>
          <t>Foster Women's Quarter Zip</t>
        </is>
      </c>
      <c r="D5926" s="0" t="inlineStr">
        <is>
          <t>'105475</t>
        </is>
      </c>
      <c r="E5926" s="0" t="inlineStr">
        <is>
          <t>FOSTER:105475E-2XL</t>
        </is>
      </c>
      <c r="F5926" s="0" t="inlineStr">
        <is>
          <t>'000000000000</t>
        </is>
      </c>
      <c r="G5926" s="0" t="inlineStr">
        <is>
          <t>WOMENS</t>
        </is>
      </c>
      <c r="H5926" s="0" t="inlineStr">
        <is>
          <t>2XL</t>
        </is>
      </c>
      <c r="I5926" s="0">
        <v>31.99</v>
      </c>
      <c r="J5926" s="0">
        <v>10</v>
      </c>
    </row>
    <row r="5927" spans="1:10" customHeight="0">
      <c r="A5927" s="0">
        <f>HYPERLINK("https://dl.dropboxusercontent.com/scl/fi/ebanhfasy6u5obld8z27c/105475-af.jpg?rlkey=se7nxq833l67r22gqgg7wpa1j&amp;dl=0","Click to download Image")</f>
      </c>
      <c r="B5927" s="0">
        <f>HYPERLINK("https://dl.dropboxusercontent.com/scl/fi/ru356u9gy27afvm8wrl3o/graphic-update2022-womens.jpg?rlkey=n84tv2sc15ypp8ieed9jitqrc&amp;dl=0","Click to download SizeChart")</f>
      </c>
      <c r="C5927" s="0" t="inlineStr">
        <is>
          <t>Foster Women's Quarter Zip</t>
        </is>
      </c>
      <c r="D5927" s="0" t="inlineStr">
        <is>
          <t>'105475</t>
        </is>
      </c>
      <c r="E5927" s="0" t="inlineStr">
        <is>
          <t>FOSTER:105475F-3XL</t>
        </is>
      </c>
      <c r="F5927" s="0" t="inlineStr">
        <is>
          <t>'000000000000</t>
        </is>
      </c>
      <c r="G5927" s="0" t="inlineStr">
        <is>
          <t>WOMENS</t>
        </is>
      </c>
      <c r="H5927" s="0" t="inlineStr">
        <is>
          <t>3XL</t>
        </is>
      </c>
      <c r="I5927" s="0">
        <v>31.99</v>
      </c>
      <c r="J5927" s="0">
        <v>25</v>
      </c>
    </row>
    <row r="5928" spans="1:10" customHeight="0">
      <c r="A5928" s="0">
        <f>HYPERLINK("https://dl.dropboxusercontent.com/scl/fi/oc0zwy0f2q0tcppqr1z23/105411-af.jpg?rlkey=4hwnijuhve9vwhj0cpgplfrjw&amp;dl=0","Click to download Image")</f>
      </c>
      <c r="B5928" s="0">
        <f>HYPERLINK("https://dl.dropboxusercontent.com/scl/fi/dcssfy2p2wuqb2f2jrr1l/graphic-update2022-mens.jpg?rlkey=fr2delk7fra1tmaeokp1cwvlp&amp;dl=0","Click to download SizeChart")</f>
      </c>
      <c r="C5928" s="0" t="inlineStr">
        <is>
          <t>Foster Men's Quarter Zip</t>
        </is>
      </c>
      <c r="D5928" s="0" t="inlineStr">
        <is>
          <t>'105411</t>
        </is>
      </c>
      <c r="E5928" s="0" t="inlineStr">
        <is>
          <t>FOSTER:105411A-S</t>
        </is>
      </c>
      <c r="F5928" s="0" t="inlineStr">
        <is>
          <t>'000000000000</t>
        </is>
      </c>
      <c r="G5928" s="0" t="inlineStr">
        <is>
          <t>MENS</t>
        </is>
      </c>
      <c r="H5928" s="0" t="inlineStr">
        <is>
          <t>S</t>
        </is>
      </c>
      <c r="I5928" s="0">
        <v>29.99</v>
      </c>
      <c r="J5928" s="0">
        <v>33</v>
      </c>
    </row>
    <row r="5929" spans="1:10" customHeight="0">
      <c r="A5929" s="0">
        <f>HYPERLINK("https://dl.dropboxusercontent.com/scl/fi/oc0zwy0f2q0tcppqr1z23/105411-af.jpg?rlkey=4hwnijuhve9vwhj0cpgplfrjw&amp;dl=0","Click to download Image")</f>
      </c>
      <c r="B5929" s="0">
        <f>HYPERLINK("https://dl.dropboxusercontent.com/scl/fi/dcssfy2p2wuqb2f2jrr1l/graphic-update2022-mens.jpg?rlkey=fr2delk7fra1tmaeokp1cwvlp&amp;dl=0","Click to download SizeChart")</f>
      </c>
      <c r="C5929" s="0" t="inlineStr">
        <is>
          <t>Foster Men's Quarter Zip</t>
        </is>
      </c>
      <c r="D5929" s="0" t="inlineStr">
        <is>
          <t>'105411</t>
        </is>
      </c>
      <c r="E5929" s="0" t="inlineStr">
        <is>
          <t>FOSTER:105411B-M</t>
        </is>
      </c>
      <c r="F5929" s="0" t="inlineStr">
        <is>
          <t>'000000000000</t>
        </is>
      </c>
      <c r="G5929" s="0" t="inlineStr">
        <is>
          <t>MENS</t>
        </is>
      </c>
      <c r="H5929" s="0" t="inlineStr">
        <is>
          <t>M</t>
        </is>
      </c>
      <c r="I5929" s="0">
        <v>29.99</v>
      </c>
      <c r="J5929" s="0">
        <v>15</v>
      </c>
    </row>
    <row r="5930" spans="1:10" customHeight="0">
      <c r="A5930" s="0">
        <f>HYPERLINK("https://dl.dropboxusercontent.com/scl/fi/oc0zwy0f2q0tcppqr1z23/105411-af.jpg?rlkey=4hwnijuhve9vwhj0cpgplfrjw&amp;dl=0","Click to download Image")</f>
      </c>
      <c r="B5930" s="0">
        <f>HYPERLINK("https://dl.dropboxusercontent.com/scl/fi/dcssfy2p2wuqb2f2jrr1l/graphic-update2022-mens.jpg?rlkey=fr2delk7fra1tmaeokp1cwvlp&amp;dl=0","Click to download SizeChart")</f>
      </c>
      <c r="C5930" s="0" t="inlineStr">
        <is>
          <t>Foster Men's Quarter Zip</t>
        </is>
      </c>
      <c r="D5930" s="0" t="inlineStr">
        <is>
          <t>'105411</t>
        </is>
      </c>
      <c r="E5930" s="0" t="inlineStr">
        <is>
          <t>FOSTER:105411C-L</t>
        </is>
      </c>
      <c r="F5930" s="0" t="inlineStr">
        <is>
          <t>'000000000000</t>
        </is>
      </c>
      <c r="G5930" s="0" t="inlineStr">
        <is>
          <t>MENS</t>
        </is>
      </c>
      <c r="H5930" s="0" t="inlineStr">
        <is>
          <t>L</t>
        </is>
      </c>
      <c r="I5930" s="0">
        <v>29.99</v>
      </c>
      <c r="J5930" s="0">
        <v>11</v>
      </c>
    </row>
    <row r="5931" spans="1:10" customHeight="0">
      <c r="A5931" s="0">
        <f>HYPERLINK("https://dl.dropboxusercontent.com/scl/fi/oc0zwy0f2q0tcppqr1z23/105411-af.jpg?rlkey=4hwnijuhve9vwhj0cpgplfrjw&amp;dl=0","Click to download Image")</f>
      </c>
      <c r="B5931" s="0">
        <f>HYPERLINK("https://dl.dropboxusercontent.com/scl/fi/dcssfy2p2wuqb2f2jrr1l/graphic-update2022-mens.jpg?rlkey=fr2delk7fra1tmaeokp1cwvlp&amp;dl=0","Click to download SizeChart")</f>
      </c>
      <c r="C5931" s="0" t="inlineStr">
        <is>
          <t>Foster Men's Quarter Zip</t>
        </is>
      </c>
      <c r="D5931" s="0" t="inlineStr">
        <is>
          <t>'105411</t>
        </is>
      </c>
      <c r="E5931" s="0" t="inlineStr">
        <is>
          <t>FOSTER:105411D-XL</t>
        </is>
      </c>
      <c r="F5931" s="0" t="inlineStr">
        <is>
          <t>'000000000000</t>
        </is>
      </c>
      <c r="G5931" s="0" t="inlineStr">
        <is>
          <t>MENS</t>
        </is>
      </c>
      <c r="H5931" s="0" t="inlineStr">
        <is>
          <t>XL</t>
        </is>
      </c>
      <c r="I5931" s="0">
        <v>29.99</v>
      </c>
      <c r="J5931" s="0">
        <v>0</v>
      </c>
    </row>
    <row r="5932" spans="1:10" customHeight="0">
      <c r="A5932" s="0">
        <f>HYPERLINK("https://dl.dropboxusercontent.com/scl/fi/oc0zwy0f2q0tcppqr1z23/105411-af.jpg?rlkey=4hwnijuhve9vwhj0cpgplfrjw&amp;dl=0","Click to download Image")</f>
      </c>
      <c r="B5932" s="0">
        <f>HYPERLINK("https://dl.dropboxusercontent.com/scl/fi/dcssfy2p2wuqb2f2jrr1l/graphic-update2022-mens.jpg?rlkey=fr2delk7fra1tmaeokp1cwvlp&amp;dl=0","Click to download SizeChart")</f>
      </c>
      <c r="C5932" s="0" t="inlineStr">
        <is>
          <t>Foster Men's Quarter Zip</t>
        </is>
      </c>
      <c r="D5932" s="0" t="inlineStr">
        <is>
          <t>'105411</t>
        </is>
      </c>
      <c r="E5932" s="0" t="inlineStr">
        <is>
          <t>FOSTER:105411E-2XL</t>
        </is>
      </c>
      <c r="F5932" s="0" t="inlineStr">
        <is>
          <t>'000000000000</t>
        </is>
      </c>
      <c r="G5932" s="0" t="inlineStr">
        <is>
          <t>MENS</t>
        </is>
      </c>
      <c r="H5932" s="0" t="inlineStr">
        <is>
          <t>2XL</t>
        </is>
      </c>
      <c r="I5932" s="0">
        <v>31.99</v>
      </c>
      <c r="J5932" s="0">
        <v>0</v>
      </c>
    </row>
    <row r="5933" spans="1:10" customHeight="0">
      <c r="A5933" s="0">
        <f>HYPERLINK("https://dl.dropboxusercontent.com/scl/fi/oc0zwy0f2q0tcppqr1z23/105411-af.jpg?rlkey=4hwnijuhve9vwhj0cpgplfrjw&amp;dl=0","Click to download Image")</f>
      </c>
      <c r="B5933" s="0">
        <f>HYPERLINK("https://dl.dropboxusercontent.com/scl/fi/dcssfy2p2wuqb2f2jrr1l/graphic-update2022-mens.jpg?rlkey=fr2delk7fra1tmaeokp1cwvlp&amp;dl=0","Click to download SizeChart")</f>
      </c>
      <c r="C5933" s="0" t="inlineStr">
        <is>
          <t>Foster Men's Quarter Zip</t>
        </is>
      </c>
      <c r="D5933" s="0" t="inlineStr">
        <is>
          <t>'105411</t>
        </is>
      </c>
      <c r="E5933" s="0" t="inlineStr">
        <is>
          <t>FOSTER:105411F-3XL</t>
        </is>
      </c>
      <c r="F5933" s="0" t="inlineStr">
        <is>
          <t>'000000000000</t>
        </is>
      </c>
      <c r="G5933" s="0" t="inlineStr">
        <is>
          <t>MENS</t>
        </is>
      </c>
      <c r="H5933" s="0" t="inlineStr">
        <is>
          <t>3XL</t>
        </is>
      </c>
      <c r="I5933" s="0">
        <v>31.99</v>
      </c>
      <c r="J5933" s="0">
        <v>6</v>
      </c>
    </row>
    <row r="5934" spans="1:10" customHeight="0">
      <c r="A5934" s="0">
        <f>HYPERLINK("https://dl.dropboxusercontent.com/scl/fi/84y4uq1j4g022o2rnuyad/105586-af.jpg?rlkey=pxnosayo2n8t24wukbyd1rkwp&amp;dl=0","Click to download Image")</f>
      </c>
      <c r="B5934" s="0">
        <f>HYPERLINK("https://dl.dropboxusercontent.com/scl/fi/fqbsohi9tlwoapvo9g47m/womens-t-shirt-size-chartskylie.jpg?rlkey=qlz05la37lk1avz40xq0b2k9i&amp;dl=0","Click to download SizeChart")</f>
      </c>
      <c r="C5934" s="0" t="inlineStr">
        <is>
          <t>Kylie Women's Long Sleeve</t>
        </is>
      </c>
      <c r="D5934" s="0" t="inlineStr">
        <is>
          <t>'105586</t>
        </is>
      </c>
      <c r="E5934" s="0" t="inlineStr">
        <is>
          <t>KYLIE:105586A-S</t>
        </is>
      </c>
      <c r="F5934" s="0" t="inlineStr">
        <is>
          <t>'000000000000</t>
        </is>
      </c>
      <c r="G5934" s="0" t="inlineStr">
        <is>
          <t>WOMENS</t>
        </is>
      </c>
      <c r="H5934" s="0" t="inlineStr">
        <is>
          <t>S</t>
        </is>
      </c>
      <c r="I5934" s="0">
        <v>29.99</v>
      </c>
      <c r="J5934" s="0">
        <v>41</v>
      </c>
    </row>
    <row r="5935" spans="1:10" customHeight="0">
      <c r="A5935" s="0">
        <f>HYPERLINK("https://dl.dropboxusercontent.com/scl/fi/84y4uq1j4g022o2rnuyad/105586-af.jpg?rlkey=pxnosayo2n8t24wukbyd1rkwp&amp;dl=0","Click to download Image")</f>
      </c>
      <c r="B5935" s="0">
        <f>HYPERLINK("https://dl.dropboxusercontent.com/scl/fi/fqbsohi9tlwoapvo9g47m/womens-t-shirt-size-chartskylie.jpg?rlkey=qlz05la37lk1avz40xq0b2k9i&amp;dl=0","Click to download SizeChart")</f>
      </c>
      <c r="C5935" s="0" t="inlineStr">
        <is>
          <t>Kylie Women's Long Sleeve</t>
        </is>
      </c>
      <c r="D5935" s="0" t="inlineStr">
        <is>
          <t>'105586</t>
        </is>
      </c>
      <c r="E5935" s="0" t="inlineStr">
        <is>
          <t>KYLIE:105586B-M</t>
        </is>
      </c>
      <c r="F5935" s="0" t="inlineStr">
        <is>
          <t>'000000000000</t>
        </is>
      </c>
      <c r="G5935" s="0" t="inlineStr">
        <is>
          <t>WOMENS</t>
        </is>
      </c>
      <c r="H5935" s="0" t="inlineStr">
        <is>
          <t>M</t>
        </is>
      </c>
      <c r="I5935" s="0">
        <v>29.99</v>
      </c>
      <c r="J5935" s="0">
        <v>18</v>
      </c>
    </row>
    <row r="5936" spans="1:10" customHeight="0">
      <c r="A5936" s="0">
        <f>HYPERLINK("https://dl.dropboxusercontent.com/scl/fi/84y4uq1j4g022o2rnuyad/105586-af.jpg?rlkey=pxnosayo2n8t24wukbyd1rkwp&amp;dl=0","Click to download Image")</f>
      </c>
      <c r="B5936" s="0">
        <f>HYPERLINK("https://dl.dropboxusercontent.com/scl/fi/fqbsohi9tlwoapvo9g47m/womens-t-shirt-size-chartskylie.jpg?rlkey=qlz05la37lk1avz40xq0b2k9i&amp;dl=0","Click to download SizeChart")</f>
      </c>
      <c r="C5936" s="0" t="inlineStr">
        <is>
          <t>Kylie Women's Long Sleeve</t>
        </is>
      </c>
      <c r="D5936" s="0" t="inlineStr">
        <is>
          <t>'105586</t>
        </is>
      </c>
      <c r="E5936" s="0" t="inlineStr">
        <is>
          <t>KYLIE:105586C-L</t>
        </is>
      </c>
      <c r="F5936" s="0" t="inlineStr">
        <is>
          <t>'000000000000</t>
        </is>
      </c>
      <c r="G5936" s="0" t="inlineStr">
        <is>
          <t>WOMENS</t>
        </is>
      </c>
      <c r="H5936" s="0" t="inlineStr">
        <is>
          <t>L</t>
        </is>
      </c>
      <c r="I5936" s="0">
        <v>29.99</v>
      </c>
      <c r="J5936" s="0">
        <v>0</v>
      </c>
    </row>
    <row r="5937" spans="1:10" customHeight="0">
      <c r="A5937" s="0">
        <f>HYPERLINK("https://dl.dropboxusercontent.com/scl/fi/84y4uq1j4g022o2rnuyad/105586-af.jpg?rlkey=pxnosayo2n8t24wukbyd1rkwp&amp;dl=0","Click to download Image")</f>
      </c>
      <c r="B5937" s="0">
        <f>HYPERLINK("https://dl.dropboxusercontent.com/scl/fi/fqbsohi9tlwoapvo9g47m/womens-t-shirt-size-chartskylie.jpg?rlkey=qlz05la37lk1avz40xq0b2k9i&amp;dl=0","Click to download SizeChart")</f>
      </c>
      <c r="C5937" s="0" t="inlineStr">
        <is>
          <t>Kylie Women's Long Sleeve</t>
        </is>
      </c>
      <c r="D5937" s="0" t="inlineStr">
        <is>
          <t>'105586</t>
        </is>
      </c>
      <c r="E5937" s="0" t="inlineStr">
        <is>
          <t>KYLIE:105586D-XL</t>
        </is>
      </c>
      <c r="F5937" s="0" t="inlineStr">
        <is>
          <t>'000000000000</t>
        </is>
      </c>
      <c r="G5937" s="0" t="inlineStr">
        <is>
          <t>WOMENS</t>
        </is>
      </c>
      <c r="H5937" s="0" t="inlineStr">
        <is>
          <t>XL</t>
        </is>
      </c>
      <c r="I5937" s="0">
        <v>29.99</v>
      </c>
      <c r="J5937" s="0">
        <v>1</v>
      </c>
    </row>
    <row r="5938" spans="1:10" customHeight="0">
      <c r="A5938" s="0">
        <f>HYPERLINK("https://dl.dropboxusercontent.com/scl/fi/84y4uq1j4g022o2rnuyad/105586-af.jpg?rlkey=pxnosayo2n8t24wukbyd1rkwp&amp;dl=0","Click to download Image")</f>
      </c>
      <c r="B5938" s="0">
        <f>HYPERLINK("https://dl.dropboxusercontent.com/scl/fi/fqbsohi9tlwoapvo9g47m/womens-t-shirt-size-chartskylie.jpg?rlkey=qlz05la37lk1avz40xq0b2k9i&amp;dl=0","Click to download SizeChart")</f>
      </c>
      <c r="C5938" s="0" t="inlineStr">
        <is>
          <t>Kylie Women's Long Sleeve</t>
        </is>
      </c>
      <c r="D5938" s="0" t="inlineStr">
        <is>
          <t>'105586</t>
        </is>
      </c>
      <c r="E5938" s="0" t="inlineStr">
        <is>
          <t>KYLIE:105586E-2XL</t>
        </is>
      </c>
      <c r="F5938" s="0" t="inlineStr">
        <is>
          <t>'000000000000</t>
        </is>
      </c>
      <c r="G5938" s="0" t="inlineStr">
        <is>
          <t>WOMENS</t>
        </is>
      </c>
      <c r="H5938" s="0" t="inlineStr">
        <is>
          <t>2XL</t>
        </is>
      </c>
      <c r="I5938" s="0">
        <v>31.99</v>
      </c>
      <c r="J5938" s="0">
        <v>29</v>
      </c>
    </row>
    <row r="5939" spans="1:10" customHeight="0">
      <c r="A5939" s="0">
        <f>HYPERLINK("https://dl.dropboxusercontent.com/scl/fi/84y4uq1j4g022o2rnuyad/105586-af.jpg?rlkey=pxnosayo2n8t24wukbyd1rkwp&amp;dl=0","Click to download Image")</f>
      </c>
      <c r="B5939" s="0">
        <f>HYPERLINK("https://dl.dropboxusercontent.com/scl/fi/fqbsohi9tlwoapvo9g47m/womens-t-shirt-size-chartskylie.jpg?rlkey=qlz05la37lk1avz40xq0b2k9i&amp;dl=0","Click to download SizeChart")</f>
      </c>
      <c r="C5939" s="0" t="inlineStr">
        <is>
          <t>Kylie Women's Long Sleeve</t>
        </is>
      </c>
      <c r="D5939" s="0" t="inlineStr">
        <is>
          <t>'105586</t>
        </is>
      </c>
      <c r="E5939" s="0" t="inlineStr">
        <is>
          <t>KYLIE:105586F-3XL</t>
        </is>
      </c>
      <c r="F5939" s="0" t="inlineStr">
        <is>
          <t>'000000000000</t>
        </is>
      </c>
      <c r="G5939" s="0" t="inlineStr">
        <is>
          <t>WOMENS</t>
        </is>
      </c>
      <c r="H5939" s="0" t="inlineStr">
        <is>
          <t>3XL</t>
        </is>
      </c>
      <c r="I5939" s="0">
        <v>31.99</v>
      </c>
      <c r="J5939" s="0">
        <v>3</v>
      </c>
    </row>
    <row r="5940" spans="1:10" customHeight="0">
      <c r="A5940" s="0">
        <f>HYPERLINK("https://dl.dropboxusercontent.com/scl/fi/16dg3vr9vich0y0yb9394/105586af.jpg?rlkey=orz7i1cs8sm2aqpztdovu8vr0&amp;dl=0","Click to download Image")</f>
      </c>
      <c r="B5940" s="0">
        <f>HYPERLINK("https://dl.dropboxusercontent.com/scl/fi/fqbsohi9tlwoapvo9g47m/womens-t-shirt-size-chartskylie.jpg?rlkey=qlz05la37lk1avz40xq0b2k9i&amp;dl=0","Click to download SizeChart")</f>
      </c>
      <c r="C5940" s="0" t="inlineStr">
        <is>
          <t>Kylie Women's Long Sleeve</t>
        </is>
      </c>
      <c r="D5940" s="0" t="inlineStr">
        <is>
          <t>'105607</t>
        </is>
      </c>
      <c r="E5940" s="0" t="inlineStr">
        <is>
          <t>KYLIE:105607A-S</t>
        </is>
      </c>
      <c r="F5940" s="0" t="inlineStr">
        <is>
          <t>'000000000000</t>
        </is>
      </c>
      <c r="G5940" s="0" t="inlineStr">
        <is>
          <t>WOMENS</t>
        </is>
      </c>
      <c r="H5940" s="0" t="inlineStr">
        <is>
          <t>S</t>
        </is>
      </c>
      <c r="I5940" s="0">
        <v>29.99</v>
      </c>
      <c r="J5940" s="0">
        <v>45</v>
      </c>
    </row>
    <row r="5941" spans="1:10" customHeight="0">
      <c r="A5941" s="0">
        <f>HYPERLINK("https://dl.dropboxusercontent.com/scl/fi/16dg3vr9vich0y0yb9394/105586af.jpg?rlkey=orz7i1cs8sm2aqpztdovu8vr0&amp;dl=0","Click to download Image")</f>
      </c>
      <c r="B5941" s="0">
        <f>HYPERLINK("https://dl.dropboxusercontent.com/scl/fi/fqbsohi9tlwoapvo9g47m/womens-t-shirt-size-chartskylie.jpg?rlkey=qlz05la37lk1avz40xq0b2k9i&amp;dl=0","Click to download SizeChart")</f>
      </c>
      <c r="C5941" s="0" t="inlineStr">
        <is>
          <t>Kylie Women's Long Sleeve</t>
        </is>
      </c>
      <c r="D5941" s="0" t="inlineStr">
        <is>
          <t>'105607</t>
        </is>
      </c>
      <c r="E5941" s="0" t="inlineStr">
        <is>
          <t>KYLIE:105607B-M</t>
        </is>
      </c>
      <c r="F5941" s="0" t="inlineStr">
        <is>
          <t>'000000000000</t>
        </is>
      </c>
      <c r="G5941" s="0" t="inlineStr">
        <is>
          <t>WOMENS</t>
        </is>
      </c>
      <c r="H5941" s="0" t="inlineStr">
        <is>
          <t>M</t>
        </is>
      </c>
      <c r="I5941" s="0">
        <v>29.99</v>
      </c>
      <c r="J5941" s="0">
        <v>29</v>
      </c>
    </row>
    <row r="5942" spans="1:10" customHeight="0">
      <c r="A5942" s="0">
        <f>HYPERLINK("https://dl.dropboxusercontent.com/scl/fi/16dg3vr9vich0y0yb9394/105586af.jpg?rlkey=orz7i1cs8sm2aqpztdovu8vr0&amp;dl=0","Click to download Image")</f>
      </c>
      <c r="B5942" s="0">
        <f>HYPERLINK("https://dl.dropboxusercontent.com/scl/fi/fqbsohi9tlwoapvo9g47m/womens-t-shirt-size-chartskylie.jpg?rlkey=qlz05la37lk1avz40xq0b2k9i&amp;dl=0","Click to download SizeChart")</f>
      </c>
      <c r="C5942" s="0" t="inlineStr">
        <is>
          <t>Kylie Women's Long Sleeve</t>
        </is>
      </c>
      <c r="D5942" s="0" t="inlineStr">
        <is>
          <t>'105607</t>
        </is>
      </c>
      <c r="E5942" s="0" t="inlineStr">
        <is>
          <t>KYLIE:105607C-L</t>
        </is>
      </c>
      <c r="F5942" s="0" t="inlineStr">
        <is>
          <t>'000000000000</t>
        </is>
      </c>
      <c r="G5942" s="0" t="inlineStr">
        <is>
          <t>WOMENS</t>
        </is>
      </c>
      <c r="H5942" s="0" t="inlineStr">
        <is>
          <t>L</t>
        </is>
      </c>
      <c r="I5942" s="0">
        <v>29.99</v>
      </c>
      <c r="J5942" s="0">
        <v>35</v>
      </c>
    </row>
    <row r="5943" spans="1:10" customHeight="0">
      <c r="A5943" s="0">
        <f>HYPERLINK("https://dl.dropboxusercontent.com/scl/fi/16dg3vr9vich0y0yb9394/105586af.jpg?rlkey=orz7i1cs8sm2aqpztdovu8vr0&amp;dl=0","Click to download Image")</f>
      </c>
      <c r="B5943" s="0">
        <f>HYPERLINK("https://dl.dropboxusercontent.com/scl/fi/fqbsohi9tlwoapvo9g47m/womens-t-shirt-size-chartskylie.jpg?rlkey=qlz05la37lk1avz40xq0b2k9i&amp;dl=0","Click to download SizeChart")</f>
      </c>
      <c r="C5943" s="0" t="inlineStr">
        <is>
          <t>Kylie Women's Long Sleeve</t>
        </is>
      </c>
      <c r="D5943" s="0" t="inlineStr">
        <is>
          <t>'105607</t>
        </is>
      </c>
      <c r="E5943" s="0" t="inlineStr">
        <is>
          <t>KYLIE:105607D-XL</t>
        </is>
      </c>
      <c r="F5943" s="0" t="inlineStr">
        <is>
          <t>'000000000000</t>
        </is>
      </c>
      <c r="G5943" s="0" t="inlineStr">
        <is>
          <t>WOMENS</t>
        </is>
      </c>
      <c r="H5943" s="0" t="inlineStr">
        <is>
          <t>XL</t>
        </is>
      </c>
      <c r="I5943" s="0">
        <v>29.99</v>
      </c>
      <c r="J5943" s="0">
        <v>29</v>
      </c>
    </row>
    <row r="5944" spans="1:10" customHeight="0">
      <c r="A5944" s="0">
        <f>HYPERLINK("https://dl.dropboxusercontent.com/scl/fi/16dg3vr9vich0y0yb9394/105586af.jpg?rlkey=orz7i1cs8sm2aqpztdovu8vr0&amp;dl=0","Click to download Image")</f>
      </c>
      <c r="B5944" s="0">
        <f>HYPERLINK("https://dl.dropboxusercontent.com/scl/fi/fqbsohi9tlwoapvo9g47m/womens-t-shirt-size-chartskylie.jpg?rlkey=qlz05la37lk1avz40xq0b2k9i&amp;dl=0","Click to download SizeChart")</f>
      </c>
      <c r="C5944" s="0" t="inlineStr">
        <is>
          <t>Kylie Women's Long Sleeve</t>
        </is>
      </c>
      <c r="D5944" s="0" t="inlineStr">
        <is>
          <t>'105607</t>
        </is>
      </c>
      <c r="E5944" s="0" t="inlineStr">
        <is>
          <t>KYLIE:105607E-2XL</t>
        </is>
      </c>
      <c r="F5944" s="0" t="inlineStr">
        <is>
          <t>'000000000000</t>
        </is>
      </c>
      <c r="G5944" s="0" t="inlineStr">
        <is>
          <t>WOMENS</t>
        </is>
      </c>
      <c r="H5944" s="0" t="inlineStr">
        <is>
          <t>2XL</t>
        </is>
      </c>
      <c r="I5944" s="0">
        <v>31.99</v>
      </c>
      <c r="J5944" s="0">
        <v>37</v>
      </c>
    </row>
    <row r="5945" spans="1:10" customHeight="0">
      <c r="A5945" s="0">
        <f>HYPERLINK("https://dl.dropboxusercontent.com/scl/fi/16dg3vr9vich0y0yb9394/105586af.jpg?rlkey=orz7i1cs8sm2aqpztdovu8vr0&amp;dl=0","Click to download Image")</f>
      </c>
      <c r="B5945" s="0">
        <f>HYPERLINK("https://dl.dropboxusercontent.com/scl/fi/fqbsohi9tlwoapvo9g47m/womens-t-shirt-size-chartskylie.jpg?rlkey=qlz05la37lk1avz40xq0b2k9i&amp;dl=0","Click to download SizeChart")</f>
      </c>
      <c r="C5945" s="0" t="inlineStr">
        <is>
          <t>Kylie Women's Long Sleeve</t>
        </is>
      </c>
      <c r="D5945" s="0" t="inlineStr">
        <is>
          <t>'105607</t>
        </is>
      </c>
      <c r="E5945" s="0" t="inlineStr">
        <is>
          <t>KYLIE:105607F-3XL</t>
        </is>
      </c>
      <c r="F5945" s="0" t="inlineStr">
        <is>
          <t>'000000000000</t>
        </is>
      </c>
      <c r="G5945" s="0" t="inlineStr">
        <is>
          <t>WOMENS</t>
        </is>
      </c>
      <c r="H5945" s="0" t="inlineStr">
        <is>
          <t>3XL</t>
        </is>
      </c>
      <c r="I5945" s="0">
        <v>31.99</v>
      </c>
      <c r="J5945" s="0">
        <v>0</v>
      </c>
    </row>
    <row r="5946" spans="1:10" customHeight="0">
      <c r="A5946" s="0">
        <f>HYPERLINK("https://dl.dropboxusercontent.com/scl/fi/tq1327007wy5vjryun9xv/99307-af.jpg?rlkey=vcf2wbtl1a36rf2i9op01cwl5&amp;dl=0","Click to download Image")</f>
      </c>
      <c r="C5946" s="0" t="inlineStr">
        <is>
          <t>Elijah Men's Stretch Fit Cap</t>
        </is>
      </c>
      <c r="D5946" s="0" t="inlineStr">
        <is>
          <t>'99307</t>
        </is>
      </c>
      <c r="E5946" s="0" t="inlineStr">
        <is>
          <t>ELIJAH:99307A</t>
        </is>
      </c>
      <c r="F5946" s="0" t="inlineStr">
        <is>
          <t>'000000000000</t>
        </is>
      </c>
      <c r="G5946" s="0" t="inlineStr">
        <is>
          <t>MENS</t>
        </is>
      </c>
      <c r="H5946" s="0" t="inlineStr">
        <is>
          <t>STANDARD MENS</t>
        </is>
      </c>
      <c r="I5946" s="0">
        <v>20.99</v>
      </c>
      <c r="J5946" s="0">
        <v>97</v>
      </c>
    </row>
    <row r="5947" spans="1:10" customHeight="0">
      <c r="A5947" s="0">
        <f>HYPERLINK("https://dl.dropboxusercontent.com/scl/fi/tq1327007wy5vjryun9xv/99307-af.jpg?rlkey=vcf2wbtl1a36rf2i9op01cwl5&amp;dl=0","Click to download Image")</f>
      </c>
      <c r="C5947" s="0" t="inlineStr">
        <is>
          <t>Elijah Men's Stretch Fit Cap</t>
        </is>
      </c>
      <c r="D5947" s="0" t="inlineStr">
        <is>
          <t>'99307</t>
        </is>
      </c>
      <c r="E5947" s="0" t="inlineStr">
        <is>
          <t>ELIJAH:99307B</t>
        </is>
      </c>
      <c r="F5947" s="0" t="inlineStr">
        <is>
          <t>'000000000000</t>
        </is>
      </c>
      <c r="G5947" s="0" t="inlineStr">
        <is>
          <t>MENS</t>
        </is>
      </c>
      <c r="H5947" s="0" t="inlineStr">
        <is>
          <t>MENS XL</t>
        </is>
      </c>
      <c r="I5947" s="0">
        <v>20.99</v>
      </c>
      <c r="J5947" s="0">
        <v>111</v>
      </c>
    </row>
    <row r="5948" spans="1:10" customHeight="0">
      <c r="A5948" s="0">
        <f>HYPERLINK("https://dl.dropboxusercontent.com/scl/fi/csebqupvj71uvpespoyh8/101536-af.jpg?rlkey=r5ufmbd85i4wzl2dmyqklysyj&amp;dl=0","Click to download Image")</f>
      </c>
      <c r="C5948" s="0" t="inlineStr">
        <is>
          <t>Gus Men's Performance Cap</t>
        </is>
      </c>
      <c r="D5948" s="0" t="inlineStr">
        <is>
          <t>'101536</t>
        </is>
      </c>
      <c r="E5948" s="0" t="inlineStr">
        <is>
          <t>GUS:101536</t>
        </is>
      </c>
      <c r="F5948" s="0" t="inlineStr">
        <is>
          <t>'000000000000</t>
        </is>
      </c>
      <c r="G5948" s="0" t="inlineStr">
        <is>
          <t>MENS</t>
        </is>
      </c>
      <c r="H5948" s="0" t="inlineStr">
        <is>
          <t>STANDARD MENS</t>
        </is>
      </c>
      <c r="I5948" s="0">
        <v>22.99</v>
      </c>
      <c r="J5948" s="0">
        <v>172</v>
      </c>
    </row>
    <row r="5949" spans="1:10" customHeight="0">
      <c r="A5949" s="0">
        <f>HYPERLINK("https://dl.dropboxusercontent.com/scl/fi/9n8ye40tmpr62ogxwhkgw/98092af.jpg?rlkey=0upwwmtkcvo74q4488lavxpby&amp;dl=0","Click to download Image")</f>
      </c>
      <c r="C5949" s="0" t="inlineStr">
        <is>
          <t>Cohen Toddler Cap</t>
        </is>
      </c>
      <c r="D5949" s="0" t="inlineStr">
        <is>
          <t>'98857</t>
        </is>
      </c>
      <c r="E5949" s="0" t="inlineStr">
        <is>
          <t>COHEN:98857</t>
        </is>
      </c>
      <c r="F5949" s="0" t="inlineStr">
        <is>
          <t>'000000000000</t>
        </is>
      </c>
      <c r="G5949" s="0" t="inlineStr">
        <is>
          <t>TODDLER</t>
        </is>
      </c>
      <c r="H5949" s="0" t="inlineStr">
        <is>
          <t>TODDLER</t>
        </is>
      </c>
      <c r="I5949" s="0">
        <v>23.99</v>
      </c>
      <c r="J5949" s="0">
        <v>68</v>
      </c>
    </row>
    <row r="5950" spans="1:10" customHeight="0">
      <c r="A5950" s="0">
        <f>HYPERLINK("https://dl.dropboxusercontent.com/scl/fi/x16gc4oew2tmcyc50dskg/98858-af.jpg?rlkey=aundbxw9ibg46zis7eq5i9g8v&amp;dl=0","Click to download Image")</f>
      </c>
      <c r="C5950" s="0" t="inlineStr">
        <is>
          <t>Cohen Toddler Cap</t>
        </is>
      </c>
      <c r="D5950" s="0" t="inlineStr">
        <is>
          <t>'98858</t>
        </is>
      </c>
      <c r="E5950" s="0" t="inlineStr">
        <is>
          <t>COHEN:98858</t>
        </is>
      </c>
      <c r="F5950" s="0" t="inlineStr">
        <is>
          <t>'000000000000</t>
        </is>
      </c>
      <c r="G5950" s="0" t="inlineStr">
        <is>
          <t>TODDLER</t>
        </is>
      </c>
      <c r="H5950" s="0" t="inlineStr">
        <is>
          <t>TODDLER</t>
        </is>
      </c>
      <c r="I5950" s="0">
        <v>23.99</v>
      </c>
      <c r="J5950" s="0">
        <v>92</v>
      </c>
    </row>
    <row r="5951" spans="1:10" customHeight="0">
      <c r="A5951" s="0">
        <f>HYPERLINK("https://dl.dropboxusercontent.com/scl/fi/q46s4cqbebaj2xiela1ft/98858-af.jpg?rlkey=77pk68963i53vj5tqh5ky4a1k&amp;dl=0","Click to download Image")</f>
      </c>
      <c r="C5951" s="0" t="inlineStr">
        <is>
          <t>Cohen Youth Cap</t>
        </is>
      </c>
      <c r="D5951" s="0" t="inlineStr">
        <is>
          <t>'98848</t>
        </is>
      </c>
      <c r="E5951" s="0" t="inlineStr">
        <is>
          <t>COHEN:98848</t>
        </is>
      </c>
      <c r="F5951" s="0" t="inlineStr">
        <is>
          <t>'000000000000</t>
        </is>
      </c>
      <c r="G5951" s="0" t="inlineStr">
        <is>
          <t>YOUTH</t>
        </is>
      </c>
      <c r="H5951" s="0" t="inlineStr">
        <is>
          <t>YOUTH</t>
        </is>
      </c>
      <c r="I5951" s="0">
        <v>23.99</v>
      </c>
      <c r="J5951" s="0">
        <v>213</v>
      </c>
    </row>
    <row r="5952" spans="1:10" customHeight="0">
      <c r="A5952" s="0">
        <f>HYPERLINK("https://dl.dropboxusercontent.com/scl/fi/hpaibyb0wymle044v2qbb/99189af.jpg?rlkey=aqn9phyd2se06l7u5rrt0r2lh&amp;dl=0","Click to download Image")</f>
      </c>
      <c r="C5952" s="0" t="inlineStr">
        <is>
          <t>Betsy Women's Windbreaker</t>
        </is>
      </c>
      <c r="D5952" s="0" t="inlineStr">
        <is>
          <t>'99189</t>
        </is>
      </c>
      <c r="E5952" s="0" t="inlineStr">
        <is>
          <t>BETSY:99189A-S</t>
        </is>
      </c>
      <c r="F5952" s="0" t="inlineStr">
        <is>
          <t>'000000000000</t>
        </is>
      </c>
      <c r="G5952" s="0" t="inlineStr">
        <is>
          <t>WOMENS</t>
        </is>
      </c>
      <c r="H5952" s="0" t="inlineStr">
        <is>
          <t>S</t>
        </is>
      </c>
      <c r="I5952" s="0">
        <v>44.99</v>
      </c>
      <c r="J5952" s="0">
        <v>57</v>
      </c>
    </row>
    <row r="5953" spans="1:10" customHeight="0">
      <c r="A5953" s="0">
        <f>HYPERLINK("https://dl.dropboxusercontent.com/scl/fi/hpaibyb0wymle044v2qbb/99189af.jpg?rlkey=aqn9phyd2se06l7u5rrt0r2lh&amp;dl=0","Click to download Image")</f>
      </c>
      <c r="C5953" s="0" t="inlineStr">
        <is>
          <t>Betsy Women's Windbreaker</t>
        </is>
      </c>
      <c r="D5953" s="0" t="inlineStr">
        <is>
          <t>'99189</t>
        </is>
      </c>
      <c r="E5953" s="0" t="inlineStr">
        <is>
          <t>BETSY:99189B-M</t>
        </is>
      </c>
      <c r="F5953" s="0" t="inlineStr">
        <is>
          <t>'000000000000</t>
        </is>
      </c>
      <c r="G5953" s="0" t="inlineStr">
        <is>
          <t>WOMENS</t>
        </is>
      </c>
      <c r="H5953" s="0" t="inlineStr">
        <is>
          <t>M</t>
        </is>
      </c>
      <c r="I5953" s="0">
        <v>44.99</v>
      </c>
      <c r="J5953" s="0">
        <v>49</v>
      </c>
    </row>
    <row r="5954" spans="1:10" customHeight="0">
      <c r="A5954" s="0">
        <f>HYPERLINK("https://dl.dropboxusercontent.com/scl/fi/hpaibyb0wymle044v2qbb/99189af.jpg?rlkey=aqn9phyd2se06l7u5rrt0r2lh&amp;dl=0","Click to download Image")</f>
      </c>
      <c r="C5954" s="0" t="inlineStr">
        <is>
          <t>Betsy Women's Windbreaker</t>
        </is>
      </c>
      <c r="D5954" s="0" t="inlineStr">
        <is>
          <t>'99189</t>
        </is>
      </c>
      <c r="E5954" s="0" t="inlineStr">
        <is>
          <t>BETSY:99189C-L</t>
        </is>
      </c>
      <c r="F5954" s="0" t="inlineStr">
        <is>
          <t>'000000000000</t>
        </is>
      </c>
      <c r="G5954" s="0" t="inlineStr">
        <is>
          <t>WOMENS</t>
        </is>
      </c>
      <c r="H5954" s="0" t="inlineStr">
        <is>
          <t>L</t>
        </is>
      </c>
      <c r="I5954" s="0">
        <v>44.99</v>
      </c>
      <c r="J5954" s="0">
        <v>41</v>
      </c>
    </row>
    <row r="5955" spans="1:10" customHeight="0">
      <c r="A5955" s="0">
        <f>HYPERLINK("https://dl.dropboxusercontent.com/scl/fi/hpaibyb0wymle044v2qbb/99189af.jpg?rlkey=aqn9phyd2se06l7u5rrt0r2lh&amp;dl=0","Click to download Image")</f>
      </c>
      <c r="C5955" s="0" t="inlineStr">
        <is>
          <t>Betsy Women's Windbreaker</t>
        </is>
      </c>
      <c r="D5955" s="0" t="inlineStr">
        <is>
          <t>'99189</t>
        </is>
      </c>
      <c r="E5955" s="0" t="inlineStr">
        <is>
          <t>BETSY:99189D-XL</t>
        </is>
      </c>
      <c r="F5955" s="0" t="inlineStr">
        <is>
          <t>'000000000000</t>
        </is>
      </c>
      <c r="G5955" s="0" t="inlineStr">
        <is>
          <t>WOMENS</t>
        </is>
      </c>
      <c r="H5955" s="0" t="inlineStr">
        <is>
          <t>XL</t>
        </is>
      </c>
      <c r="I5955" s="0">
        <v>44.99</v>
      </c>
      <c r="J5955" s="0">
        <v>34</v>
      </c>
    </row>
    <row r="5956" spans="1:10" customHeight="0">
      <c r="A5956" s="0">
        <f>HYPERLINK("https://dl.dropboxusercontent.com/scl/fi/hpaibyb0wymle044v2qbb/99189af.jpg?rlkey=aqn9phyd2se06l7u5rrt0r2lh&amp;dl=0","Click to download Image")</f>
      </c>
      <c r="C5956" s="0" t="inlineStr">
        <is>
          <t>Betsy Women's Windbreaker</t>
        </is>
      </c>
      <c r="D5956" s="0" t="inlineStr">
        <is>
          <t>'99189</t>
        </is>
      </c>
      <c r="E5956" s="0" t="inlineStr">
        <is>
          <t>BETSY:99189E-2XL</t>
        </is>
      </c>
      <c r="F5956" s="0" t="inlineStr">
        <is>
          <t>'000000000000</t>
        </is>
      </c>
      <c r="G5956" s="0" t="inlineStr">
        <is>
          <t>WOMENS</t>
        </is>
      </c>
      <c r="H5956" s="0" t="inlineStr">
        <is>
          <t>2XL</t>
        </is>
      </c>
      <c r="I5956" s="0">
        <v>44.99</v>
      </c>
      <c r="J5956" s="0">
        <v>26</v>
      </c>
    </row>
    <row r="5957" spans="1:10" customHeight="0">
      <c r="A5957" s="0">
        <f>HYPERLINK("https://dl.dropboxusercontent.com/scl/fi/hpaibyb0wymle044v2qbb/99189af.jpg?rlkey=aqn9phyd2se06l7u5rrt0r2lh&amp;dl=0","Click to download Image")</f>
      </c>
      <c r="C5957" s="0" t="inlineStr">
        <is>
          <t>Betsy Women's Windbreaker</t>
        </is>
      </c>
      <c r="D5957" s="0" t="inlineStr">
        <is>
          <t>'99189</t>
        </is>
      </c>
      <c r="E5957" s="0" t="inlineStr">
        <is>
          <t>BETSY:99189F-3XL</t>
        </is>
      </c>
      <c r="F5957" s="0" t="inlineStr">
        <is>
          <t>'000000000000</t>
        </is>
      </c>
      <c r="G5957" s="0" t="inlineStr">
        <is>
          <t>WOMENS</t>
        </is>
      </c>
      <c r="H5957" s="0" t="inlineStr">
        <is>
          <t>3XL</t>
        </is>
      </c>
      <c r="I5957" s="0">
        <v>44.99</v>
      </c>
      <c r="J5957" s="0">
        <v>0</v>
      </c>
    </row>
    <row r="5958" spans="1:10" customHeight="0">
      <c r="A5958" s="0">
        <f>HYPERLINK("https://dl.dropboxusercontent.com/scl/fi/xsqaig3hr7s00lo1y43u3/98250af.jpg?rlkey=q9jpbpbxbtl3gikq9zofnhvss&amp;dl=0","Click to download Image")</f>
      </c>
      <c r="B5958" s="0">
        <f>HYPERLINK("https://dl.dropboxusercontent.com/scl/fi/7pjy5x4hfh8gdnzphgj8s/graphic-update2022-womens.jpg?rlkey=r7ytlhwrqwzny89j07gq99jly&amp;dl=0","Click to download SizeChart")</f>
      </c>
      <c r="C5958" s="0" t="inlineStr">
        <is>
          <t>Ivy Women's Full Zip Hoodie</t>
        </is>
      </c>
      <c r="D5958" s="0" t="inlineStr">
        <is>
          <t>'98250</t>
        </is>
      </c>
      <c r="E5958" s="0" t="inlineStr">
        <is>
          <t>IVY:98250A-S</t>
        </is>
      </c>
      <c r="F5958" s="0" t="inlineStr">
        <is>
          <t>'000000000000</t>
        </is>
      </c>
      <c r="G5958" s="0" t="inlineStr">
        <is>
          <t>WOMENS</t>
        </is>
      </c>
      <c r="H5958" s="0" t="inlineStr">
        <is>
          <t>S</t>
        </is>
      </c>
      <c r="I5958" s="0">
        <v>69.99</v>
      </c>
      <c r="J5958" s="0">
        <v>62</v>
      </c>
    </row>
    <row r="5959" spans="1:10" customHeight="0">
      <c r="A5959" s="0">
        <f>HYPERLINK("https://dl.dropboxusercontent.com/scl/fi/xsqaig3hr7s00lo1y43u3/98250af.jpg?rlkey=q9jpbpbxbtl3gikq9zofnhvss&amp;dl=0","Click to download Image")</f>
      </c>
      <c r="B5959" s="0">
        <f>HYPERLINK("https://dl.dropboxusercontent.com/scl/fi/7pjy5x4hfh8gdnzphgj8s/graphic-update2022-womens.jpg?rlkey=r7ytlhwrqwzny89j07gq99jly&amp;dl=0","Click to download SizeChart")</f>
      </c>
      <c r="C5959" s="0" t="inlineStr">
        <is>
          <t>Ivy Women's Full Zip Hoodie</t>
        </is>
      </c>
      <c r="D5959" s="0" t="inlineStr">
        <is>
          <t>'98250</t>
        </is>
      </c>
      <c r="E5959" s="0" t="inlineStr">
        <is>
          <t>IVY:98250B-M</t>
        </is>
      </c>
      <c r="F5959" s="0" t="inlineStr">
        <is>
          <t>'000000000000</t>
        </is>
      </c>
      <c r="G5959" s="0" t="inlineStr">
        <is>
          <t>WOMENS</t>
        </is>
      </c>
      <c r="H5959" s="0" t="inlineStr">
        <is>
          <t>M</t>
        </is>
      </c>
      <c r="I5959" s="0">
        <v>69.99</v>
      </c>
      <c r="J5959" s="0">
        <v>44</v>
      </c>
    </row>
    <row r="5960" spans="1:10" customHeight="0">
      <c r="A5960" s="0">
        <f>HYPERLINK("https://dl.dropboxusercontent.com/scl/fi/xsqaig3hr7s00lo1y43u3/98250af.jpg?rlkey=q9jpbpbxbtl3gikq9zofnhvss&amp;dl=0","Click to download Image")</f>
      </c>
      <c r="B5960" s="0">
        <f>HYPERLINK("https://dl.dropboxusercontent.com/scl/fi/7pjy5x4hfh8gdnzphgj8s/graphic-update2022-womens.jpg?rlkey=r7ytlhwrqwzny89j07gq99jly&amp;dl=0","Click to download SizeChart")</f>
      </c>
      <c r="C5960" s="0" t="inlineStr">
        <is>
          <t>Ivy Women's Full Zip Hoodie</t>
        </is>
      </c>
      <c r="D5960" s="0" t="inlineStr">
        <is>
          <t>'98250</t>
        </is>
      </c>
      <c r="E5960" s="0" t="inlineStr">
        <is>
          <t>IVY:98250C-L</t>
        </is>
      </c>
      <c r="F5960" s="0" t="inlineStr">
        <is>
          <t>'000000000000</t>
        </is>
      </c>
      <c r="G5960" s="0" t="inlineStr">
        <is>
          <t>WOMENS</t>
        </is>
      </c>
      <c r="H5960" s="0" t="inlineStr">
        <is>
          <t>L</t>
        </is>
      </c>
      <c r="I5960" s="0">
        <v>69.99</v>
      </c>
      <c r="J5960" s="0">
        <v>50</v>
      </c>
    </row>
    <row r="5961" spans="1:10" customHeight="0">
      <c r="A5961" s="0">
        <f>HYPERLINK("https://dl.dropboxusercontent.com/scl/fi/xsqaig3hr7s00lo1y43u3/98250af.jpg?rlkey=q9jpbpbxbtl3gikq9zofnhvss&amp;dl=0","Click to download Image")</f>
      </c>
      <c r="B5961" s="0">
        <f>HYPERLINK("https://dl.dropboxusercontent.com/scl/fi/7pjy5x4hfh8gdnzphgj8s/graphic-update2022-womens.jpg?rlkey=r7ytlhwrqwzny89j07gq99jly&amp;dl=0","Click to download SizeChart")</f>
      </c>
      <c r="C5961" s="0" t="inlineStr">
        <is>
          <t>Ivy Women's Full Zip Hoodie</t>
        </is>
      </c>
      <c r="D5961" s="0" t="inlineStr">
        <is>
          <t>'98250</t>
        </is>
      </c>
      <c r="E5961" s="0" t="inlineStr">
        <is>
          <t>IVY:98250D-XL</t>
        </is>
      </c>
      <c r="F5961" s="0" t="inlineStr">
        <is>
          <t>'000000000000</t>
        </is>
      </c>
      <c r="G5961" s="0" t="inlineStr">
        <is>
          <t>WOMENS</t>
        </is>
      </c>
      <c r="H5961" s="0" t="inlineStr">
        <is>
          <t>XL</t>
        </is>
      </c>
      <c r="I5961" s="0">
        <v>69.99</v>
      </c>
      <c r="J5961" s="0">
        <v>59</v>
      </c>
    </row>
    <row r="5962" spans="1:10" customHeight="0">
      <c r="A5962" s="0">
        <f>HYPERLINK("https://dl.dropboxusercontent.com/scl/fi/xsqaig3hr7s00lo1y43u3/98250af.jpg?rlkey=q9jpbpbxbtl3gikq9zofnhvss&amp;dl=0","Click to download Image")</f>
      </c>
      <c r="B5962" s="0">
        <f>HYPERLINK("https://dl.dropboxusercontent.com/scl/fi/7pjy5x4hfh8gdnzphgj8s/graphic-update2022-womens.jpg?rlkey=r7ytlhwrqwzny89j07gq99jly&amp;dl=0","Click to download SizeChart")</f>
      </c>
      <c r="C5962" s="0" t="inlineStr">
        <is>
          <t>Ivy Women's Full Zip Hoodie</t>
        </is>
      </c>
      <c r="D5962" s="0" t="inlineStr">
        <is>
          <t>'98250</t>
        </is>
      </c>
      <c r="E5962" s="0" t="inlineStr">
        <is>
          <t>IVY:98250E-2XL</t>
        </is>
      </c>
      <c r="F5962" s="0" t="inlineStr">
        <is>
          <t>'000000000000</t>
        </is>
      </c>
      <c r="G5962" s="0" t="inlineStr">
        <is>
          <t>WOMENS</t>
        </is>
      </c>
      <c r="H5962" s="0" t="inlineStr">
        <is>
          <t>2XL</t>
        </is>
      </c>
      <c r="I5962" s="0">
        <v>71.99</v>
      </c>
      <c r="J5962" s="0">
        <v>64</v>
      </c>
    </row>
    <row r="5963" spans="1:10" customHeight="0">
      <c r="A5963" s="0">
        <f>HYPERLINK("https://dl.dropboxusercontent.com/scl/fi/xsqaig3hr7s00lo1y43u3/98250af.jpg?rlkey=q9jpbpbxbtl3gikq9zofnhvss&amp;dl=0","Click to download Image")</f>
      </c>
      <c r="B5963" s="0">
        <f>HYPERLINK("https://dl.dropboxusercontent.com/scl/fi/7pjy5x4hfh8gdnzphgj8s/graphic-update2022-womens.jpg?rlkey=r7ytlhwrqwzny89j07gq99jly&amp;dl=0","Click to download SizeChart")</f>
      </c>
      <c r="C5963" s="0" t="inlineStr">
        <is>
          <t>Ivy Women's Full Zip Hoodie</t>
        </is>
      </c>
      <c r="D5963" s="0" t="inlineStr">
        <is>
          <t>'98250</t>
        </is>
      </c>
      <c r="E5963" s="0" t="inlineStr">
        <is>
          <t>IVY:98250F-3XL</t>
        </is>
      </c>
      <c r="F5963" s="0" t="inlineStr">
        <is>
          <t>'000000000000</t>
        </is>
      </c>
      <c r="G5963" s="0" t="inlineStr">
        <is>
          <t>WOMENS</t>
        </is>
      </c>
      <c r="H5963" s="0" t="inlineStr">
        <is>
          <t>3XL</t>
        </is>
      </c>
      <c r="I5963" s="0">
        <v>71.99</v>
      </c>
      <c r="J5963" s="0">
        <v>10</v>
      </c>
    </row>
    <row r="5964" spans="1:10" customHeight="0">
      <c r="A5964" s="0">
        <f>HYPERLINK("https://dl.dropboxusercontent.com/scl/fi/o2xgukpuzxwdjx5zhl2s8/98886af.jpg?rlkey=02uvk87d8mhtrw15o2sax1c7f&amp;dl=0","Click to download Image")</f>
      </c>
      <c r="B5964" s="0">
        <f>HYPERLINK("https://dl.dropboxusercontent.com/scl/fi/7pjy5x4hfh8gdnzphgj8s/graphic-update2022-womens.jpg?rlkey=r7ytlhwrqwzny89j07gq99jly&amp;dl=0","Click to download SizeChart")</f>
      </c>
      <c r="C5964" s="0" t="inlineStr">
        <is>
          <t>Ivy Women's Full Zip Hoodie</t>
        </is>
      </c>
      <c r="D5964" s="0" t="inlineStr">
        <is>
          <t>'98886</t>
        </is>
      </c>
      <c r="E5964" s="0" t="inlineStr">
        <is>
          <t>IVY:98886A-S</t>
        </is>
      </c>
      <c r="F5964" s="0" t="inlineStr">
        <is>
          <t>'000000000000</t>
        </is>
      </c>
      <c r="G5964" s="0" t="inlineStr">
        <is>
          <t>WOMENS</t>
        </is>
      </c>
      <c r="H5964" s="0" t="inlineStr">
        <is>
          <t>S</t>
        </is>
      </c>
      <c r="I5964" s="0">
        <v>69.99</v>
      </c>
      <c r="J5964" s="0">
        <v>22</v>
      </c>
    </row>
    <row r="5965" spans="1:10" customHeight="0">
      <c r="A5965" s="0">
        <f>HYPERLINK("https://dl.dropboxusercontent.com/scl/fi/o2xgukpuzxwdjx5zhl2s8/98886af.jpg?rlkey=02uvk87d8mhtrw15o2sax1c7f&amp;dl=0","Click to download Image")</f>
      </c>
      <c r="B5965" s="0">
        <f>HYPERLINK("https://dl.dropboxusercontent.com/scl/fi/7pjy5x4hfh8gdnzphgj8s/graphic-update2022-womens.jpg?rlkey=r7ytlhwrqwzny89j07gq99jly&amp;dl=0","Click to download SizeChart")</f>
      </c>
      <c r="C5965" s="0" t="inlineStr">
        <is>
          <t>Ivy Women's Full Zip Hoodie</t>
        </is>
      </c>
      <c r="D5965" s="0" t="inlineStr">
        <is>
          <t>'98886</t>
        </is>
      </c>
      <c r="E5965" s="0" t="inlineStr">
        <is>
          <t>IVY:98886B-M</t>
        </is>
      </c>
      <c r="F5965" s="0" t="inlineStr">
        <is>
          <t>'000000000000</t>
        </is>
      </c>
      <c r="G5965" s="0" t="inlineStr">
        <is>
          <t>WOMENS</t>
        </is>
      </c>
      <c r="H5965" s="0" t="inlineStr">
        <is>
          <t>M</t>
        </is>
      </c>
      <c r="I5965" s="0">
        <v>69.99</v>
      </c>
      <c r="J5965" s="0">
        <v>5</v>
      </c>
    </row>
    <row r="5966" spans="1:10" customHeight="0">
      <c r="A5966" s="0">
        <f>HYPERLINK("https://dl.dropboxusercontent.com/scl/fi/o2xgukpuzxwdjx5zhl2s8/98886af.jpg?rlkey=02uvk87d8mhtrw15o2sax1c7f&amp;dl=0","Click to download Image")</f>
      </c>
      <c r="B5966" s="0">
        <f>HYPERLINK("https://dl.dropboxusercontent.com/scl/fi/7pjy5x4hfh8gdnzphgj8s/graphic-update2022-womens.jpg?rlkey=r7ytlhwrqwzny89j07gq99jly&amp;dl=0","Click to download SizeChart")</f>
      </c>
      <c r="C5966" s="0" t="inlineStr">
        <is>
          <t>Ivy Women's Full Zip Hoodie</t>
        </is>
      </c>
      <c r="D5966" s="0" t="inlineStr">
        <is>
          <t>'98886</t>
        </is>
      </c>
      <c r="E5966" s="0" t="inlineStr">
        <is>
          <t>IVY:98886C-L</t>
        </is>
      </c>
      <c r="F5966" s="0" t="inlineStr">
        <is>
          <t>'000000000000</t>
        </is>
      </c>
      <c r="G5966" s="0" t="inlineStr">
        <is>
          <t>WOMENS</t>
        </is>
      </c>
      <c r="H5966" s="0" t="inlineStr">
        <is>
          <t>L</t>
        </is>
      </c>
      <c r="I5966" s="0">
        <v>69.99</v>
      </c>
      <c r="J5966" s="0">
        <v>13</v>
      </c>
    </row>
    <row r="5967" spans="1:10" customHeight="0">
      <c r="A5967" s="0">
        <f>HYPERLINK("https://dl.dropboxusercontent.com/scl/fi/o2xgukpuzxwdjx5zhl2s8/98886af.jpg?rlkey=02uvk87d8mhtrw15o2sax1c7f&amp;dl=0","Click to download Image")</f>
      </c>
      <c r="B5967" s="0">
        <f>HYPERLINK("https://dl.dropboxusercontent.com/scl/fi/7pjy5x4hfh8gdnzphgj8s/graphic-update2022-womens.jpg?rlkey=r7ytlhwrqwzny89j07gq99jly&amp;dl=0","Click to download SizeChart")</f>
      </c>
      <c r="C5967" s="0" t="inlineStr">
        <is>
          <t>Ivy Women's Full Zip Hoodie</t>
        </is>
      </c>
      <c r="D5967" s="0" t="inlineStr">
        <is>
          <t>'98886</t>
        </is>
      </c>
      <c r="E5967" s="0" t="inlineStr">
        <is>
          <t>IVY:98886D-XL</t>
        </is>
      </c>
      <c r="F5967" s="0" t="inlineStr">
        <is>
          <t>'000000000000</t>
        </is>
      </c>
      <c r="G5967" s="0" t="inlineStr">
        <is>
          <t>WOMENS</t>
        </is>
      </c>
      <c r="H5967" s="0" t="inlineStr">
        <is>
          <t>XL</t>
        </is>
      </c>
      <c r="I5967" s="0">
        <v>69.99</v>
      </c>
      <c r="J5967" s="0">
        <v>41</v>
      </c>
    </row>
    <row r="5968" spans="1:10" customHeight="0">
      <c r="A5968" s="0">
        <f>HYPERLINK("https://dl.dropboxusercontent.com/scl/fi/o2xgukpuzxwdjx5zhl2s8/98886af.jpg?rlkey=02uvk87d8mhtrw15o2sax1c7f&amp;dl=0","Click to download Image")</f>
      </c>
      <c r="B5968" s="0">
        <f>HYPERLINK("https://dl.dropboxusercontent.com/scl/fi/7pjy5x4hfh8gdnzphgj8s/graphic-update2022-womens.jpg?rlkey=r7ytlhwrqwzny89j07gq99jly&amp;dl=0","Click to download SizeChart")</f>
      </c>
      <c r="C5968" s="0" t="inlineStr">
        <is>
          <t>Ivy Women's Full Zip Hoodie</t>
        </is>
      </c>
      <c r="D5968" s="0" t="inlineStr">
        <is>
          <t>'98886</t>
        </is>
      </c>
      <c r="E5968" s="0" t="inlineStr">
        <is>
          <t>IVY:98886E-2XL</t>
        </is>
      </c>
      <c r="F5968" s="0" t="inlineStr">
        <is>
          <t>'000000000000</t>
        </is>
      </c>
      <c r="G5968" s="0" t="inlineStr">
        <is>
          <t>WOMENS</t>
        </is>
      </c>
      <c r="H5968" s="0" t="inlineStr">
        <is>
          <t>2XL</t>
        </is>
      </c>
      <c r="I5968" s="0">
        <v>71.99</v>
      </c>
      <c r="J5968" s="0">
        <v>23</v>
      </c>
    </row>
    <row r="5969" spans="1:10" customHeight="0">
      <c r="A5969" s="0">
        <f>HYPERLINK("https://dl.dropboxusercontent.com/scl/fi/o2xgukpuzxwdjx5zhl2s8/98886af.jpg?rlkey=02uvk87d8mhtrw15o2sax1c7f&amp;dl=0","Click to download Image")</f>
      </c>
      <c r="B5969" s="0">
        <f>HYPERLINK("https://dl.dropboxusercontent.com/scl/fi/7pjy5x4hfh8gdnzphgj8s/graphic-update2022-womens.jpg?rlkey=r7ytlhwrqwzny89j07gq99jly&amp;dl=0","Click to download SizeChart")</f>
      </c>
      <c r="C5969" s="0" t="inlineStr">
        <is>
          <t>Ivy Women's Full Zip Hoodie</t>
        </is>
      </c>
      <c r="D5969" s="0" t="inlineStr">
        <is>
          <t>'98886</t>
        </is>
      </c>
      <c r="E5969" s="0" t="inlineStr">
        <is>
          <t>IVY:98886F-3XL</t>
        </is>
      </c>
      <c r="F5969" s="0" t="inlineStr">
        <is>
          <t>'000000000000</t>
        </is>
      </c>
      <c r="G5969" s="0" t="inlineStr">
        <is>
          <t>WOMENS</t>
        </is>
      </c>
      <c r="H5969" s="0" t="inlineStr">
        <is>
          <t>3XL</t>
        </is>
      </c>
      <c r="I5969" s="0">
        <v>71.99</v>
      </c>
      <c r="J5969" s="0">
        <v>21</v>
      </c>
    </row>
    <row r="5970" spans="1:10" customHeight="0">
      <c r="A5970" s="0">
        <f>HYPERLINK("https://dl.dropboxusercontent.com/scl/fi/irjz7qtafdfqacaao7b6j/cheyenne.jpg?rlkey=knihhwc2m04rqfnwlkwjyps7f&amp;dl=0","Click to download Image")</f>
      </c>
      <c r="C5970" s="0" t="inlineStr">
        <is>
          <t>Cheyenne Military Youth Cap</t>
        </is>
      </c>
      <c r="D5970" s="0" t="inlineStr">
        <is>
          <t>'98888</t>
        </is>
      </c>
      <c r="E5970" s="0" t="inlineStr">
        <is>
          <t>CHEYENNE:98888</t>
        </is>
      </c>
      <c r="F5970" s="0" t="inlineStr">
        <is>
          <t>'070009888801</t>
        </is>
      </c>
      <c r="G5970" s="0" t="inlineStr">
        <is>
          <t>YOUTH</t>
        </is>
      </c>
      <c r="H5970" s="0" t="inlineStr">
        <is>
          <t>YOUTH</t>
        </is>
      </c>
      <c r="I5970" s="0">
        <v>23.99</v>
      </c>
      <c r="J5970" s="0">
        <v>127</v>
      </c>
    </row>
    <row r="5971" spans="1:10" customHeight="0">
      <c r="A5971" s="0">
        <f>HYPERLINK("https://dl.dropboxusercontent.com/scl/fi/2on0rz90r4a6038k0pkeb/97669-af.jpg?rlkey=wg8tns6o4v690m9r7eb70aqid&amp;dl=0","Click to download Image")</f>
      </c>
      <c r="C5971" s="0" t="inlineStr">
        <is>
          <t>Cora Youth Long Sleeve</t>
        </is>
      </c>
      <c r="D5971" s="0" t="inlineStr">
        <is>
          <t>'97669</t>
        </is>
      </c>
      <c r="E5971" s="0" t="inlineStr">
        <is>
          <t>CORA:97669A-S</t>
        </is>
      </c>
      <c r="F5971" s="0" t="inlineStr">
        <is>
          <t>'000000000000</t>
        </is>
      </c>
      <c r="G5971" s="0" t="inlineStr">
        <is>
          <t>YOUTH</t>
        </is>
      </c>
      <c r="H5971" s="0" t="inlineStr">
        <is>
          <t>YS</t>
        </is>
      </c>
      <c r="I5971" s="0">
        <v>39.99</v>
      </c>
      <c r="J5971" s="0">
        <v>21</v>
      </c>
    </row>
    <row r="5972" spans="1:10" customHeight="0">
      <c r="A5972" s="0">
        <f>HYPERLINK("https://dl.dropboxusercontent.com/scl/fi/2on0rz90r4a6038k0pkeb/97669-af.jpg?rlkey=wg8tns6o4v690m9r7eb70aqid&amp;dl=0","Click to download Image")</f>
      </c>
      <c r="C5972" s="0" t="inlineStr">
        <is>
          <t>Cora Youth Long Sleeve</t>
        </is>
      </c>
      <c r="D5972" s="0" t="inlineStr">
        <is>
          <t>'97669</t>
        </is>
      </c>
      <c r="E5972" s="0" t="inlineStr">
        <is>
          <t>CORA:97669B-M</t>
        </is>
      </c>
      <c r="F5972" s="0" t="inlineStr">
        <is>
          <t>'000000000000</t>
        </is>
      </c>
      <c r="G5972" s="0" t="inlineStr">
        <is>
          <t>YOUTH</t>
        </is>
      </c>
      <c r="H5972" s="0" t="inlineStr">
        <is>
          <t>YM</t>
        </is>
      </c>
      <c r="I5972" s="0">
        <v>39.99</v>
      </c>
      <c r="J5972" s="0">
        <v>0</v>
      </c>
    </row>
    <row r="5973" spans="1:10" customHeight="0">
      <c r="A5973" s="0">
        <f>HYPERLINK("https://dl.dropboxusercontent.com/scl/fi/2on0rz90r4a6038k0pkeb/97669-af.jpg?rlkey=wg8tns6o4v690m9r7eb70aqid&amp;dl=0","Click to download Image")</f>
      </c>
      <c r="C5973" s="0" t="inlineStr">
        <is>
          <t>Cora Youth Long Sleeve</t>
        </is>
      </c>
      <c r="D5973" s="0" t="inlineStr">
        <is>
          <t>'97669</t>
        </is>
      </c>
      <c r="E5973" s="0" t="inlineStr">
        <is>
          <t>CORA:97669C-L</t>
        </is>
      </c>
      <c r="F5973" s="0" t="inlineStr">
        <is>
          <t>'000000000000</t>
        </is>
      </c>
      <c r="G5973" s="0" t="inlineStr">
        <is>
          <t>YOUTH</t>
        </is>
      </c>
      <c r="H5973" s="0" t="inlineStr">
        <is>
          <t>YL</t>
        </is>
      </c>
      <c r="I5973" s="0">
        <v>39.99</v>
      </c>
      <c r="J5973" s="0">
        <v>7</v>
      </c>
    </row>
    <row r="5974" spans="1:10" customHeight="0">
      <c r="A5974" s="0">
        <f>HYPERLINK("https://dl.dropboxusercontent.com/scl/fi/2on0rz90r4a6038k0pkeb/97669-af.jpg?rlkey=wg8tns6o4v690m9r7eb70aqid&amp;dl=0","Click to download Image")</f>
      </c>
      <c r="C5974" s="0" t="inlineStr">
        <is>
          <t>Cora Youth Long Sleeve</t>
        </is>
      </c>
      <c r="D5974" s="0" t="inlineStr">
        <is>
          <t>'97669</t>
        </is>
      </c>
      <c r="E5974" s="0" t="inlineStr">
        <is>
          <t>CORA:97669D-XL</t>
        </is>
      </c>
      <c r="F5974" s="0" t="inlineStr">
        <is>
          <t>'000000000000</t>
        </is>
      </c>
      <c r="G5974" s="0" t="inlineStr">
        <is>
          <t>YOUTH</t>
        </is>
      </c>
      <c r="H5974" s="0" t="inlineStr">
        <is>
          <t>YXL</t>
        </is>
      </c>
      <c r="I5974" s="0">
        <v>39.99</v>
      </c>
      <c r="J5974" s="0">
        <v>28</v>
      </c>
    </row>
    <row r="5975" spans="1:10" customHeight="0">
      <c r="A5975" s="0">
        <f>HYPERLINK("https://dl.dropboxusercontent.com/scl/fi/ln53ywrrxaiojnojahb38/97540-af.jpg?rlkey=k4j9jp56epjarwnk1wwmumj09&amp;dl=0","Click to download Image")</f>
      </c>
      <c r="C5975" s="0" t="inlineStr">
        <is>
          <t>Cora Youth Long Sleeve</t>
        </is>
      </c>
      <c r="D5975" s="0" t="inlineStr">
        <is>
          <t>'97540</t>
        </is>
      </c>
      <c r="E5975" s="0" t="inlineStr">
        <is>
          <t>CORA:97540A-S</t>
        </is>
      </c>
      <c r="F5975" s="0" t="inlineStr">
        <is>
          <t>'000000000000</t>
        </is>
      </c>
      <c r="G5975" s="0" t="inlineStr">
        <is>
          <t>YOUTH</t>
        </is>
      </c>
      <c r="H5975" s="0" t="inlineStr">
        <is>
          <t>YS</t>
        </is>
      </c>
      <c r="I5975" s="0">
        <v>39.99</v>
      </c>
      <c r="J5975" s="0">
        <v>11</v>
      </c>
    </row>
    <row r="5976" spans="1:10" customHeight="0">
      <c r="A5976" s="0">
        <f>HYPERLINK("https://dl.dropboxusercontent.com/scl/fi/ln53ywrrxaiojnojahb38/97540-af.jpg?rlkey=k4j9jp56epjarwnk1wwmumj09&amp;dl=0","Click to download Image")</f>
      </c>
      <c r="C5976" s="0" t="inlineStr">
        <is>
          <t>Cora Youth Long Sleeve</t>
        </is>
      </c>
      <c r="D5976" s="0" t="inlineStr">
        <is>
          <t>'97540</t>
        </is>
      </c>
      <c r="E5976" s="0" t="inlineStr">
        <is>
          <t>CORA:975409B-M</t>
        </is>
      </c>
      <c r="F5976" s="0" t="inlineStr">
        <is>
          <t>'000000000000</t>
        </is>
      </c>
      <c r="G5976" s="0" t="inlineStr">
        <is>
          <t>YOUTH</t>
        </is>
      </c>
      <c r="H5976" s="0" t="inlineStr">
        <is>
          <t>YM</t>
        </is>
      </c>
      <c r="I5976" s="0">
        <v>39.99</v>
      </c>
      <c r="J5976" s="0">
        <v>10</v>
      </c>
    </row>
    <row r="5977" spans="1:10" customHeight="0">
      <c r="A5977" s="0">
        <f>HYPERLINK("https://dl.dropboxusercontent.com/scl/fi/ln53ywrrxaiojnojahb38/97540-af.jpg?rlkey=k4j9jp56epjarwnk1wwmumj09&amp;dl=0","Click to download Image")</f>
      </c>
      <c r="C5977" s="0" t="inlineStr">
        <is>
          <t>Cora Youth Long Sleeve</t>
        </is>
      </c>
      <c r="D5977" s="0" t="inlineStr">
        <is>
          <t>'97540</t>
        </is>
      </c>
      <c r="E5977" s="0" t="inlineStr">
        <is>
          <t>CORA:97540C-L</t>
        </is>
      </c>
      <c r="F5977" s="0" t="inlineStr">
        <is>
          <t>'000000000000</t>
        </is>
      </c>
      <c r="G5977" s="0" t="inlineStr">
        <is>
          <t>YOUTH</t>
        </is>
      </c>
      <c r="H5977" s="0" t="inlineStr">
        <is>
          <t>YL</t>
        </is>
      </c>
      <c r="I5977" s="0">
        <v>39.99</v>
      </c>
      <c r="J5977" s="0">
        <v>10</v>
      </c>
    </row>
    <row r="5978" spans="1:10" customHeight="0">
      <c r="A5978" s="0">
        <f>HYPERLINK("https://dl.dropboxusercontent.com/scl/fi/ln53ywrrxaiojnojahb38/97540-af.jpg?rlkey=k4j9jp56epjarwnk1wwmumj09&amp;dl=0","Click to download Image")</f>
      </c>
      <c r="C5978" s="0" t="inlineStr">
        <is>
          <t>Cora Youth Long Sleeve</t>
        </is>
      </c>
      <c r="D5978" s="0" t="inlineStr">
        <is>
          <t>'97540</t>
        </is>
      </c>
      <c r="E5978" s="0" t="inlineStr">
        <is>
          <t>CORA:97540D-XL</t>
        </is>
      </c>
      <c r="F5978" s="0" t="inlineStr">
        <is>
          <t>'000000000000</t>
        </is>
      </c>
      <c r="G5978" s="0" t="inlineStr">
        <is>
          <t>YOUTH</t>
        </is>
      </c>
      <c r="H5978" s="0" t="inlineStr">
        <is>
          <t>YXL</t>
        </is>
      </c>
      <c r="I5978" s="0">
        <v>39.99</v>
      </c>
      <c r="J5978" s="0">
        <v>16</v>
      </c>
    </row>
    <row r="5979" spans="1:10" customHeight="0">
      <c r="A5979" s="0">
        <f>HYPERLINK("https://dl.dropboxusercontent.com/scl/fi/0luqpfioi1jecxrrh48th/y97840-af.jpg?rlkey=yzu11bpaaetuwb0qplzkb771v&amp;dl=0","Click to download Image")</f>
      </c>
      <c r="C5979" s="0" t="inlineStr">
        <is>
          <t>Cora Youth Long Sleeve</t>
        </is>
      </c>
      <c r="D5979" s="0" t="inlineStr">
        <is>
          <t>'97840</t>
        </is>
      </c>
      <c r="E5979" s="0" t="inlineStr">
        <is>
          <t>CORA:97840A-S</t>
        </is>
      </c>
      <c r="F5979" s="0" t="inlineStr">
        <is>
          <t>'000000000000</t>
        </is>
      </c>
      <c r="G5979" s="0" t="inlineStr">
        <is>
          <t>YOUTH</t>
        </is>
      </c>
      <c r="H5979" s="0" t="inlineStr">
        <is>
          <t>YS</t>
        </is>
      </c>
      <c r="I5979" s="0">
        <v>39.99</v>
      </c>
      <c r="J5979" s="0">
        <v>19</v>
      </c>
    </row>
    <row r="5980" spans="1:10" customHeight="0">
      <c r="A5980" s="0">
        <f>HYPERLINK("https://dl.dropboxusercontent.com/scl/fi/0luqpfioi1jecxrrh48th/y97840-af.jpg?rlkey=yzu11bpaaetuwb0qplzkb771v&amp;dl=0","Click to download Image")</f>
      </c>
      <c r="C5980" s="0" t="inlineStr">
        <is>
          <t>Cora Youth Long Sleeve</t>
        </is>
      </c>
      <c r="D5980" s="0" t="inlineStr">
        <is>
          <t>'97840</t>
        </is>
      </c>
      <c r="E5980" s="0" t="inlineStr">
        <is>
          <t>CORA:97840B-M</t>
        </is>
      </c>
      <c r="F5980" s="0" t="inlineStr">
        <is>
          <t>'000000000000</t>
        </is>
      </c>
      <c r="G5980" s="0" t="inlineStr">
        <is>
          <t>YOUTH</t>
        </is>
      </c>
      <c r="H5980" s="0" t="inlineStr">
        <is>
          <t>YM</t>
        </is>
      </c>
      <c r="I5980" s="0">
        <v>39.99</v>
      </c>
      <c r="J5980" s="0">
        <v>18</v>
      </c>
    </row>
    <row r="5981" spans="1:10" customHeight="0">
      <c r="A5981" s="0">
        <f>HYPERLINK("https://dl.dropboxusercontent.com/scl/fi/0luqpfioi1jecxrrh48th/y97840-af.jpg?rlkey=yzu11bpaaetuwb0qplzkb771v&amp;dl=0","Click to download Image")</f>
      </c>
      <c r="C5981" s="0" t="inlineStr">
        <is>
          <t>Cora Youth Long Sleeve</t>
        </is>
      </c>
      <c r="D5981" s="0" t="inlineStr">
        <is>
          <t>'97840</t>
        </is>
      </c>
      <c r="E5981" s="0" t="inlineStr">
        <is>
          <t>CORA:97840C-L</t>
        </is>
      </c>
      <c r="F5981" s="0" t="inlineStr">
        <is>
          <t>'000000000000</t>
        </is>
      </c>
      <c r="G5981" s="0" t="inlineStr">
        <is>
          <t>YOUTH</t>
        </is>
      </c>
      <c r="H5981" s="0" t="inlineStr">
        <is>
          <t>YL</t>
        </is>
      </c>
      <c r="I5981" s="0">
        <v>39.99</v>
      </c>
      <c r="J5981" s="0">
        <v>15</v>
      </c>
    </row>
    <row r="5982" spans="1:10" customHeight="0">
      <c r="A5982" s="0">
        <f>HYPERLINK("https://dl.dropboxusercontent.com/scl/fi/0luqpfioi1jecxrrh48th/y97840-af.jpg?rlkey=yzu11bpaaetuwb0qplzkb771v&amp;dl=0","Click to download Image")</f>
      </c>
      <c r="C5982" s="0" t="inlineStr">
        <is>
          <t>Cora Youth Long Sleeve</t>
        </is>
      </c>
      <c r="D5982" s="0" t="inlineStr">
        <is>
          <t>'97840</t>
        </is>
      </c>
      <c r="E5982" s="0" t="inlineStr">
        <is>
          <t>CORA:97840D-XL</t>
        </is>
      </c>
      <c r="F5982" s="0" t="inlineStr">
        <is>
          <t>'000000000000</t>
        </is>
      </c>
      <c r="G5982" s="0" t="inlineStr">
        <is>
          <t>YOUTH</t>
        </is>
      </c>
      <c r="H5982" s="0" t="inlineStr">
        <is>
          <t>YXL</t>
        </is>
      </c>
      <c r="I5982" s="0">
        <v>39.99</v>
      </c>
      <c r="J5982" s="0">
        <v>18</v>
      </c>
    </row>
    <row r="5983" spans="1:10" customHeight="0">
      <c r="A5983" s="0">
        <f>HYPERLINK("https://dl.dropboxusercontent.com/scl/fi/mk34n41bhduwth8ko0x09/gene.jpg?rlkey=rofxmrgp09hxe8top2av4bd8b&amp;dl=0","Click to download Image")</f>
      </c>
      <c r="C5983" s="0" t="inlineStr">
        <is>
          <t>Gene Youth Cap</t>
        </is>
      </c>
      <c r="D5983" s="0" t="inlineStr">
        <is>
          <t>'99871</t>
        </is>
      </c>
      <c r="E5983" s="0" t="inlineStr">
        <is>
          <t>GENE:99871</t>
        </is>
      </c>
      <c r="F5983" s="0" t="inlineStr">
        <is>
          <t>'070009987101</t>
        </is>
      </c>
      <c r="G5983" s="0" t="inlineStr">
        <is>
          <t>YOUTH</t>
        </is>
      </c>
      <c r="H5983" s="0" t="inlineStr">
        <is>
          <t>YOUTH</t>
        </is>
      </c>
      <c r="I5983" s="0">
        <v>21.99</v>
      </c>
      <c r="J5983" s="0">
        <v>371</v>
      </c>
    </row>
    <row r="5984" spans="1:10" customHeight="0">
      <c r="A5984" s="0">
        <f>HYPERLINK("https://dl.dropboxusercontent.com/scl/fi/eljrkqimg5eqr08igqp2j/halsey.jpg?rlkey=cvew5h4htm95t45yhxc1c3ha5&amp;dl=0","Click to download Image")</f>
      </c>
      <c r="C5984" s="0" t="inlineStr">
        <is>
          <t>Halsey Youth Cap</t>
        </is>
      </c>
      <c r="D5984" s="0" t="inlineStr">
        <is>
          <t>'99728</t>
        </is>
      </c>
      <c r="E5984" s="0" t="inlineStr">
        <is>
          <t>HALSEY:99728-Y</t>
        </is>
      </c>
      <c r="F5984" s="0" t="inlineStr">
        <is>
          <t>'070009972801</t>
        </is>
      </c>
      <c r="G5984" s="0" t="inlineStr">
        <is>
          <t>YOUTH</t>
        </is>
      </c>
      <c r="H5984" s="0" t="inlineStr">
        <is>
          <t>YOUTH</t>
        </is>
      </c>
      <c r="I5984" s="0">
        <v>18.99</v>
      </c>
      <c r="J5984" s="0">
        <v>28</v>
      </c>
    </row>
    <row r="5985" spans="1:10" customHeight="0">
      <c r="A5985" s="0">
        <f>HYPERLINK("https://dl.dropboxusercontent.com/scl/fi/oode7f71qbadpxddpxzdc/97811-af.jpg?rlkey=qsy5y7fikyz7ubb1fswz1mkf9&amp;dl=0","Click to download Image")</f>
      </c>
      <c r="B5985" s="0">
        <f>HYPERLINK("https://dl.dropboxusercontent.com/scl/fi/1krgihb73vflnoj4gckml/graphic-update2022-womens.jpg?rlkey=u4d61za72bjoe9ft9bvrtxymt&amp;dl=0","Click to download SizeChart")</f>
      </c>
      <c r="C5985" s="0" t="inlineStr">
        <is>
          <t>Cora Women's Long Sleeve</t>
        </is>
      </c>
      <c r="D5985" s="0" t="inlineStr">
        <is>
          <t>'97811</t>
        </is>
      </c>
      <c r="E5985" s="0" t="inlineStr">
        <is>
          <t>CORA:97811A-S</t>
        </is>
      </c>
      <c r="F5985" s="0" t="inlineStr">
        <is>
          <t>'000000000000</t>
        </is>
      </c>
      <c r="G5985" s="0" t="inlineStr">
        <is>
          <t>WOMENS</t>
        </is>
      </c>
      <c r="H5985" s="0" t="inlineStr">
        <is>
          <t>S</t>
        </is>
      </c>
      <c r="I5985" s="0">
        <v>39.99</v>
      </c>
      <c r="J5985" s="0">
        <v>0</v>
      </c>
    </row>
    <row r="5986" spans="1:10" customHeight="0">
      <c r="A5986" s="0">
        <f>HYPERLINK("https://dl.dropboxusercontent.com/scl/fi/oode7f71qbadpxddpxzdc/97811-af.jpg?rlkey=qsy5y7fikyz7ubb1fswz1mkf9&amp;dl=0","Click to download Image")</f>
      </c>
      <c r="B5986" s="0">
        <f>HYPERLINK("https://dl.dropboxusercontent.com/scl/fi/1krgihb73vflnoj4gckml/graphic-update2022-womens.jpg?rlkey=u4d61za72bjoe9ft9bvrtxymt&amp;dl=0","Click to download SizeChart")</f>
      </c>
      <c r="C5986" s="0" t="inlineStr">
        <is>
          <t>Cora Women's Long Sleeve</t>
        </is>
      </c>
      <c r="D5986" s="0" t="inlineStr">
        <is>
          <t>'97811</t>
        </is>
      </c>
      <c r="E5986" s="0" t="inlineStr">
        <is>
          <t>CORA:97811B-M</t>
        </is>
      </c>
      <c r="F5986" s="0" t="inlineStr">
        <is>
          <t>'000000000000</t>
        </is>
      </c>
      <c r="G5986" s="0" t="inlineStr">
        <is>
          <t>WOMENS</t>
        </is>
      </c>
      <c r="H5986" s="0" t="inlineStr">
        <is>
          <t>M</t>
        </is>
      </c>
      <c r="I5986" s="0">
        <v>39.99</v>
      </c>
      <c r="J5986" s="0">
        <v>1</v>
      </c>
    </row>
    <row r="5987" spans="1:10" customHeight="0">
      <c r="A5987" s="0">
        <f>HYPERLINK("https://dl.dropboxusercontent.com/scl/fi/oode7f71qbadpxddpxzdc/97811-af.jpg?rlkey=qsy5y7fikyz7ubb1fswz1mkf9&amp;dl=0","Click to download Image")</f>
      </c>
      <c r="B5987" s="0">
        <f>HYPERLINK("https://dl.dropboxusercontent.com/scl/fi/1krgihb73vflnoj4gckml/graphic-update2022-womens.jpg?rlkey=u4d61za72bjoe9ft9bvrtxymt&amp;dl=0","Click to download SizeChart")</f>
      </c>
      <c r="C5987" s="0" t="inlineStr">
        <is>
          <t>Cora Women's Long Sleeve</t>
        </is>
      </c>
      <c r="D5987" s="0" t="inlineStr">
        <is>
          <t>'97811</t>
        </is>
      </c>
      <c r="E5987" s="0" t="inlineStr">
        <is>
          <t>CORA:97811C-L</t>
        </is>
      </c>
      <c r="F5987" s="0" t="inlineStr">
        <is>
          <t>'000000000000</t>
        </is>
      </c>
      <c r="G5987" s="0" t="inlineStr">
        <is>
          <t>WOMENS</t>
        </is>
      </c>
      <c r="H5987" s="0" t="inlineStr">
        <is>
          <t>L</t>
        </is>
      </c>
      <c r="I5987" s="0">
        <v>39.99</v>
      </c>
      <c r="J5987" s="0">
        <v>9</v>
      </c>
    </row>
    <row r="5988" spans="1:10" customHeight="0">
      <c r="A5988" s="0">
        <f>HYPERLINK("https://dl.dropboxusercontent.com/scl/fi/oode7f71qbadpxddpxzdc/97811-af.jpg?rlkey=qsy5y7fikyz7ubb1fswz1mkf9&amp;dl=0","Click to download Image")</f>
      </c>
      <c r="B5988" s="0">
        <f>HYPERLINK("https://dl.dropboxusercontent.com/scl/fi/1krgihb73vflnoj4gckml/graphic-update2022-womens.jpg?rlkey=u4d61za72bjoe9ft9bvrtxymt&amp;dl=0","Click to download SizeChart")</f>
      </c>
      <c r="C5988" s="0" t="inlineStr">
        <is>
          <t>Cora Women's Long Sleeve</t>
        </is>
      </c>
      <c r="D5988" s="0" t="inlineStr">
        <is>
          <t>'97811</t>
        </is>
      </c>
      <c r="E5988" s="0" t="inlineStr">
        <is>
          <t>CORA:97811D-XL</t>
        </is>
      </c>
      <c r="F5988" s="0" t="inlineStr">
        <is>
          <t>'000000000000</t>
        </is>
      </c>
      <c r="G5988" s="0" t="inlineStr">
        <is>
          <t>WOMENS</t>
        </is>
      </c>
      <c r="H5988" s="0" t="inlineStr">
        <is>
          <t>XL</t>
        </is>
      </c>
      <c r="I5988" s="0">
        <v>39.99</v>
      </c>
      <c r="J5988" s="0">
        <v>10</v>
      </c>
    </row>
    <row r="5989" spans="1:10" customHeight="0">
      <c r="A5989" s="0">
        <f>HYPERLINK("https://dl.dropboxusercontent.com/scl/fi/oode7f71qbadpxddpxzdc/97811-af.jpg?rlkey=qsy5y7fikyz7ubb1fswz1mkf9&amp;dl=0","Click to download Image")</f>
      </c>
      <c r="B5989" s="0">
        <f>HYPERLINK("https://dl.dropboxusercontent.com/scl/fi/1krgihb73vflnoj4gckml/graphic-update2022-womens.jpg?rlkey=u4d61za72bjoe9ft9bvrtxymt&amp;dl=0","Click to download SizeChart")</f>
      </c>
      <c r="C5989" s="0" t="inlineStr">
        <is>
          <t>Cora Women's Long Sleeve</t>
        </is>
      </c>
      <c r="D5989" s="0" t="inlineStr">
        <is>
          <t>'97811</t>
        </is>
      </c>
      <c r="E5989" s="0" t="inlineStr">
        <is>
          <t>CORA:97811E-2XL</t>
        </is>
      </c>
      <c r="F5989" s="0" t="inlineStr">
        <is>
          <t>'000000000000</t>
        </is>
      </c>
      <c r="G5989" s="0" t="inlineStr">
        <is>
          <t>WOMENS</t>
        </is>
      </c>
      <c r="H5989" s="0" t="inlineStr">
        <is>
          <t>2XL</t>
        </is>
      </c>
      <c r="I5989" s="0">
        <v>41.99</v>
      </c>
      <c r="J5989" s="0">
        <v>0</v>
      </c>
    </row>
    <row r="5990" spans="1:10" customHeight="0">
      <c r="A5990" s="0">
        <f>HYPERLINK("https://dl.dropboxusercontent.com/scl/fi/oode7f71qbadpxddpxzdc/97811-af.jpg?rlkey=qsy5y7fikyz7ubb1fswz1mkf9&amp;dl=0","Click to download Image")</f>
      </c>
      <c r="B5990" s="0">
        <f>HYPERLINK("https://dl.dropboxusercontent.com/scl/fi/1krgihb73vflnoj4gckml/graphic-update2022-womens.jpg?rlkey=u4d61za72bjoe9ft9bvrtxymt&amp;dl=0","Click to download SizeChart")</f>
      </c>
      <c r="C5990" s="0" t="inlineStr">
        <is>
          <t>Cora Women's Long Sleeve</t>
        </is>
      </c>
      <c r="D5990" s="0" t="inlineStr">
        <is>
          <t>'97811</t>
        </is>
      </c>
      <c r="E5990" s="0" t="inlineStr">
        <is>
          <t>CORA:97811F-3XL</t>
        </is>
      </c>
      <c r="F5990" s="0" t="inlineStr">
        <is>
          <t>'000000000000</t>
        </is>
      </c>
      <c r="G5990" s="0" t="inlineStr">
        <is>
          <t>WOMENS</t>
        </is>
      </c>
      <c r="H5990" s="0" t="inlineStr">
        <is>
          <t>3XL</t>
        </is>
      </c>
      <c r="I5990" s="0">
        <v>41.99</v>
      </c>
      <c r="J5990" s="0">
        <v>12</v>
      </c>
    </row>
    <row r="5991" spans="1:10" customHeight="0">
      <c r="A5991" s="0">
        <f>HYPERLINK("https://dl.dropboxusercontent.com/scl/fi/aryirshzxh8ndtgmq21ad/97810-af.jpg?rlkey=x43de9l3zrjoavr26phhdrvnn&amp;dl=0","Click to download Image")</f>
      </c>
      <c r="B5991" s="0">
        <f>HYPERLINK("https://dl.dropboxusercontent.com/scl/fi/1krgihb73vflnoj4gckml/graphic-update2022-womens.jpg?rlkey=u4d61za72bjoe9ft9bvrtxymt&amp;dl=0","Click to download SizeChart")</f>
      </c>
      <c r="C5991" s="0" t="inlineStr">
        <is>
          <t>Cora Women's Long Sleeve</t>
        </is>
      </c>
      <c r="D5991" s="0" t="inlineStr">
        <is>
          <t>'97810</t>
        </is>
      </c>
      <c r="E5991" s="0" t="inlineStr">
        <is>
          <t>CORA:97810A-S</t>
        </is>
      </c>
      <c r="F5991" s="0" t="inlineStr">
        <is>
          <t>'000000000000</t>
        </is>
      </c>
      <c r="G5991" s="0" t="inlineStr">
        <is>
          <t>WOMENS</t>
        </is>
      </c>
      <c r="H5991" s="0" t="inlineStr">
        <is>
          <t>S</t>
        </is>
      </c>
      <c r="I5991" s="0">
        <v>39.99</v>
      </c>
      <c r="J5991" s="0">
        <v>0</v>
      </c>
    </row>
    <row r="5992" spans="1:10" customHeight="0">
      <c r="A5992" s="0">
        <f>HYPERLINK("https://dl.dropboxusercontent.com/scl/fi/aryirshzxh8ndtgmq21ad/97810-af.jpg?rlkey=x43de9l3zrjoavr26phhdrvnn&amp;dl=0","Click to download Image")</f>
      </c>
      <c r="B5992" s="0">
        <f>HYPERLINK("https://dl.dropboxusercontent.com/scl/fi/1krgihb73vflnoj4gckml/graphic-update2022-womens.jpg?rlkey=u4d61za72bjoe9ft9bvrtxymt&amp;dl=0","Click to download SizeChart")</f>
      </c>
      <c r="C5992" s="0" t="inlineStr">
        <is>
          <t>Cora Women's Long Sleeve</t>
        </is>
      </c>
      <c r="D5992" s="0" t="inlineStr">
        <is>
          <t>'97810</t>
        </is>
      </c>
      <c r="E5992" s="0" t="inlineStr">
        <is>
          <t>CORA:97810B-M</t>
        </is>
      </c>
      <c r="F5992" s="0" t="inlineStr">
        <is>
          <t>'000000000000</t>
        </is>
      </c>
      <c r="G5992" s="0" t="inlineStr">
        <is>
          <t>WOMENS</t>
        </is>
      </c>
      <c r="H5992" s="0" t="inlineStr">
        <is>
          <t>M</t>
        </is>
      </c>
      <c r="I5992" s="0">
        <v>39.99</v>
      </c>
      <c r="J5992" s="0">
        <v>0</v>
      </c>
    </row>
    <row r="5993" spans="1:10" customHeight="0">
      <c r="A5993" s="0">
        <f>HYPERLINK("https://dl.dropboxusercontent.com/scl/fi/aryirshzxh8ndtgmq21ad/97810-af.jpg?rlkey=x43de9l3zrjoavr26phhdrvnn&amp;dl=0","Click to download Image")</f>
      </c>
      <c r="B5993" s="0">
        <f>HYPERLINK("https://dl.dropboxusercontent.com/scl/fi/1krgihb73vflnoj4gckml/graphic-update2022-womens.jpg?rlkey=u4d61za72bjoe9ft9bvrtxymt&amp;dl=0","Click to download SizeChart")</f>
      </c>
      <c r="C5993" s="0" t="inlineStr">
        <is>
          <t>Cora Women's Long Sleeve</t>
        </is>
      </c>
      <c r="D5993" s="0" t="inlineStr">
        <is>
          <t>'97810</t>
        </is>
      </c>
      <c r="E5993" s="0" t="inlineStr">
        <is>
          <t>CORA:97810C-L</t>
        </is>
      </c>
      <c r="F5993" s="0" t="inlineStr">
        <is>
          <t>'000000000000</t>
        </is>
      </c>
      <c r="G5993" s="0" t="inlineStr">
        <is>
          <t>WOMENS</t>
        </is>
      </c>
      <c r="H5993" s="0" t="inlineStr">
        <is>
          <t>L</t>
        </is>
      </c>
      <c r="I5993" s="0">
        <v>39.99</v>
      </c>
      <c r="J5993" s="0">
        <v>36</v>
      </c>
    </row>
    <row r="5994" spans="1:10" customHeight="0">
      <c r="A5994" s="0">
        <f>HYPERLINK("https://dl.dropboxusercontent.com/scl/fi/aryirshzxh8ndtgmq21ad/97810-af.jpg?rlkey=x43de9l3zrjoavr26phhdrvnn&amp;dl=0","Click to download Image")</f>
      </c>
      <c r="B5994" s="0">
        <f>HYPERLINK("https://dl.dropboxusercontent.com/scl/fi/1krgihb73vflnoj4gckml/graphic-update2022-womens.jpg?rlkey=u4d61za72bjoe9ft9bvrtxymt&amp;dl=0","Click to download SizeChart")</f>
      </c>
      <c r="C5994" s="0" t="inlineStr">
        <is>
          <t>Cora Women's Long Sleeve</t>
        </is>
      </c>
      <c r="D5994" s="0" t="inlineStr">
        <is>
          <t>'97810</t>
        </is>
      </c>
      <c r="E5994" s="0" t="inlineStr">
        <is>
          <t>CORA:97810D-XL</t>
        </is>
      </c>
      <c r="F5994" s="0" t="inlineStr">
        <is>
          <t>'000000000000</t>
        </is>
      </c>
      <c r="G5994" s="0" t="inlineStr">
        <is>
          <t>WOMENS</t>
        </is>
      </c>
      <c r="H5994" s="0" t="inlineStr">
        <is>
          <t>XL</t>
        </is>
      </c>
      <c r="I5994" s="0">
        <v>39.99</v>
      </c>
      <c r="J5994" s="0">
        <v>33</v>
      </c>
    </row>
    <row r="5995" spans="1:10" customHeight="0">
      <c r="A5995" s="0">
        <f>HYPERLINK("https://dl.dropboxusercontent.com/scl/fi/aryirshzxh8ndtgmq21ad/97810-af.jpg?rlkey=x43de9l3zrjoavr26phhdrvnn&amp;dl=0","Click to download Image")</f>
      </c>
      <c r="B5995" s="0">
        <f>HYPERLINK("https://dl.dropboxusercontent.com/scl/fi/1krgihb73vflnoj4gckml/graphic-update2022-womens.jpg?rlkey=u4d61za72bjoe9ft9bvrtxymt&amp;dl=0","Click to download SizeChart")</f>
      </c>
      <c r="C5995" s="0" t="inlineStr">
        <is>
          <t>Cora Women's Long Sleeve</t>
        </is>
      </c>
      <c r="D5995" s="0" t="inlineStr">
        <is>
          <t>'97810</t>
        </is>
      </c>
      <c r="E5995" s="0" t="inlineStr">
        <is>
          <t>CORA:97810E-2XL</t>
        </is>
      </c>
      <c r="F5995" s="0" t="inlineStr">
        <is>
          <t>'000000000000</t>
        </is>
      </c>
      <c r="G5995" s="0" t="inlineStr">
        <is>
          <t>WOMENS</t>
        </is>
      </c>
      <c r="H5995" s="0" t="inlineStr">
        <is>
          <t>2XL</t>
        </is>
      </c>
      <c r="I5995" s="0">
        <v>41.99</v>
      </c>
      <c r="J5995" s="0">
        <v>0</v>
      </c>
    </row>
    <row r="5996" spans="1:10" customHeight="0">
      <c r="A5996" s="0">
        <f>HYPERLINK("https://dl.dropboxusercontent.com/scl/fi/aryirshzxh8ndtgmq21ad/97810-af.jpg?rlkey=x43de9l3zrjoavr26phhdrvnn&amp;dl=0","Click to download Image")</f>
      </c>
      <c r="B5996" s="0">
        <f>HYPERLINK("https://dl.dropboxusercontent.com/scl/fi/1krgihb73vflnoj4gckml/graphic-update2022-womens.jpg?rlkey=u4d61za72bjoe9ft9bvrtxymt&amp;dl=0","Click to download SizeChart")</f>
      </c>
      <c r="C5996" s="0" t="inlineStr">
        <is>
          <t>Cora Women's Long Sleeve</t>
        </is>
      </c>
      <c r="D5996" s="0" t="inlineStr">
        <is>
          <t>'97810</t>
        </is>
      </c>
      <c r="E5996" s="0" t="inlineStr">
        <is>
          <t>CORA:97810F-3XL</t>
        </is>
      </c>
      <c r="F5996" s="0" t="inlineStr">
        <is>
          <t>'000000000000</t>
        </is>
      </c>
      <c r="G5996" s="0" t="inlineStr">
        <is>
          <t>WOMENS</t>
        </is>
      </c>
      <c r="H5996" s="0" t="inlineStr">
        <is>
          <t>3XL</t>
        </is>
      </c>
      <c r="I5996" s="0">
        <v>41.99</v>
      </c>
      <c r="J5996" s="0">
        <v>5</v>
      </c>
    </row>
    <row r="5997" spans="1:10" customHeight="0">
      <c r="A5997" s="0">
        <f>HYPERLINK("https://dl.dropboxusercontent.com/scl/fi/xqvqanxah3pgm270z1jzy/97845-af.jpg?rlkey=0oygg4pp9h8ucy8m1ymfc5xe3&amp;dl=0","Click to download Image")</f>
      </c>
      <c r="B5997" s="0">
        <f>HYPERLINK("https://dl.dropboxusercontent.com/scl/fi/1krgihb73vflnoj4gckml/graphic-update2022-womens.jpg?rlkey=u4d61za72bjoe9ft9bvrtxymt&amp;dl=0","Click to download SizeChart")</f>
      </c>
      <c r="C5997" s="0" t="inlineStr">
        <is>
          <t>Cora Women's Long Sleeve</t>
        </is>
      </c>
      <c r="D5997" s="0" t="inlineStr">
        <is>
          <t>'97845</t>
        </is>
      </c>
      <c r="E5997" s="0" t="inlineStr">
        <is>
          <t>CORA:97845A-S</t>
        </is>
      </c>
      <c r="F5997" s="0" t="inlineStr">
        <is>
          <t>'000000000000</t>
        </is>
      </c>
      <c r="G5997" s="0" t="inlineStr">
        <is>
          <t>WOMENS</t>
        </is>
      </c>
      <c r="H5997" s="0" t="inlineStr">
        <is>
          <t>S</t>
        </is>
      </c>
      <c r="I5997" s="0">
        <v>39.99</v>
      </c>
      <c r="J5997" s="0">
        <v>21</v>
      </c>
    </row>
    <row r="5998" spans="1:10" customHeight="0">
      <c r="A5998" s="0">
        <f>HYPERLINK("https://dl.dropboxusercontent.com/scl/fi/xqvqanxah3pgm270z1jzy/97845-af.jpg?rlkey=0oygg4pp9h8ucy8m1ymfc5xe3&amp;dl=0","Click to download Image")</f>
      </c>
      <c r="B5998" s="0">
        <f>HYPERLINK("https://dl.dropboxusercontent.com/scl/fi/1krgihb73vflnoj4gckml/graphic-update2022-womens.jpg?rlkey=u4d61za72bjoe9ft9bvrtxymt&amp;dl=0","Click to download SizeChart")</f>
      </c>
      <c r="C5998" s="0" t="inlineStr">
        <is>
          <t>Cora Women's Long Sleeve</t>
        </is>
      </c>
      <c r="D5998" s="0" t="inlineStr">
        <is>
          <t>'97845</t>
        </is>
      </c>
      <c r="E5998" s="0" t="inlineStr">
        <is>
          <t>CORA:97845B-M</t>
        </is>
      </c>
      <c r="F5998" s="0" t="inlineStr">
        <is>
          <t>'000000000000</t>
        </is>
      </c>
      <c r="G5998" s="0" t="inlineStr">
        <is>
          <t>WOMENS</t>
        </is>
      </c>
      <c r="H5998" s="0" t="inlineStr">
        <is>
          <t>M</t>
        </is>
      </c>
      <c r="I5998" s="0">
        <v>39.99</v>
      </c>
      <c r="J5998" s="0">
        <v>4</v>
      </c>
    </row>
    <row r="5999" spans="1:10" customHeight="0">
      <c r="A5999" s="0">
        <f>HYPERLINK("https://dl.dropboxusercontent.com/scl/fi/xqvqanxah3pgm270z1jzy/97845-af.jpg?rlkey=0oygg4pp9h8ucy8m1ymfc5xe3&amp;dl=0","Click to download Image")</f>
      </c>
      <c r="B5999" s="0">
        <f>HYPERLINK("https://dl.dropboxusercontent.com/scl/fi/1krgihb73vflnoj4gckml/graphic-update2022-womens.jpg?rlkey=u4d61za72bjoe9ft9bvrtxymt&amp;dl=0","Click to download SizeChart")</f>
      </c>
      <c r="C5999" s="0" t="inlineStr">
        <is>
          <t>Cora Women's Long Sleeve</t>
        </is>
      </c>
      <c r="D5999" s="0" t="inlineStr">
        <is>
          <t>'97845</t>
        </is>
      </c>
      <c r="E5999" s="0" t="inlineStr">
        <is>
          <t>CORA:97845C-L</t>
        </is>
      </c>
      <c r="F5999" s="0" t="inlineStr">
        <is>
          <t>'000000000000</t>
        </is>
      </c>
      <c r="G5999" s="0" t="inlineStr">
        <is>
          <t>WOMENS</t>
        </is>
      </c>
      <c r="H5999" s="0" t="inlineStr">
        <is>
          <t>L</t>
        </is>
      </c>
      <c r="I5999" s="0">
        <v>39.99</v>
      </c>
      <c r="J5999" s="0">
        <v>0</v>
      </c>
    </row>
    <row r="6000" spans="1:10" customHeight="0">
      <c r="A6000" s="0">
        <f>HYPERLINK("https://dl.dropboxusercontent.com/scl/fi/xqvqanxah3pgm270z1jzy/97845-af.jpg?rlkey=0oygg4pp9h8ucy8m1ymfc5xe3&amp;dl=0","Click to download Image")</f>
      </c>
      <c r="B6000" s="0">
        <f>HYPERLINK("https://dl.dropboxusercontent.com/scl/fi/1krgihb73vflnoj4gckml/graphic-update2022-womens.jpg?rlkey=u4d61za72bjoe9ft9bvrtxymt&amp;dl=0","Click to download SizeChart")</f>
      </c>
      <c r="C6000" s="0" t="inlineStr">
        <is>
          <t>Cora Women's Long Sleeve</t>
        </is>
      </c>
      <c r="D6000" s="0" t="inlineStr">
        <is>
          <t>'97845</t>
        </is>
      </c>
      <c r="E6000" s="0" t="inlineStr">
        <is>
          <t>CORA:97845D-XL</t>
        </is>
      </c>
      <c r="F6000" s="0" t="inlineStr">
        <is>
          <t>'000000000000</t>
        </is>
      </c>
      <c r="G6000" s="0" t="inlineStr">
        <is>
          <t>WOMENS</t>
        </is>
      </c>
      <c r="H6000" s="0" t="inlineStr">
        <is>
          <t>XL</t>
        </is>
      </c>
      <c r="I6000" s="0">
        <v>39.99</v>
      </c>
      <c r="J6000" s="0">
        <v>9</v>
      </c>
    </row>
    <row r="6001" spans="1:10" customHeight="0">
      <c r="A6001" s="0">
        <f>HYPERLINK("https://dl.dropboxusercontent.com/scl/fi/xqvqanxah3pgm270z1jzy/97845-af.jpg?rlkey=0oygg4pp9h8ucy8m1ymfc5xe3&amp;dl=0","Click to download Image")</f>
      </c>
      <c r="B6001" s="0">
        <f>HYPERLINK("https://dl.dropboxusercontent.com/scl/fi/1krgihb73vflnoj4gckml/graphic-update2022-womens.jpg?rlkey=u4d61za72bjoe9ft9bvrtxymt&amp;dl=0","Click to download SizeChart")</f>
      </c>
      <c r="C6001" s="0" t="inlineStr">
        <is>
          <t>Cora Women's Long Sleeve</t>
        </is>
      </c>
      <c r="D6001" s="0" t="inlineStr">
        <is>
          <t>'97845</t>
        </is>
      </c>
      <c r="E6001" s="0" t="inlineStr">
        <is>
          <t>CORA:97845E-2XL</t>
        </is>
      </c>
      <c r="F6001" s="0" t="inlineStr">
        <is>
          <t>'000000000000</t>
        </is>
      </c>
      <c r="G6001" s="0" t="inlineStr">
        <is>
          <t>WOMENS</t>
        </is>
      </c>
      <c r="H6001" s="0" t="inlineStr">
        <is>
          <t>2XL</t>
        </is>
      </c>
      <c r="I6001" s="0">
        <v>41.99</v>
      </c>
      <c r="J6001" s="0">
        <v>0</v>
      </c>
    </row>
    <row r="6002" spans="1:10" customHeight="0">
      <c r="A6002" s="0">
        <f>HYPERLINK("https://dl.dropboxusercontent.com/scl/fi/xqvqanxah3pgm270z1jzy/97845-af.jpg?rlkey=0oygg4pp9h8ucy8m1ymfc5xe3&amp;dl=0","Click to download Image")</f>
      </c>
      <c r="B6002" s="0">
        <f>HYPERLINK("https://dl.dropboxusercontent.com/scl/fi/1krgihb73vflnoj4gckml/graphic-update2022-womens.jpg?rlkey=u4d61za72bjoe9ft9bvrtxymt&amp;dl=0","Click to download SizeChart")</f>
      </c>
      <c r="C6002" s="0" t="inlineStr">
        <is>
          <t>Cora Women's Long Sleeve</t>
        </is>
      </c>
      <c r="D6002" s="0" t="inlineStr">
        <is>
          <t>'97845</t>
        </is>
      </c>
      <c r="E6002" s="0" t="inlineStr">
        <is>
          <t>CORA:97845F-3XL</t>
        </is>
      </c>
      <c r="F6002" s="0" t="inlineStr">
        <is>
          <t>'000000000000</t>
        </is>
      </c>
      <c r="G6002" s="0" t="inlineStr">
        <is>
          <t>WOMENS</t>
        </is>
      </c>
      <c r="H6002" s="0" t="inlineStr">
        <is>
          <t>3XL</t>
        </is>
      </c>
      <c r="I6002" s="0">
        <v>41.99</v>
      </c>
      <c r="J6002" s="0">
        <v>3</v>
      </c>
    </row>
    <row r="6003" spans="1:10" customHeight="0">
      <c r="A6003" s="0">
        <f>HYPERLINK("https://dl.dropboxusercontent.com/scl/fi/8h0cb3co9zn0o8adluk87/milo.jpg?rlkey=arl9lcjqi9023m7wy2tbven60&amp;dl=0","Click to download Image")</f>
      </c>
      <c r="B6003" s="0">
        <f>HYPERLINK("https://dl.dropboxusercontent.com/scl/fi/vbym7smqpxdela53z9sow/mens-d.jpg?rlkey=q4ak1mgzklm73q1gueol1e1dg&amp;dl=0","Click to download SizeChart")</f>
      </c>
      <c r="C6003" s="0" t="inlineStr">
        <is>
          <t>Milo Men's Full Zip Hoodie</t>
        </is>
      </c>
      <c r="D6003" s="0" t="inlineStr">
        <is>
          <t>'99203</t>
        </is>
      </c>
      <c r="E6003" s="0" t="inlineStr">
        <is>
          <t>MILO:99203A-S</t>
        </is>
      </c>
      <c r="F6003" s="0" t="inlineStr">
        <is>
          <t>'000000000000</t>
        </is>
      </c>
      <c r="G6003" s="0" t="inlineStr">
        <is>
          <t>MENS</t>
        </is>
      </c>
      <c r="H6003" s="0" t="inlineStr">
        <is>
          <t>S</t>
        </is>
      </c>
      <c r="I6003" s="0">
        <v>49.99</v>
      </c>
      <c r="J6003" s="0">
        <v>26</v>
      </c>
    </row>
    <row r="6004" spans="1:10" customHeight="0">
      <c r="A6004" s="0">
        <f>HYPERLINK("https://dl.dropboxusercontent.com/scl/fi/8h0cb3co9zn0o8adluk87/milo.jpg?rlkey=arl9lcjqi9023m7wy2tbven60&amp;dl=0","Click to download Image")</f>
      </c>
      <c r="B6004" s="0">
        <f>HYPERLINK("https://dl.dropboxusercontent.com/scl/fi/vbym7smqpxdela53z9sow/mens-d.jpg?rlkey=q4ak1mgzklm73q1gueol1e1dg&amp;dl=0","Click to download SizeChart")</f>
      </c>
      <c r="C6004" s="0" t="inlineStr">
        <is>
          <t>Milo Men's Full Zip Hoodie</t>
        </is>
      </c>
      <c r="D6004" s="0" t="inlineStr">
        <is>
          <t>'99203</t>
        </is>
      </c>
      <c r="E6004" s="0" t="inlineStr">
        <is>
          <t>MILO:99203B-M</t>
        </is>
      </c>
      <c r="F6004" s="0" t="inlineStr">
        <is>
          <t>'000000000000</t>
        </is>
      </c>
      <c r="G6004" s="0" t="inlineStr">
        <is>
          <t>MENS</t>
        </is>
      </c>
      <c r="H6004" s="0" t="inlineStr">
        <is>
          <t>M</t>
        </is>
      </c>
      <c r="I6004" s="0">
        <v>49.99</v>
      </c>
      <c r="J6004" s="0">
        <v>28</v>
      </c>
    </row>
    <row r="6005" spans="1:10" customHeight="0">
      <c r="A6005" s="0">
        <f>HYPERLINK("https://dl.dropboxusercontent.com/scl/fi/zisxux21bxgey4bus1mf7/miranda-2.jpg?rlkey=joqcyx7jq6v5cqp2m6x9lny3h&amp;dl=0","Click to download Image")</f>
      </c>
      <c r="B6005" s="0">
        <f>HYPERLINK("https://dl.dropboxusercontent.com/scl/fi/3gen4r3re8pqqx4fvat3k/size-chartswomens-standard-relaxed-fit.jpg?rlkey=lwrc8p2xdojjldhvg408rhj44&amp;dl=0","Click to download SizeChart")</f>
      </c>
      <c r="C6005" s="0" t="inlineStr">
        <is>
          <t>Miranda Women's Snap Pullover</t>
        </is>
      </c>
      <c r="D6005" s="0" t="inlineStr">
        <is>
          <t>'99886</t>
        </is>
      </c>
      <c r="E6005" s="0" t="inlineStr">
        <is>
          <t>MIRANDA:99886B-M</t>
        </is>
      </c>
      <c r="F6005" s="0" t="inlineStr">
        <is>
          <t>'000000000000</t>
        </is>
      </c>
      <c r="G6005" s="0" t="inlineStr">
        <is>
          <t>WOMENS</t>
        </is>
      </c>
      <c r="H6005" s="0" t="inlineStr">
        <is>
          <t>M</t>
        </is>
      </c>
      <c r="I6005" s="0">
        <v>49.99</v>
      </c>
      <c r="J6005" s="0">
        <v>32</v>
      </c>
    </row>
    <row r="6006" spans="1:10" customHeight="0">
      <c r="A6006" s="0">
        <f>HYPERLINK("https://dl.dropboxusercontent.com/scl/fi/zisxux21bxgey4bus1mf7/miranda-2.jpg?rlkey=joqcyx7jq6v5cqp2m6x9lny3h&amp;dl=0","Click to download Image")</f>
      </c>
      <c r="B6006" s="0">
        <f>HYPERLINK("https://dl.dropboxusercontent.com/scl/fi/3gen4r3re8pqqx4fvat3k/size-chartswomens-standard-relaxed-fit.jpg?rlkey=lwrc8p2xdojjldhvg408rhj44&amp;dl=0","Click to download SizeChart")</f>
      </c>
      <c r="C6006" s="0" t="inlineStr">
        <is>
          <t>Miranda Women's Snap Pullover</t>
        </is>
      </c>
      <c r="D6006" s="0" t="inlineStr">
        <is>
          <t>'99886</t>
        </is>
      </c>
      <c r="E6006" s="0" t="inlineStr">
        <is>
          <t>MIRANDA:99886F-3XL</t>
        </is>
      </c>
      <c r="F6006" s="0" t="inlineStr">
        <is>
          <t>'000000000000</t>
        </is>
      </c>
      <c r="G6006" s="0" t="inlineStr">
        <is>
          <t>WOMENS</t>
        </is>
      </c>
      <c r="H6006" s="0" t="inlineStr">
        <is>
          <t>3XL</t>
        </is>
      </c>
      <c r="I6006" s="0">
        <v>51.99</v>
      </c>
      <c r="J6006" s="0">
        <v>3</v>
      </c>
    </row>
    <row r="6007" spans="1:10" customHeight="0">
      <c r="A6007" s="0">
        <f>HYPERLINK("https://dl.dropboxusercontent.com/scl/fi/l5y2qgrt70ttqn7yk7iy7/mallory.jpg?rlkey=zn8vw0ro3c0qpjjv0tkw87e2u&amp;dl=0","Click to download Image")</f>
      </c>
      <c r="C6007" s="0" t="inlineStr">
        <is>
          <t>Mallory Women's Military Cap</t>
        </is>
      </c>
      <c r="D6007" s="0" t="inlineStr">
        <is>
          <t>'95676</t>
        </is>
      </c>
      <c r="E6007" s="0" t="inlineStr">
        <is>
          <t>MALLORY:95676</t>
        </is>
      </c>
      <c r="F6007" s="0" t="inlineStr">
        <is>
          <t>'070009567601</t>
        </is>
      </c>
      <c r="G6007" s="0" t="inlineStr">
        <is>
          <t>WOMENS</t>
        </is>
      </c>
      <c r="H6007" s="0" t="inlineStr">
        <is>
          <t>WOMENS</t>
        </is>
      </c>
      <c r="I6007" s="0">
        <v>18.99</v>
      </c>
      <c r="J6007" s="0">
        <v>29</v>
      </c>
    </row>
    <row r="6008" spans="1:10" customHeight="0">
      <c r="A6008" s="0">
        <f>HYPERLINK("https://dl.dropboxusercontent.com/scl/fi/0g6sc8m3v8s6j0mwupgiv/melissa-03.jpg?rlkey=vtkie6arqsxp34vit5fbw9txn&amp;dl=0","Click to download Image")</f>
      </c>
      <c r="B6008" s="0">
        <f>HYPERLINK("https://dl.dropboxusercontent.com/scl/fi/3ofty7ujcg5k5sfpejznp/size-chartswomens-leggings-m.jpg?rlkey=hovx2q20p5kxk4wghaw1cqhyr&amp;dl=0","Click to download SizeChart")</f>
      </c>
      <c r="C6008" s="0" t="inlineStr">
        <is>
          <t>Melissa Women's Leggings</t>
        </is>
      </c>
      <c r="D6008" s="0" t="inlineStr">
        <is>
          <t>'98428</t>
        </is>
      </c>
      <c r="E6008" s="0" t="inlineStr">
        <is>
          <t>MELISSA:98428A-S</t>
        </is>
      </c>
      <c r="F6008" s="0" t="inlineStr">
        <is>
          <t>'000000000000</t>
        </is>
      </c>
      <c r="G6008" s="0" t="inlineStr">
        <is>
          <t>WOMENS</t>
        </is>
      </c>
      <c r="H6008" s="0" t="inlineStr">
        <is>
          <t>S</t>
        </is>
      </c>
      <c r="I6008" s="0">
        <v>34.99</v>
      </c>
      <c r="J6008" s="0">
        <v>40</v>
      </c>
    </row>
    <row r="6009" spans="1:10" customHeight="0">
      <c r="A6009" s="0">
        <f>HYPERLINK("https://dl.dropboxusercontent.com/scl/fi/0g6sc8m3v8s6j0mwupgiv/melissa-03.jpg?rlkey=vtkie6arqsxp34vit5fbw9txn&amp;dl=0","Click to download Image")</f>
      </c>
      <c r="B6009" s="0">
        <f>HYPERLINK("https://dl.dropboxusercontent.com/scl/fi/3ofty7ujcg5k5sfpejznp/size-chartswomens-leggings-m.jpg?rlkey=hovx2q20p5kxk4wghaw1cqhyr&amp;dl=0","Click to download SizeChart")</f>
      </c>
      <c r="C6009" s="0" t="inlineStr">
        <is>
          <t>Melissa Women's Leggings</t>
        </is>
      </c>
      <c r="D6009" s="0" t="inlineStr">
        <is>
          <t>'98428</t>
        </is>
      </c>
      <c r="E6009" s="0" t="inlineStr">
        <is>
          <t>MELISSA:98428B-M</t>
        </is>
      </c>
      <c r="F6009" s="0" t="inlineStr">
        <is>
          <t>'000000000000</t>
        </is>
      </c>
      <c r="G6009" s="0" t="inlineStr">
        <is>
          <t>WOMENS</t>
        </is>
      </c>
      <c r="H6009" s="0" t="inlineStr">
        <is>
          <t>M</t>
        </is>
      </c>
      <c r="I6009" s="0">
        <v>34.99</v>
      </c>
      <c r="J6009" s="0">
        <v>43</v>
      </c>
    </row>
    <row r="6010" spans="1:10" customHeight="0">
      <c r="A6010" s="0">
        <f>HYPERLINK("https://dl.dropboxusercontent.com/scl/fi/0g6sc8m3v8s6j0mwupgiv/melissa-03.jpg?rlkey=vtkie6arqsxp34vit5fbw9txn&amp;dl=0","Click to download Image")</f>
      </c>
      <c r="B6010" s="0">
        <f>HYPERLINK("https://dl.dropboxusercontent.com/scl/fi/3ofty7ujcg5k5sfpejznp/size-chartswomens-leggings-m.jpg?rlkey=hovx2q20p5kxk4wghaw1cqhyr&amp;dl=0","Click to download SizeChart")</f>
      </c>
      <c r="C6010" s="0" t="inlineStr">
        <is>
          <t>Melissa Women's Leggings</t>
        </is>
      </c>
      <c r="D6010" s="0" t="inlineStr">
        <is>
          <t>'98428</t>
        </is>
      </c>
      <c r="E6010" s="0" t="inlineStr">
        <is>
          <t>MELISSA:98428C-L</t>
        </is>
      </c>
      <c r="F6010" s="0" t="inlineStr">
        <is>
          <t>'000000000000</t>
        </is>
      </c>
      <c r="G6010" s="0" t="inlineStr">
        <is>
          <t>WOMENS</t>
        </is>
      </c>
      <c r="H6010" s="0" t="inlineStr">
        <is>
          <t>L</t>
        </is>
      </c>
      <c r="I6010" s="0">
        <v>34.99</v>
      </c>
      <c r="J6010" s="0">
        <v>72</v>
      </c>
    </row>
    <row r="6011" spans="1:10" customHeight="0">
      <c r="A6011" s="0">
        <f>HYPERLINK("https://dl.dropboxusercontent.com/scl/fi/0g6sc8m3v8s6j0mwupgiv/melissa-03.jpg?rlkey=vtkie6arqsxp34vit5fbw9txn&amp;dl=0","Click to download Image")</f>
      </c>
      <c r="B6011" s="0">
        <f>HYPERLINK("https://dl.dropboxusercontent.com/scl/fi/3ofty7ujcg5k5sfpejznp/size-chartswomens-leggings-m.jpg?rlkey=hovx2q20p5kxk4wghaw1cqhyr&amp;dl=0","Click to download SizeChart")</f>
      </c>
      <c r="C6011" s="0" t="inlineStr">
        <is>
          <t>Melissa Women's Leggings</t>
        </is>
      </c>
      <c r="D6011" s="0" t="inlineStr">
        <is>
          <t>'98428</t>
        </is>
      </c>
      <c r="E6011" s="0" t="inlineStr">
        <is>
          <t>MELISSA:98428D-XL</t>
        </is>
      </c>
      <c r="F6011" s="0" t="inlineStr">
        <is>
          <t>'000000000000</t>
        </is>
      </c>
      <c r="G6011" s="0" t="inlineStr">
        <is>
          <t>WOMENS</t>
        </is>
      </c>
      <c r="H6011" s="0" t="inlineStr">
        <is>
          <t>XL</t>
        </is>
      </c>
      <c r="I6011" s="0">
        <v>34.99</v>
      </c>
      <c r="J6011" s="0">
        <v>87</v>
      </c>
    </row>
    <row r="6012" spans="1:10" customHeight="0">
      <c r="A6012" s="0">
        <f>HYPERLINK("https://dl.dropboxusercontent.com/scl/fi/0g6sc8m3v8s6j0mwupgiv/melissa-03.jpg?rlkey=vtkie6arqsxp34vit5fbw9txn&amp;dl=0","Click to download Image")</f>
      </c>
      <c r="B6012" s="0">
        <f>HYPERLINK("https://dl.dropboxusercontent.com/scl/fi/3ofty7ujcg5k5sfpejznp/size-chartswomens-leggings-m.jpg?rlkey=hovx2q20p5kxk4wghaw1cqhyr&amp;dl=0","Click to download SizeChart")</f>
      </c>
      <c r="C6012" s="0" t="inlineStr">
        <is>
          <t>Melissa Women's Leggings</t>
        </is>
      </c>
      <c r="D6012" s="0" t="inlineStr">
        <is>
          <t>'98428</t>
        </is>
      </c>
      <c r="E6012" s="0" t="inlineStr">
        <is>
          <t>MELISSA:98428E-2XL</t>
        </is>
      </c>
      <c r="F6012" s="0" t="inlineStr">
        <is>
          <t>'000000000000</t>
        </is>
      </c>
      <c r="G6012" s="0" t="inlineStr">
        <is>
          <t>WOMENS</t>
        </is>
      </c>
      <c r="H6012" s="0" t="inlineStr">
        <is>
          <t>2XL</t>
        </is>
      </c>
      <c r="I6012" s="0">
        <v>36.99</v>
      </c>
      <c r="J6012" s="0">
        <v>37</v>
      </c>
    </row>
    <row r="6013" spans="1:10" customHeight="0">
      <c r="A6013" s="0">
        <f>HYPERLINK("https://dl.dropboxusercontent.com/scl/fi/qj9lwgfd0d79bny3st0b0/melissa-02.jpg?rlkey=klg56prjy16jhnjuej9hxd02q&amp;dl=0","Click to download Image")</f>
      </c>
      <c r="B6013" s="0">
        <f>HYPERLINK("https://dl.dropboxusercontent.com/scl/fi/3ofty7ujcg5k5sfpejznp/size-chartswomens-leggings-m.jpg?rlkey=hovx2q20p5kxk4wghaw1cqhyr&amp;dl=0","Click to download SizeChart")</f>
      </c>
      <c r="C6013" s="0" t="inlineStr">
        <is>
          <t>Melissa Women's Leggings</t>
        </is>
      </c>
      <c r="D6013" s="0" t="inlineStr">
        <is>
          <t>'98893</t>
        </is>
      </c>
      <c r="E6013" s="0" t="inlineStr">
        <is>
          <t>MELISSA:98893A-S</t>
        </is>
      </c>
      <c r="F6013" s="0" t="inlineStr">
        <is>
          <t>'000000000000</t>
        </is>
      </c>
      <c r="G6013" s="0" t="inlineStr">
        <is>
          <t>WOMENS</t>
        </is>
      </c>
      <c r="H6013" s="0" t="inlineStr">
        <is>
          <t>S</t>
        </is>
      </c>
      <c r="I6013" s="0">
        <v>34.99</v>
      </c>
      <c r="J6013" s="0">
        <v>7</v>
      </c>
    </row>
    <row r="6014" spans="1:10" customHeight="0">
      <c r="A6014" s="0">
        <f>HYPERLINK("https://dl.dropboxusercontent.com/scl/fi/qj9lwgfd0d79bny3st0b0/melissa-02.jpg?rlkey=klg56prjy16jhnjuej9hxd02q&amp;dl=0","Click to download Image")</f>
      </c>
      <c r="B6014" s="0">
        <f>HYPERLINK("https://dl.dropboxusercontent.com/scl/fi/3ofty7ujcg5k5sfpejznp/size-chartswomens-leggings-m.jpg?rlkey=hovx2q20p5kxk4wghaw1cqhyr&amp;dl=0","Click to download SizeChart")</f>
      </c>
      <c r="C6014" s="0" t="inlineStr">
        <is>
          <t>Melissa Women's Leggings</t>
        </is>
      </c>
      <c r="D6014" s="0" t="inlineStr">
        <is>
          <t>'98893</t>
        </is>
      </c>
      <c r="E6014" s="0" t="inlineStr">
        <is>
          <t>MELISSA:98893B-M</t>
        </is>
      </c>
      <c r="F6014" s="0" t="inlineStr">
        <is>
          <t>'000000000000</t>
        </is>
      </c>
      <c r="G6014" s="0" t="inlineStr">
        <is>
          <t>WOMENS</t>
        </is>
      </c>
      <c r="H6014" s="0" t="inlineStr">
        <is>
          <t>M</t>
        </is>
      </c>
      <c r="I6014" s="0">
        <v>34.99</v>
      </c>
      <c r="J6014" s="0">
        <v>2</v>
      </c>
    </row>
    <row r="6015" spans="1:10" customHeight="0">
      <c r="A6015" s="0">
        <f>HYPERLINK("https://dl.dropboxusercontent.com/scl/fi/qj9lwgfd0d79bny3st0b0/melissa-02.jpg?rlkey=klg56prjy16jhnjuej9hxd02q&amp;dl=0","Click to download Image")</f>
      </c>
      <c r="B6015" s="0">
        <f>HYPERLINK("https://dl.dropboxusercontent.com/scl/fi/3ofty7ujcg5k5sfpejznp/size-chartswomens-leggings-m.jpg?rlkey=hovx2q20p5kxk4wghaw1cqhyr&amp;dl=0","Click to download SizeChart")</f>
      </c>
      <c r="C6015" s="0" t="inlineStr">
        <is>
          <t>Melissa Women's Leggings</t>
        </is>
      </c>
      <c r="D6015" s="0" t="inlineStr">
        <is>
          <t>'98893</t>
        </is>
      </c>
      <c r="E6015" s="0" t="inlineStr">
        <is>
          <t>MELISSA:98893C-L</t>
        </is>
      </c>
      <c r="F6015" s="0" t="inlineStr">
        <is>
          <t>'000000000000</t>
        </is>
      </c>
      <c r="G6015" s="0" t="inlineStr">
        <is>
          <t>WOMENS</t>
        </is>
      </c>
      <c r="H6015" s="0" t="inlineStr">
        <is>
          <t>L</t>
        </is>
      </c>
      <c r="I6015" s="0">
        <v>34.99</v>
      </c>
      <c r="J6015" s="0">
        <v>11</v>
      </c>
    </row>
    <row r="6016" spans="1:10" customHeight="0">
      <c r="A6016" s="0">
        <f>HYPERLINK("https://dl.dropboxusercontent.com/scl/fi/qj9lwgfd0d79bny3st0b0/melissa-02.jpg?rlkey=klg56prjy16jhnjuej9hxd02q&amp;dl=0","Click to download Image")</f>
      </c>
      <c r="B6016" s="0">
        <f>HYPERLINK("https://dl.dropboxusercontent.com/scl/fi/3ofty7ujcg5k5sfpejznp/size-chartswomens-leggings-m.jpg?rlkey=hovx2q20p5kxk4wghaw1cqhyr&amp;dl=0","Click to download SizeChart")</f>
      </c>
      <c r="C6016" s="0" t="inlineStr">
        <is>
          <t>Melissa Women's Leggings</t>
        </is>
      </c>
      <c r="D6016" s="0" t="inlineStr">
        <is>
          <t>'98893</t>
        </is>
      </c>
      <c r="E6016" s="0" t="inlineStr">
        <is>
          <t>MELISSA:98893D-XL</t>
        </is>
      </c>
      <c r="F6016" s="0" t="inlineStr">
        <is>
          <t>'000000000000</t>
        </is>
      </c>
      <c r="G6016" s="0" t="inlineStr">
        <is>
          <t>WOMENS</t>
        </is>
      </c>
      <c r="H6016" s="0" t="inlineStr">
        <is>
          <t>XL</t>
        </is>
      </c>
      <c r="I6016" s="0">
        <v>34.99</v>
      </c>
      <c r="J6016" s="0">
        <v>18</v>
      </c>
    </row>
    <row r="6017" spans="1:10" customHeight="0">
      <c r="A6017" s="0">
        <f>HYPERLINK("https://dl.dropboxusercontent.com/scl/fi/qj9lwgfd0d79bny3st0b0/melissa-02.jpg?rlkey=klg56prjy16jhnjuej9hxd02q&amp;dl=0","Click to download Image")</f>
      </c>
      <c r="B6017" s="0">
        <f>HYPERLINK("https://dl.dropboxusercontent.com/scl/fi/3ofty7ujcg5k5sfpejznp/size-chartswomens-leggings-m.jpg?rlkey=hovx2q20p5kxk4wghaw1cqhyr&amp;dl=0","Click to download SizeChart")</f>
      </c>
      <c r="C6017" s="0" t="inlineStr">
        <is>
          <t>Melissa Women's Leggings</t>
        </is>
      </c>
      <c r="D6017" s="0" t="inlineStr">
        <is>
          <t>'98893</t>
        </is>
      </c>
      <c r="E6017" s="0" t="inlineStr">
        <is>
          <t>MELISSA:98893E-2XL</t>
        </is>
      </c>
      <c r="F6017" s="0" t="inlineStr">
        <is>
          <t>'000000000000</t>
        </is>
      </c>
      <c r="G6017" s="0" t="inlineStr">
        <is>
          <t>WOMENS</t>
        </is>
      </c>
      <c r="H6017" s="0" t="inlineStr">
        <is>
          <t>2XL</t>
        </is>
      </c>
      <c r="I6017" s="0">
        <v>36.99</v>
      </c>
      <c r="J6017" s="0">
        <v>8</v>
      </c>
    </row>
    <row r="6018" spans="1:10" customHeight="0">
      <c r="A6018" s="0">
        <f>HYPERLINK("https://dl.dropboxusercontent.com/scl/fi/4dngugehf7eam5xnb85ga/cash.jpg?rlkey=go1xk1lhh8x9qsqi3sk76up51&amp;dl=0","Click to download Image")</f>
      </c>
      <c r="C6018" s="0" t="inlineStr">
        <is>
          <t>Cash Men's Reflective Visor</t>
        </is>
      </c>
      <c r="D6018" s="0" t="inlineStr">
        <is>
          <t>'97859</t>
        </is>
      </c>
      <c r="E6018" s="0" t="inlineStr">
        <is>
          <t>CASH:97859</t>
        </is>
      </c>
      <c r="F6018" s="0" t="inlineStr">
        <is>
          <t>'070009785901</t>
        </is>
      </c>
      <c r="G6018" s="0" t="inlineStr">
        <is>
          <t>MENS</t>
        </is>
      </c>
      <c r="H6018" s="0" t="inlineStr">
        <is>
          <t>STANDARD MENS</t>
        </is>
      </c>
      <c r="I6018" s="0">
        <v>21.99</v>
      </c>
      <c r="J6018" s="0">
        <v>66</v>
      </c>
    </row>
    <row r="6019" spans="1:10" customHeight="0">
      <c r="A6019" s="0">
        <f>HYPERLINK("https://dl.dropboxusercontent.com/scl/fi/spc7hit6yimtjklkw0sme/matt-03.jpg?rlkey=awv38tr5nhj99h0d6n3ohloxq&amp;dl=0","Click to download Image")</f>
      </c>
      <c r="B6019" s="0">
        <f>HYPERLINK("https://dl.dropboxusercontent.com/scl/fi/5jcjqs776dwqvctxnxqpx/size-chartmens-h.jpg?rlkey=fbg9xxixqrw8868zy3dutwhpu&amp;dl=0","Click to download SizeChart")</f>
      </c>
      <c r="C6019" s="0" t="inlineStr">
        <is>
          <t>Matt Men's Boardshorts</t>
        </is>
      </c>
      <c r="D6019" s="0" t="inlineStr">
        <is>
          <t>'96264</t>
        </is>
      </c>
      <c r="E6019" s="0" t="inlineStr">
        <is>
          <t>MATT:96264-30</t>
        </is>
      </c>
      <c r="F6019" s="0" t="inlineStr">
        <is>
          <t>'000000000000</t>
        </is>
      </c>
      <c r="G6019" s="0" t="inlineStr">
        <is>
          <t>MENS</t>
        </is>
      </c>
      <c r="H6019" s="0" t="inlineStr">
        <is>
          <t>30</t>
        </is>
      </c>
      <c r="I6019" s="0">
        <v>39.99</v>
      </c>
      <c r="J6019" s="0">
        <v>151</v>
      </c>
    </row>
    <row r="6020" spans="1:10" customHeight="0">
      <c r="A6020" s="0">
        <f>HYPERLINK("https://dl.dropboxusercontent.com/scl/fi/spc7hit6yimtjklkw0sme/matt-03.jpg?rlkey=awv38tr5nhj99h0d6n3ohloxq&amp;dl=0","Click to download Image")</f>
      </c>
      <c r="B6020" s="0">
        <f>HYPERLINK("https://dl.dropboxusercontent.com/scl/fi/5jcjqs776dwqvctxnxqpx/size-chartmens-h.jpg?rlkey=fbg9xxixqrw8868zy3dutwhpu&amp;dl=0","Click to download SizeChart")</f>
      </c>
      <c r="C6020" s="0" t="inlineStr">
        <is>
          <t>Matt Men's Boardshorts</t>
        </is>
      </c>
      <c r="D6020" s="0" t="inlineStr">
        <is>
          <t>'96264</t>
        </is>
      </c>
      <c r="E6020" s="0" t="inlineStr">
        <is>
          <t>MATT:96264-32</t>
        </is>
      </c>
      <c r="F6020" s="0" t="inlineStr">
        <is>
          <t>'000000000000</t>
        </is>
      </c>
      <c r="G6020" s="0" t="inlineStr">
        <is>
          <t>MENS</t>
        </is>
      </c>
      <c r="H6020" s="0" t="inlineStr">
        <is>
          <t>32</t>
        </is>
      </c>
      <c r="I6020" s="0">
        <v>39.99</v>
      </c>
      <c r="J6020" s="0">
        <v>91</v>
      </c>
    </row>
    <row r="6021" spans="1:10" customHeight="0">
      <c r="A6021" s="0">
        <f>HYPERLINK("https://dl.dropboxusercontent.com/scl/fi/spc7hit6yimtjklkw0sme/matt-03.jpg?rlkey=awv38tr5nhj99h0d6n3ohloxq&amp;dl=0","Click to download Image")</f>
      </c>
      <c r="B6021" s="0">
        <f>HYPERLINK("https://dl.dropboxusercontent.com/scl/fi/5jcjqs776dwqvctxnxqpx/size-chartmens-h.jpg?rlkey=fbg9xxixqrw8868zy3dutwhpu&amp;dl=0","Click to download SizeChart")</f>
      </c>
      <c r="C6021" s="0" t="inlineStr">
        <is>
          <t>Matt Men's Boardshorts</t>
        </is>
      </c>
      <c r="D6021" s="0" t="inlineStr">
        <is>
          <t>'96264</t>
        </is>
      </c>
      <c r="E6021" s="0" t="inlineStr">
        <is>
          <t>MATT:96264-34</t>
        </is>
      </c>
      <c r="F6021" s="0" t="inlineStr">
        <is>
          <t>'000000000000</t>
        </is>
      </c>
      <c r="G6021" s="0" t="inlineStr">
        <is>
          <t>MENS</t>
        </is>
      </c>
      <c r="H6021" s="0" t="inlineStr">
        <is>
          <t>34</t>
        </is>
      </c>
      <c r="I6021" s="0">
        <v>39.99</v>
      </c>
      <c r="J6021" s="0">
        <v>5</v>
      </c>
    </row>
    <row r="6022" spans="1:10" customHeight="0">
      <c r="A6022" s="0">
        <f>HYPERLINK("https://dl.dropboxusercontent.com/scl/fi/spc7hit6yimtjklkw0sme/matt-03.jpg?rlkey=awv38tr5nhj99h0d6n3ohloxq&amp;dl=0","Click to download Image")</f>
      </c>
      <c r="B6022" s="0">
        <f>HYPERLINK("https://dl.dropboxusercontent.com/scl/fi/5jcjqs776dwqvctxnxqpx/size-chartmens-h.jpg?rlkey=fbg9xxixqrw8868zy3dutwhpu&amp;dl=0","Click to download SizeChart")</f>
      </c>
      <c r="C6022" s="0" t="inlineStr">
        <is>
          <t>Matt Men's Boardshorts</t>
        </is>
      </c>
      <c r="D6022" s="0" t="inlineStr">
        <is>
          <t>'96264</t>
        </is>
      </c>
      <c r="E6022" s="0" t="inlineStr">
        <is>
          <t>MATT:96264-36</t>
        </is>
      </c>
      <c r="F6022" s="0" t="inlineStr">
        <is>
          <t>'000000000000</t>
        </is>
      </c>
      <c r="G6022" s="0" t="inlineStr">
        <is>
          <t>MENS</t>
        </is>
      </c>
      <c r="H6022" s="0" t="inlineStr">
        <is>
          <t>36</t>
        </is>
      </c>
      <c r="I6022" s="0">
        <v>39.99</v>
      </c>
      <c r="J6022" s="0">
        <v>22</v>
      </c>
    </row>
    <row r="6023" spans="1:10" customHeight="0">
      <c r="A6023" s="0">
        <f>HYPERLINK("https://dl.dropboxusercontent.com/scl/fi/spc7hit6yimtjklkw0sme/matt-03.jpg?rlkey=awv38tr5nhj99h0d6n3ohloxq&amp;dl=0","Click to download Image")</f>
      </c>
      <c r="B6023" s="0">
        <f>HYPERLINK("https://dl.dropboxusercontent.com/scl/fi/5jcjqs776dwqvctxnxqpx/size-chartmens-h.jpg?rlkey=fbg9xxixqrw8868zy3dutwhpu&amp;dl=0","Click to download SizeChart")</f>
      </c>
      <c r="C6023" s="0" t="inlineStr">
        <is>
          <t>Matt Men's Boardshorts</t>
        </is>
      </c>
      <c r="D6023" s="0" t="inlineStr">
        <is>
          <t>'96264</t>
        </is>
      </c>
      <c r="E6023" s="0" t="inlineStr">
        <is>
          <t>MATT:96264-38</t>
        </is>
      </c>
      <c r="F6023" s="0" t="inlineStr">
        <is>
          <t>'000000000000</t>
        </is>
      </c>
      <c r="G6023" s="0" t="inlineStr">
        <is>
          <t>MENS</t>
        </is>
      </c>
      <c r="H6023" s="0" t="inlineStr">
        <is>
          <t>38</t>
        </is>
      </c>
      <c r="I6023" s="0">
        <v>39.99</v>
      </c>
      <c r="J6023" s="0">
        <v>6</v>
      </c>
    </row>
    <row r="6024" spans="1:10" customHeight="0">
      <c r="A6024" s="0">
        <f>HYPERLINK("https://dl.dropboxusercontent.com/scl/fi/spc7hit6yimtjklkw0sme/matt-03.jpg?rlkey=awv38tr5nhj99h0d6n3ohloxq&amp;dl=0","Click to download Image")</f>
      </c>
      <c r="B6024" s="0">
        <f>HYPERLINK("https://dl.dropboxusercontent.com/scl/fi/5jcjqs776dwqvctxnxqpx/size-chartmens-h.jpg?rlkey=fbg9xxixqrw8868zy3dutwhpu&amp;dl=0","Click to download SizeChart")</f>
      </c>
      <c r="C6024" s="0" t="inlineStr">
        <is>
          <t>Matt Men's Boardshorts</t>
        </is>
      </c>
      <c r="D6024" s="0" t="inlineStr">
        <is>
          <t>'96264</t>
        </is>
      </c>
      <c r="E6024" s="0" t="inlineStr">
        <is>
          <t>MATT:96264-40</t>
        </is>
      </c>
      <c r="F6024" s="0" t="inlineStr">
        <is>
          <t>'000000000000</t>
        </is>
      </c>
      <c r="G6024" s="0" t="inlineStr">
        <is>
          <t>MENS</t>
        </is>
      </c>
      <c r="H6024" s="0" t="inlineStr">
        <is>
          <t>40</t>
        </is>
      </c>
      <c r="I6024" s="0">
        <v>39.99</v>
      </c>
      <c r="J6024" s="0">
        <v>10</v>
      </c>
    </row>
    <row r="6025" spans="1:10" customHeight="0">
      <c r="A6025" s="0">
        <f>HYPERLINK("https://dl.dropboxusercontent.com/scl/fi/spc7hit6yimtjklkw0sme/matt-03.jpg?rlkey=awv38tr5nhj99h0d6n3ohloxq&amp;dl=0","Click to download Image")</f>
      </c>
      <c r="B6025" s="0">
        <f>HYPERLINK("https://dl.dropboxusercontent.com/scl/fi/5jcjqs776dwqvctxnxqpx/size-chartmens-h.jpg?rlkey=fbg9xxixqrw8868zy3dutwhpu&amp;dl=0","Click to download SizeChart")</f>
      </c>
      <c r="C6025" s="0" t="inlineStr">
        <is>
          <t>Matt Men's Boardshorts</t>
        </is>
      </c>
      <c r="D6025" s="0" t="inlineStr">
        <is>
          <t>'96264</t>
        </is>
      </c>
      <c r="E6025" s="0" t="inlineStr">
        <is>
          <t>MATT:96264-42</t>
        </is>
      </c>
      <c r="F6025" s="0" t="inlineStr">
        <is>
          <t>'000000000000</t>
        </is>
      </c>
      <c r="G6025" s="0" t="inlineStr">
        <is>
          <t>MENS</t>
        </is>
      </c>
      <c r="H6025" s="0" t="inlineStr">
        <is>
          <t>42</t>
        </is>
      </c>
      <c r="I6025" s="0">
        <v>39.99</v>
      </c>
      <c r="J6025" s="0">
        <v>1</v>
      </c>
    </row>
    <row r="6026" spans="1:10" customHeight="0">
      <c r="A6026" s="0">
        <f>HYPERLINK("https://dl.dropboxusercontent.com/scl/fi/d41353bzkxe15q58rzcsc/matt-02.jpg?rlkey=o0xgtjg80qsjl0ji2syl8pp2n&amp;dl=0","Click to download Image")</f>
      </c>
      <c r="B6026" s="0">
        <f>HYPERLINK("https://dl.dropboxusercontent.com/scl/fi/5jcjqs776dwqvctxnxqpx/size-chartmens-h.jpg?rlkey=fbg9xxixqrw8868zy3dutwhpu&amp;dl=0","Click to download SizeChart")</f>
      </c>
      <c r="C6026" s="0" t="inlineStr">
        <is>
          <t>Matt Men's Boardshorts</t>
        </is>
      </c>
      <c r="D6026" s="0" t="inlineStr">
        <is>
          <t>'96279</t>
        </is>
      </c>
      <c r="E6026" s="0" t="inlineStr">
        <is>
          <t>MATT:96279-30</t>
        </is>
      </c>
      <c r="F6026" s="0" t="inlineStr">
        <is>
          <t>'000000000000</t>
        </is>
      </c>
      <c r="G6026" s="0" t="inlineStr">
        <is>
          <t>MENS</t>
        </is>
      </c>
      <c r="H6026" s="0" t="inlineStr">
        <is>
          <t>30</t>
        </is>
      </c>
      <c r="I6026" s="0">
        <v>39.99</v>
      </c>
      <c r="J6026" s="0">
        <v>187</v>
      </c>
    </row>
    <row r="6027" spans="1:10" customHeight="0">
      <c r="A6027" s="0">
        <f>HYPERLINK("https://dl.dropboxusercontent.com/scl/fi/d41353bzkxe15q58rzcsc/matt-02.jpg?rlkey=o0xgtjg80qsjl0ji2syl8pp2n&amp;dl=0","Click to download Image")</f>
      </c>
      <c r="B6027" s="0">
        <f>HYPERLINK("https://dl.dropboxusercontent.com/scl/fi/5jcjqs776dwqvctxnxqpx/size-chartmens-h.jpg?rlkey=fbg9xxixqrw8868zy3dutwhpu&amp;dl=0","Click to download SizeChart")</f>
      </c>
      <c r="C6027" s="0" t="inlineStr">
        <is>
          <t>Matt Men's Boardshorts</t>
        </is>
      </c>
      <c r="D6027" s="0" t="inlineStr">
        <is>
          <t>'96279</t>
        </is>
      </c>
      <c r="E6027" s="0" t="inlineStr">
        <is>
          <t>MATT:96279-32</t>
        </is>
      </c>
      <c r="F6027" s="0" t="inlineStr">
        <is>
          <t>'000000000000</t>
        </is>
      </c>
      <c r="G6027" s="0" t="inlineStr">
        <is>
          <t>MENS</t>
        </is>
      </c>
      <c r="H6027" s="0" t="inlineStr">
        <is>
          <t>32</t>
        </is>
      </c>
      <c r="I6027" s="0">
        <v>39.99</v>
      </c>
      <c r="J6027" s="0">
        <v>333</v>
      </c>
    </row>
    <row r="6028" spans="1:10" customHeight="0">
      <c r="A6028" s="0">
        <f>HYPERLINK("https://dl.dropboxusercontent.com/scl/fi/d41353bzkxe15q58rzcsc/matt-02.jpg?rlkey=o0xgtjg80qsjl0ji2syl8pp2n&amp;dl=0","Click to download Image")</f>
      </c>
      <c r="B6028" s="0">
        <f>HYPERLINK("https://dl.dropboxusercontent.com/scl/fi/5jcjqs776dwqvctxnxqpx/size-chartmens-h.jpg?rlkey=fbg9xxixqrw8868zy3dutwhpu&amp;dl=0","Click to download SizeChart")</f>
      </c>
      <c r="C6028" s="0" t="inlineStr">
        <is>
          <t>Matt Men's Boardshorts</t>
        </is>
      </c>
      <c r="D6028" s="0" t="inlineStr">
        <is>
          <t>'96279</t>
        </is>
      </c>
      <c r="E6028" s="0" t="inlineStr">
        <is>
          <t>MATT:96279-34</t>
        </is>
      </c>
      <c r="F6028" s="0" t="inlineStr">
        <is>
          <t>'000000000000</t>
        </is>
      </c>
      <c r="G6028" s="0" t="inlineStr">
        <is>
          <t>MENS</t>
        </is>
      </c>
      <c r="H6028" s="0" t="inlineStr">
        <is>
          <t>34</t>
        </is>
      </c>
      <c r="I6028" s="0">
        <v>39.99</v>
      </c>
      <c r="J6028" s="0">
        <v>301</v>
      </c>
    </row>
    <row r="6029" spans="1:10" customHeight="0">
      <c r="A6029" s="0">
        <f>HYPERLINK("https://dl.dropboxusercontent.com/scl/fi/d41353bzkxe15q58rzcsc/matt-02.jpg?rlkey=o0xgtjg80qsjl0ji2syl8pp2n&amp;dl=0","Click to download Image")</f>
      </c>
      <c r="B6029" s="0">
        <f>HYPERLINK("https://dl.dropboxusercontent.com/scl/fi/5jcjqs776dwqvctxnxqpx/size-chartmens-h.jpg?rlkey=fbg9xxixqrw8868zy3dutwhpu&amp;dl=0","Click to download SizeChart")</f>
      </c>
      <c r="C6029" s="0" t="inlineStr">
        <is>
          <t>Matt Men's Boardshorts</t>
        </is>
      </c>
      <c r="D6029" s="0" t="inlineStr">
        <is>
          <t>'96279</t>
        </is>
      </c>
      <c r="E6029" s="0" t="inlineStr">
        <is>
          <t>MATT:96279-36</t>
        </is>
      </c>
      <c r="F6029" s="0" t="inlineStr">
        <is>
          <t>'000000000000</t>
        </is>
      </c>
      <c r="G6029" s="0" t="inlineStr">
        <is>
          <t>MENS</t>
        </is>
      </c>
      <c r="H6029" s="0" t="inlineStr">
        <is>
          <t>36</t>
        </is>
      </c>
      <c r="I6029" s="0">
        <v>39.99</v>
      </c>
      <c r="J6029" s="0">
        <v>234</v>
      </c>
    </row>
    <row r="6030" spans="1:10" customHeight="0">
      <c r="A6030" s="0">
        <f>HYPERLINK("https://dl.dropboxusercontent.com/scl/fi/d41353bzkxe15q58rzcsc/matt-02.jpg?rlkey=o0xgtjg80qsjl0ji2syl8pp2n&amp;dl=0","Click to download Image")</f>
      </c>
      <c r="B6030" s="0">
        <f>HYPERLINK("https://dl.dropboxusercontent.com/scl/fi/5jcjqs776dwqvctxnxqpx/size-chartmens-h.jpg?rlkey=fbg9xxixqrw8868zy3dutwhpu&amp;dl=0","Click to download SizeChart")</f>
      </c>
      <c r="C6030" s="0" t="inlineStr">
        <is>
          <t>Matt Men's Boardshorts</t>
        </is>
      </c>
      <c r="D6030" s="0" t="inlineStr">
        <is>
          <t>'96279</t>
        </is>
      </c>
      <c r="E6030" s="0" t="inlineStr">
        <is>
          <t>MATT:96279-38</t>
        </is>
      </c>
      <c r="F6030" s="0" t="inlineStr">
        <is>
          <t>'000000000000</t>
        </is>
      </c>
      <c r="G6030" s="0" t="inlineStr">
        <is>
          <t>MENS</t>
        </is>
      </c>
      <c r="H6030" s="0" t="inlineStr">
        <is>
          <t>38</t>
        </is>
      </c>
      <c r="I6030" s="0">
        <v>39.99</v>
      </c>
      <c r="J6030" s="0">
        <v>134</v>
      </c>
    </row>
    <row r="6031" spans="1:10" customHeight="0">
      <c r="A6031" s="0">
        <f>HYPERLINK("https://dl.dropboxusercontent.com/scl/fi/d41353bzkxe15q58rzcsc/matt-02.jpg?rlkey=o0xgtjg80qsjl0ji2syl8pp2n&amp;dl=0","Click to download Image")</f>
      </c>
      <c r="B6031" s="0">
        <f>HYPERLINK("https://dl.dropboxusercontent.com/scl/fi/5jcjqs776dwqvctxnxqpx/size-chartmens-h.jpg?rlkey=fbg9xxixqrw8868zy3dutwhpu&amp;dl=0","Click to download SizeChart")</f>
      </c>
      <c r="C6031" s="0" t="inlineStr">
        <is>
          <t>Matt Men's Boardshorts</t>
        </is>
      </c>
      <c r="D6031" s="0" t="inlineStr">
        <is>
          <t>'96279</t>
        </is>
      </c>
      <c r="E6031" s="0" t="inlineStr">
        <is>
          <t>MATT:96279-40</t>
        </is>
      </c>
      <c r="F6031" s="0" t="inlineStr">
        <is>
          <t>'000000000000</t>
        </is>
      </c>
      <c r="G6031" s="0" t="inlineStr">
        <is>
          <t>MENS</t>
        </is>
      </c>
      <c r="H6031" s="0" t="inlineStr">
        <is>
          <t>40</t>
        </is>
      </c>
      <c r="I6031" s="0">
        <v>39.99</v>
      </c>
      <c r="J6031" s="0">
        <v>85</v>
      </c>
    </row>
    <row r="6032" spans="1:10" customHeight="0">
      <c r="A6032" s="0">
        <f>HYPERLINK("https://dl.dropboxusercontent.com/scl/fi/d41353bzkxe15q58rzcsc/matt-02.jpg?rlkey=o0xgtjg80qsjl0ji2syl8pp2n&amp;dl=0","Click to download Image")</f>
      </c>
      <c r="B6032" s="0">
        <f>HYPERLINK("https://dl.dropboxusercontent.com/scl/fi/5jcjqs776dwqvctxnxqpx/size-chartmens-h.jpg?rlkey=fbg9xxixqrw8868zy3dutwhpu&amp;dl=0","Click to download SizeChart")</f>
      </c>
      <c r="C6032" s="0" t="inlineStr">
        <is>
          <t>Matt Men's Boardshorts</t>
        </is>
      </c>
      <c r="D6032" s="0" t="inlineStr">
        <is>
          <t>'96279</t>
        </is>
      </c>
      <c r="E6032" s="0" t="inlineStr">
        <is>
          <t>MATT:96279-42</t>
        </is>
      </c>
      <c r="F6032" s="0" t="inlineStr">
        <is>
          <t>'000000000000</t>
        </is>
      </c>
      <c r="G6032" s="0" t="inlineStr">
        <is>
          <t>MENS</t>
        </is>
      </c>
      <c r="H6032" s="0" t="inlineStr">
        <is>
          <t>42</t>
        </is>
      </c>
      <c r="I6032" s="0">
        <v>39.99</v>
      </c>
      <c r="J6032" s="0">
        <v>33</v>
      </c>
    </row>
    <row r="6033" spans="1:10" customHeight="0">
      <c r="A6033" s="0">
        <f>HYPERLINK("https://dl.dropboxusercontent.com/scl/fi/l9sfb31hf3zdagzvz66ia/blisst.jpg?rlkey=1980vhp5fmeeymwbstiu5f76i&amp;dl=0","Click to download Image")</f>
      </c>
      <c r="C6033" s="0" t="inlineStr">
        <is>
          <t>Bliss Diaper Bag</t>
        </is>
      </c>
      <c r="D6033" s="0" t="inlineStr">
        <is>
          <t>'94441</t>
        </is>
      </c>
      <c r="E6033" s="0" t="inlineStr">
        <is>
          <t>BLISS:94441</t>
        </is>
      </c>
      <c r="F6033" s="0" t="inlineStr">
        <is>
          <t>'090009444101</t>
        </is>
      </c>
      <c r="I6033" s="0">
        <v>49.99</v>
      </c>
      <c r="J6033" s="0">
        <v>447</v>
      </c>
    </row>
    <row r="6034" spans="1:10" customHeight="0">
      <c r="A6034" s="0">
        <f>HYPERLINK("https://dl.dropboxusercontent.com/scl/fi/4dyzih1knr7n77asbnymq/haydent.jpg?rlkey=o50zhvly5wuo83vjpd8qw6s1n&amp;dl=0","Click to download Image")</f>
      </c>
      <c r="C6034" s="0" t="inlineStr">
        <is>
          <t>Hayden Youth Backpack</t>
        </is>
      </c>
      <c r="D6034" s="0" t="inlineStr">
        <is>
          <t>'95540</t>
        </is>
      </c>
      <c r="E6034" s="0" t="inlineStr">
        <is>
          <t>HAYDEN:95540</t>
        </is>
      </c>
      <c r="F6034" s="0" t="inlineStr">
        <is>
          <t>'090009554001</t>
        </is>
      </c>
      <c r="I6034" s="0">
        <v>34.99</v>
      </c>
      <c r="J6034" s="0">
        <v>379</v>
      </c>
    </row>
    <row r="6035" spans="1:10" customHeight="0">
      <c r="A6035" s="0">
        <f>HYPERLINK("https://dl.dropboxusercontent.com/scl/fi/usmkpx8uol9rkccba0m19/michael.jpg?rlkey=c8k5dq4ezxrevj9jafqztlf1l&amp;dl=0","Click to download Image")</f>
      </c>
      <c r="C6035" s="0" t="inlineStr">
        <is>
          <t>Michael Youth Stretch Fit Cap</t>
        </is>
      </c>
      <c r="D6035" s="0" t="inlineStr">
        <is>
          <t>'95063</t>
        </is>
      </c>
      <c r="E6035" s="0" t="inlineStr">
        <is>
          <t>MICHAEL:95063</t>
        </is>
      </c>
      <c r="F6035" s="0" t="inlineStr">
        <is>
          <t>'000000000000</t>
        </is>
      </c>
      <c r="G6035" s="0" t="inlineStr">
        <is>
          <t>YOUTH</t>
        </is>
      </c>
      <c r="H6035" s="0" t="inlineStr">
        <is>
          <t>YOUTH</t>
        </is>
      </c>
      <c r="I6035" s="0">
        <v>19.99</v>
      </c>
      <c r="J6035" s="0">
        <v>18</v>
      </c>
    </row>
    <row r="6036" spans="1:10" customHeight="0">
      <c r="A6036" s="0">
        <f>HYPERLINK("https://dl.dropboxusercontent.com/scl/fi/kamk6vofh0t3ycz8ubtiy/gavint.jpg?rlkey=u6nx92jxdo3kf1xoym7y8by4d&amp;dl=0","Click to download Image")</f>
      </c>
      <c r="C6036" s="0" t="inlineStr">
        <is>
          <t>Gavin Hardshell Backpack</t>
        </is>
      </c>
      <c r="D6036" s="0" t="inlineStr">
        <is>
          <t>'95977</t>
        </is>
      </c>
      <c r="E6036" s="0" t="inlineStr">
        <is>
          <t>GAVIN:95977</t>
        </is>
      </c>
      <c r="F6036" s="0" t="inlineStr">
        <is>
          <t>'090009597701</t>
        </is>
      </c>
      <c r="I6036" s="0">
        <v>59.99</v>
      </c>
      <c r="J6036" s="0">
        <v>116</v>
      </c>
    </row>
    <row r="6037" spans="1:10" customHeight="0">
      <c r="A6037" s="0">
        <f>HYPERLINK("https://dl.dropboxusercontent.com/scl/fi/ty5f1kccdt3wob260benq/mary-02.jpg?rlkey=l925ldas2ieesmkan5b7w40ka&amp;dl=0","Click to download Image")</f>
      </c>
      <c r="B6037" s="0">
        <f>HYPERLINK("https://dl.dropboxusercontent.com/scl/fi/rh0prmro60p6ckgwnzl4j/size-chartswomens-standard-fitted-shirt.jpg?rlkey=8t03psikxizu1k8ynj19n1iwx&amp;dl=0","Click to download SizeChart")</f>
      </c>
      <c r="C6037" s="0" t="inlineStr">
        <is>
          <t>Mary Women's Long Sleeve Shirt</t>
        </is>
      </c>
      <c r="D6037" s="0" t="inlineStr">
        <is>
          <t>'98427</t>
        </is>
      </c>
      <c r="E6037" s="0" t="inlineStr">
        <is>
          <t>MARY:98427A-S</t>
        </is>
      </c>
      <c r="F6037" s="0" t="inlineStr">
        <is>
          <t>'000000000000</t>
        </is>
      </c>
      <c r="G6037" s="0" t="inlineStr">
        <is>
          <t>WOMENS</t>
        </is>
      </c>
      <c r="H6037" s="0" t="inlineStr">
        <is>
          <t>S</t>
        </is>
      </c>
      <c r="I6037" s="0">
        <v>42.99</v>
      </c>
      <c r="J6037" s="0">
        <v>19</v>
      </c>
    </row>
    <row r="6038" spans="1:10" customHeight="0">
      <c r="A6038" s="0">
        <f>HYPERLINK("https://dl.dropboxusercontent.com/scl/fi/ty5f1kccdt3wob260benq/mary-02.jpg?rlkey=l925ldas2ieesmkan5b7w40ka&amp;dl=0","Click to download Image")</f>
      </c>
      <c r="B6038" s="0">
        <f>HYPERLINK("https://dl.dropboxusercontent.com/scl/fi/rh0prmro60p6ckgwnzl4j/size-chartswomens-standard-fitted-shirt.jpg?rlkey=8t03psikxizu1k8ynj19n1iwx&amp;dl=0","Click to download SizeChart")</f>
      </c>
      <c r="C6038" s="0" t="inlineStr">
        <is>
          <t>Mary Women's Long Sleeve Shirt</t>
        </is>
      </c>
      <c r="D6038" s="0" t="inlineStr">
        <is>
          <t>'98427</t>
        </is>
      </c>
      <c r="E6038" s="0" t="inlineStr">
        <is>
          <t>MARY:98427B-M</t>
        </is>
      </c>
      <c r="F6038" s="0" t="inlineStr">
        <is>
          <t>'000000000000</t>
        </is>
      </c>
      <c r="G6038" s="0" t="inlineStr">
        <is>
          <t>WOMENS</t>
        </is>
      </c>
      <c r="H6038" s="0" t="inlineStr">
        <is>
          <t>M</t>
        </is>
      </c>
      <c r="I6038" s="0">
        <v>42.99</v>
      </c>
      <c r="J6038" s="0">
        <v>22</v>
      </c>
    </row>
    <row r="6039" spans="1:10" customHeight="0">
      <c r="A6039" s="0">
        <f>HYPERLINK("https://dl.dropboxusercontent.com/scl/fi/ty5f1kccdt3wob260benq/mary-02.jpg?rlkey=l925ldas2ieesmkan5b7w40ka&amp;dl=0","Click to download Image")</f>
      </c>
      <c r="B6039" s="0">
        <f>HYPERLINK("https://dl.dropboxusercontent.com/scl/fi/rh0prmro60p6ckgwnzl4j/size-chartswomens-standard-fitted-shirt.jpg?rlkey=8t03psikxizu1k8ynj19n1iwx&amp;dl=0","Click to download SizeChart")</f>
      </c>
      <c r="C6039" s="0" t="inlineStr">
        <is>
          <t>Mary Women's Long Sleeve Shirt</t>
        </is>
      </c>
      <c r="D6039" s="0" t="inlineStr">
        <is>
          <t>'98427</t>
        </is>
      </c>
      <c r="E6039" s="0" t="inlineStr">
        <is>
          <t>MARY:98427C-L</t>
        </is>
      </c>
      <c r="F6039" s="0" t="inlineStr">
        <is>
          <t>'000000000000</t>
        </is>
      </c>
      <c r="G6039" s="0" t="inlineStr">
        <is>
          <t>WOMENS</t>
        </is>
      </c>
      <c r="H6039" s="0" t="inlineStr">
        <is>
          <t>L</t>
        </is>
      </c>
      <c r="I6039" s="0">
        <v>42.99</v>
      </c>
      <c r="J6039" s="0">
        <v>49</v>
      </c>
    </row>
    <row r="6040" spans="1:10" customHeight="0">
      <c r="A6040" s="0">
        <f>HYPERLINK("https://dl.dropboxusercontent.com/scl/fi/ty5f1kccdt3wob260benq/mary-02.jpg?rlkey=l925ldas2ieesmkan5b7w40ka&amp;dl=0","Click to download Image")</f>
      </c>
      <c r="B6040" s="0">
        <f>HYPERLINK("https://dl.dropboxusercontent.com/scl/fi/rh0prmro60p6ckgwnzl4j/size-chartswomens-standard-fitted-shirt.jpg?rlkey=8t03psikxizu1k8ynj19n1iwx&amp;dl=0","Click to download SizeChart")</f>
      </c>
      <c r="C6040" s="0" t="inlineStr">
        <is>
          <t>Mary Women's Long Sleeve Shirt</t>
        </is>
      </c>
      <c r="D6040" s="0" t="inlineStr">
        <is>
          <t>'98427</t>
        </is>
      </c>
      <c r="E6040" s="0" t="inlineStr">
        <is>
          <t>MARY:98427D-XL</t>
        </is>
      </c>
      <c r="F6040" s="0" t="inlineStr">
        <is>
          <t>'000000000000</t>
        </is>
      </c>
      <c r="G6040" s="0" t="inlineStr">
        <is>
          <t>WOMENS</t>
        </is>
      </c>
      <c r="H6040" s="0" t="inlineStr">
        <is>
          <t>XL</t>
        </is>
      </c>
      <c r="I6040" s="0">
        <v>42.99</v>
      </c>
      <c r="J6040" s="0">
        <v>71</v>
      </c>
    </row>
    <row r="6041" spans="1:10" customHeight="0">
      <c r="A6041" s="0">
        <f>HYPERLINK("https://dl.dropboxusercontent.com/scl/fi/ty5f1kccdt3wob260benq/mary-02.jpg?rlkey=l925ldas2ieesmkan5b7w40ka&amp;dl=0","Click to download Image")</f>
      </c>
      <c r="B6041" s="0">
        <f>HYPERLINK("https://dl.dropboxusercontent.com/scl/fi/rh0prmro60p6ckgwnzl4j/size-chartswomens-standard-fitted-shirt.jpg?rlkey=8t03psikxizu1k8ynj19n1iwx&amp;dl=0","Click to download SizeChart")</f>
      </c>
      <c r="C6041" s="0" t="inlineStr">
        <is>
          <t>Mary Women's Long Sleeve Shirt</t>
        </is>
      </c>
      <c r="D6041" s="0" t="inlineStr">
        <is>
          <t>'98427</t>
        </is>
      </c>
      <c r="E6041" s="0" t="inlineStr">
        <is>
          <t>MARY:98427E-2XL</t>
        </is>
      </c>
      <c r="F6041" s="0" t="inlineStr">
        <is>
          <t>'000000000000</t>
        </is>
      </c>
      <c r="G6041" s="0" t="inlineStr">
        <is>
          <t>WOMENS</t>
        </is>
      </c>
      <c r="H6041" s="0" t="inlineStr">
        <is>
          <t>2XL</t>
        </is>
      </c>
      <c r="I6041" s="0">
        <v>44.99</v>
      </c>
      <c r="J6041" s="0">
        <v>73</v>
      </c>
    </row>
    <row r="6042" spans="1:10" customHeight="0">
      <c r="A6042" s="0">
        <f>HYPERLINK("https://dl.dropboxusercontent.com/scl/fi/ty5f1kccdt3wob260benq/mary-02.jpg?rlkey=l925ldas2ieesmkan5b7w40ka&amp;dl=0","Click to download Image")</f>
      </c>
      <c r="B6042" s="0">
        <f>HYPERLINK("https://dl.dropboxusercontent.com/scl/fi/rh0prmro60p6ckgwnzl4j/size-chartswomens-standard-fitted-shirt.jpg?rlkey=8t03psikxizu1k8ynj19n1iwx&amp;dl=0","Click to download SizeChart")</f>
      </c>
      <c r="C6042" s="0" t="inlineStr">
        <is>
          <t>Mary Women's Long Sleeve Shirt</t>
        </is>
      </c>
      <c r="D6042" s="0" t="inlineStr">
        <is>
          <t>'98427</t>
        </is>
      </c>
      <c r="E6042" s="0" t="inlineStr">
        <is>
          <t>MARY:98427F-3XL</t>
        </is>
      </c>
      <c r="F6042" s="0" t="inlineStr">
        <is>
          <t>'000000000000</t>
        </is>
      </c>
      <c r="G6042" s="0" t="inlineStr">
        <is>
          <t>WOMENS</t>
        </is>
      </c>
      <c r="H6042" s="0" t="inlineStr">
        <is>
          <t>3XL</t>
        </is>
      </c>
      <c r="I6042" s="0">
        <v>44.99</v>
      </c>
      <c r="J6042" s="0">
        <v>30</v>
      </c>
    </row>
    <row r="6043" spans="1:10" customHeight="0">
      <c r="A6043" s="0">
        <f>HYPERLINK("https://dl.dropboxusercontent.com/scl/fi/ropjhw1ch6vsuiu317ybg/mary-03.jpg?rlkey=r24zcdn9v1rbg1xxdm5g91eut&amp;dl=0","Click to download Image")</f>
      </c>
      <c r="B6043" s="0">
        <f>HYPERLINK("https://dl.dropboxusercontent.com/scl/fi/rh0prmro60p6ckgwnzl4j/size-chartswomens-standard-fitted-shirt.jpg?rlkey=8t03psikxizu1k8ynj19n1iwx&amp;dl=0","Click to download SizeChart")</f>
      </c>
      <c r="C6043" s="0" t="inlineStr">
        <is>
          <t>Mary Women's Long Sleeve Shirt</t>
        </is>
      </c>
      <c r="D6043" s="0" t="inlineStr">
        <is>
          <t>'101646</t>
        </is>
      </c>
      <c r="E6043" s="0" t="inlineStr">
        <is>
          <t>MARY:101646A-S</t>
        </is>
      </c>
      <c r="F6043" s="0" t="inlineStr">
        <is>
          <t>'000000000000</t>
        </is>
      </c>
      <c r="G6043" s="0" t="inlineStr">
        <is>
          <t>WOMENS</t>
        </is>
      </c>
      <c r="H6043" s="0" t="inlineStr">
        <is>
          <t>S</t>
        </is>
      </c>
      <c r="I6043" s="0">
        <v>42.99</v>
      </c>
      <c r="J6043" s="0">
        <v>31</v>
      </c>
    </row>
    <row r="6044" spans="1:10" customHeight="0">
      <c r="A6044" s="0">
        <f>HYPERLINK("https://dl.dropboxusercontent.com/scl/fi/ropjhw1ch6vsuiu317ybg/mary-03.jpg?rlkey=r24zcdn9v1rbg1xxdm5g91eut&amp;dl=0","Click to download Image")</f>
      </c>
      <c r="B6044" s="0">
        <f>HYPERLINK("https://dl.dropboxusercontent.com/scl/fi/rh0prmro60p6ckgwnzl4j/size-chartswomens-standard-fitted-shirt.jpg?rlkey=8t03psikxizu1k8ynj19n1iwx&amp;dl=0","Click to download SizeChart")</f>
      </c>
      <c r="C6044" s="0" t="inlineStr">
        <is>
          <t>Mary Women's Long Sleeve Shirt</t>
        </is>
      </c>
      <c r="D6044" s="0" t="inlineStr">
        <is>
          <t>'101646</t>
        </is>
      </c>
      <c r="E6044" s="0" t="inlineStr">
        <is>
          <t>MARY:101646B-M</t>
        </is>
      </c>
      <c r="F6044" s="0" t="inlineStr">
        <is>
          <t>'000000000000</t>
        </is>
      </c>
      <c r="G6044" s="0" t="inlineStr">
        <is>
          <t>WOMENS</t>
        </is>
      </c>
      <c r="H6044" s="0" t="inlineStr">
        <is>
          <t>M</t>
        </is>
      </c>
      <c r="I6044" s="0">
        <v>42.99</v>
      </c>
      <c r="J6044" s="0">
        <v>65</v>
      </c>
    </row>
    <row r="6045" spans="1:10" customHeight="0">
      <c r="A6045" s="0">
        <f>HYPERLINK("https://dl.dropboxusercontent.com/scl/fi/ropjhw1ch6vsuiu317ybg/mary-03.jpg?rlkey=r24zcdn9v1rbg1xxdm5g91eut&amp;dl=0","Click to download Image")</f>
      </c>
      <c r="B6045" s="0">
        <f>HYPERLINK("https://dl.dropboxusercontent.com/scl/fi/rh0prmro60p6ckgwnzl4j/size-chartswomens-standard-fitted-shirt.jpg?rlkey=8t03psikxizu1k8ynj19n1iwx&amp;dl=0","Click to download SizeChart")</f>
      </c>
      <c r="C6045" s="0" t="inlineStr">
        <is>
          <t>Mary Women's Long Sleeve Shirt</t>
        </is>
      </c>
      <c r="D6045" s="0" t="inlineStr">
        <is>
          <t>'101646</t>
        </is>
      </c>
      <c r="E6045" s="0" t="inlineStr">
        <is>
          <t>MARY:101646C-L</t>
        </is>
      </c>
      <c r="F6045" s="0" t="inlineStr">
        <is>
          <t>'000000000000</t>
        </is>
      </c>
      <c r="G6045" s="0" t="inlineStr">
        <is>
          <t>WOMENS</t>
        </is>
      </c>
      <c r="H6045" s="0" t="inlineStr">
        <is>
          <t>L</t>
        </is>
      </c>
      <c r="I6045" s="0">
        <v>42.99</v>
      </c>
      <c r="J6045" s="0">
        <v>61</v>
      </c>
    </row>
    <row r="6046" spans="1:10" customHeight="0">
      <c r="A6046" s="0">
        <f>HYPERLINK("https://dl.dropboxusercontent.com/scl/fi/ropjhw1ch6vsuiu317ybg/mary-03.jpg?rlkey=r24zcdn9v1rbg1xxdm5g91eut&amp;dl=0","Click to download Image")</f>
      </c>
      <c r="B6046" s="0">
        <f>HYPERLINK("https://dl.dropboxusercontent.com/scl/fi/rh0prmro60p6ckgwnzl4j/size-chartswomens-standard-fitted-shirt.jpg?rlkey=8t03psikxizu1k8ynj19n1iwx&amp;dl=0","Click to download SizeChart")</f>
      </c>
      <c r="C6046" s="0" t="inlineStr">
        <is>
          <t>Mary Women's Long Sleeve Shirt</t>
        </is>
      </c>
      <c r="D6046" s="0" t="inlineStr">
        <is>
          <t>'101646</t>
        </is>
      </c>
      <c r="E6046" s="0" t="inlineStr">
        <is>
          <t>MARY:101646D-XL</t>
        </is>
      </c>
      <c r="F6046" s="0" t="inlineStr">
        <is>
          <t>'000000000000</t>
        </is>
      </c>
      <c r="G6046" s="0" t="inlineStr">
        <is>
          <t>WOMENS</t>
        </is>
      </c>
      <c r="H6046" s="0" t="inlineStr">
        <is>
          <t>XL</t>
        </is>
      </c>
      <c r="I6046" s="0">
        <v>42.99</v>
      </c>
      <c r="J6046" s="0">
        <v>72</v>
      </c>
    </row>
    <row r="6047" spans="1:10" customHeight="0">
      <c r="A6047" s="0">
        <f>HYPERLINK("https://dl.dropboxusercontent.com/scl/fi/ropjhw1ch6vsuiu317ybg/mary-03.jpg?rlkey=r24zcdn9v1rbg1xxdm5g91eut&amp;dl=0","Click to download Image")</f>
      </c>
      <c r="B6047" s="0">
        <f>HYPERLINK("https://dl.dropboxusercontent.com/scl/fi/rh0prmro60p6ckgwnzl4j/size-chartswomens-standard-fitted-shirt.jpg?rlkey=8t03psikxizu1k8ynj19n1iwx&amp;dl=0","Click to download SizeChart")</f>
      </c>
      <c r="C6047" s="0" t="inlineStr">
        <is>
          <t>Mary Women's Long Sleeve Shirt</t>
        </is>
      </c>
      <c r="D6047" s="0" t="inlineStr">
        <is>
          <t>'101646</t>
        </is>
      </c>
      <c r="E6047" s="0" t="inlineStr">
        <is>
          <t>MARY:101646E-2XL</t>
        </is>
      </c>
      <c r="F6047" s="0" t="inlineStr">
        <is>
          <t>'000000000000</t>
        </is>
      </c>
      <c r="G6047" s="0" t="inlineStr">
        <is>
          <t>WOMENS</t>
        </is>
      </c>
      <c r="H6047" s="0" t="inlineStr">
        <is>
          <t>2XL</t>
        </is>
      </c>
      <c r="I6047" s="0">
        <v>44.99</v>
      </c>
      <c r="J6047" s="0">
        <v>15</v>
      </c>
    </row>
    <row r="6048" spans="1:10" customHeight="0">
      <c r="A6048" s="0">
        <f>HYPERLINK("https://dl.dropboxusercontent.com/scl/fi/ropjhw1ch6vsuiu317ybg/mary-03.jpg?rlkey=r24zcdn9v1rbg1xxdm5g91eut&amp;dl=0","Click to download Image")</f>
      </c>
      <c r="B6048" s="0">
        <f>HYPERLINK("https://dl.dropboxusercontent.com/scl/fi/rh0prmro60p6ckgwnzl4j/size-chartswomens-standard-fitted-shirt.jpg?rlkey=8t03psikxizu1k8ynj19n1iwx&amp;dl=0","Click to download SizeChart")</f>
      </c>
      <c r="C6048" s="0" t="inlineStr">
        <is>
          <t>Mary Women's Long Sleeve Shirt</t>
        </is>
      </c>
      <c r="D6048" s="0" t="inlineStr">
        <is>
          <t>'101646</t>
        </is>
      </c>
      <c r="E6048" s="0" t="inlineStr">
        <is>
          <t>MARY:101646F-3XL</t>
        </is>
      </c>
      <c r="F6048" s="0" t="inlineStr">
        <is>
          <t>'000000000000</t>
        </is>
      </c>
      <c r="G6048" s="0" t="inlineStr">
        <is>
          <t>WOMENS</t>
        </is>
      </c>
      <c r="H6048" s="0" t="inlineStr">
        <is>
          <t>3XL</t>
        </is>
      </c>
      <c r="I6048" s="0">
        <v>44.99</v>
      </c>
      <c r="J6048" s="0">
        <v>22</v>
      </c>
    </row>
    <row r="6049" spans="1:10" customHeight="0">
      <c r="A6049" s="0">
        <f>HYPERLINK("https://dl.dropboxusercontent.com/scl/fi/951r3uxc5meox6dnniucg/98046-af.jpg?rlkey=3p3zktvbff4svr35gc01q4ulg&amp;dl=0","Click to download Image")</f>
      </c>
      <c r="B6049" s="0">
        <f>HYPERLINK("https://dl.dropboxusercontent.com/scl/fi/fvlwf4ngilkfqsrjjh9dm/graphic-update2022-youth.jpg?rlkey=mnozhroh0u2lokio505r80x2c&amp;dl=0","Click to download SizeChart")</f>
      </c>
      <c r="C6049" s="0" t="inlineStr">
        <is>
          <t>Ada Youth Long Sleeve</t>
        </is>
      </c>
      <c r="D6049" s="0" t="inlineStr">
        <is>
          <t>'98046</t>
        </is>
      </c>
      <c r="E6049" s="0" t="inlineStr">
        <is>
          <t>ADA:98046A-S</t>
        </is>
      </c>
      <c r="F6049" s="0" t="inlineStr">
        <is>
          <t>'000000000000</t>
        </is>
      </c>
      <c r="G6049" s="0" t="inlineStr">
        <is>
          <t>YOUTH</t>
        </is>
      </c>
      <c r="H6049" s="0" t="inlineStr">
        <is>
          <t>YS</t>
        </is>
      </c>
      <c r="I6049" s="0">
        <v>39.99</v>
      </c>
      <c r="J6049" s="0">
        <v>25</v>
      </c>
    </row>
    <row r="6050" spans="1:10" customHeight="0">
      <c r="A6050" s="0">
        <f>HYPERLINK("https://dl.dropboxusercontent.com/scl/fi/951r3uxc5meox6dnniucg/98046-af.jpg?rlkey=3p3zktvbff4svr35gc01q4ulg&amp;dl=0","Click to download Image")</f>
      </c>
      <c r="B6050" s="0">
        <f>HYPERLINK("https://dl.dropboxusercontent.com/scl/fi/fvlwf4ngilkfqsrjjh9dm/graphic-update2022-youth.jpg?rlkey=mnozhroh0u2lokio505r80x2c&amp;dl=0","Click to download SizeChart")</f>
      </c>
      <c r="C6050" s="0" t="inlineStr">
        <is>
          <t>Ada Youth Long Sleeve</t>
        </is>
      </c>
      <c r="D6050" s="0" t="inlineStr">
        <is>
          <t>'98046</t>
        </is>
      </c>
      <c r="E6050" s="0" t="inlineStr">
        <is>
          <t>ADA:98046B-M</t>
        </is>
      </c>
      <c r="F6050" s="0" t="inlineStr">
        <is>
          <t>'000000000000</t>
        </is>
      </c>
      <c r="G6050" s="0" t="inlineStr">
        <is>
          <t>YOUTH</t>
        </is>
      </c>
      <c r="H6050" s="0" t="inlineStr">
        <is>
          <t>YM</t>
        </is>
      </c>
      <c r="I6050" s="0">
        <v>39.99</v>
      </c>
      <c r="J6050" s="0">
        <v>25</v>
      </c>
    </row>
    <row r="6051" spans="1:10" customHeight="0">
      <c r="A6051" s="0">
        <f>HYPERLINK("https://dl.dropboxusercontent.com/scl/fi/951r3uxc5meox6dnniucg/98046-af.jpg?rlkey=3p3zktvbff4svr35gc01q4ulg&amp;dl=0","Click to download Image")</f>
      </c>
      <c r="B6051" s="0">
        <f>HYPERLINK("https://dl.dropboxusercontent.com/scl/fi/fvlwf4ngilkfqsrjjh9dm/graphic-update2022-youth.jpg?rlkey=mnozhroh0u2lokio505r80x2c&amp;dl=0","Click to download SizeChart")</f>
      </c>
      <c r="C6051" s="0" t="inlineStr">
        <is>
          <t>Ada Youth Long Sleeve</t>
        </is>
      </c>
      <c r="D6051" s="0" t="inlineStr">
        <is>
          <t>'98046</t>
        </is>
      </c>
      <c r="E6051" s="0" t="inlineStr">
        <is>
          <t>ADA:98046C-L</t>
        </is>
      </c>
      <c r="F6051" s="0" t="inlineStr">
        <is>
          <t>'000000000000</t>
        </is>
      </c>
      <c r="G6051" s="0" t="inlineStr">
        <is>
          <t>YOUTH</t>
        </is>
      </c>
      <c r="H6051" s="0" t="inlineStr">
        <is>
          <t>YL</t>
        </is>
      </c>
      <c r="I6051" s="0">
        <v>39.99</v>
      </c>
      <c r="J6051" s="0">
        <v>23</v>
      </c>
    </row>
    <row r="6052" spans="1:10" customHeight="0">
      <c r="A6052" s="0">
        <f>HYPERLINK("https://dl.dropboxusercontent.com/scl/fi/951r3uxc5meox6dnniucg/98046-af.jpg?rlkey=3p3zktvbff4svr35gc01q4ulg&amp;dl=0","Click to download Image")</f>
      </c>
      <c r="B6052" s="0">
        <f>HYPERLINK("https://dl.dropboxusercontent.com/scl/fi/fvlwf4ngilkfqsrjjh9dm/graphic-update2022-youth.jpg?rlkey=mnozhroh0u2lokio505r80x2c&amp;dl=0","Click to download SizeChart")</f>
      </c>
      <c r="C6052" s="0" t="inlineStr">
        <is>
          <t>Ada Youth Long Sleeve</t>
        </is>
      </c>
      <c r="D6052" s="0" t="inlineStr">
        <is>
          <t>'98046</t>
        </is>
      </c>
      <c r="E6052" s="0" t="inlineStr">
        <is>
          <t>ADA:98046D-XL</t>
        </is>
      </c>
      <c r="F6052" s="0" t="inlineStr">
        <is>
          <t>'000000000000</t>
        </is>
      </c>
      <c r="G6052" s="0" t="inlineStr">
        <is>
          <t>YOUTH</t>
        </is>
      </c>
      <c r="H6052" s="0" t="inlineStr">
        <is>
          <t>YXL</t>
        </is>
      </c>
      <c r="I6052" s="0">
        <v>39.99</v>
      </c>
      <c r="J6052" s="0">
        <v>40</v>
      </c>
    </row>
    <row r="6053" spans="1:10" customHeight="0">
      <c r="A6053" s="0">
        <f>HYPERLINK("https://dl.dropboxusercontent.com/scl/fi/tfflcrsci3996x8n7gjsc/98849-af.jpg?rlkey=ssqbj93e2jlgng8efvd6e9jgr&amp;dl=0","Click to download Image")</f>
      </c>
      <c r="B6053" s="0">
        <f>HYPERLINK("https://dl.dropboxusercontent.com/scl/fi/fvlwf4ngilkfqsrjjh9dm/graphic-update2022-youth.jpg?rlkey=mnozhroh0u2lokio505r80x2c&amp;dl=0","Click to download SizeChart")</f>
      </c>
      <c r="C6053" s="0" t="inlineStr">
        <is>
          <t>Ada Youth Long Sleeve</t>
        </is>
      </c>
      <c r="D6053" s="0" t="inlineStr">
        <is>
          <t>'98845</t>
        </is>
      </c>
      <c r="E6053" s="0" t="inlineStr">
        <is>
          <t>ADA:98845A-S</t>
        </is>
      </c>
      <c r="F6053" s="0" t="inlineStr">
        <is>
          <t>'000000000000</t>
        </is>
      </c>
      <c r="G6053" s="0" t="inlineStr">
        <is>
          <t>YOUTH</t>
        </is>
      </c>
      <c r="H6053" s="0" t="inlineStr">
        <is>
          <t>YS</t>
        </is>
      </c>
      <c r="I6053" s="0">
        <v>39.99</v>
      </c>
      <c r="J6053" s="0">
        <v>16</v>
      </c>
    </row>
    <row r="6054" spans="1:10" customHeight="0">
      <c r="A6054" s="0">
        <f>HYPERLINK("https://dl.dropboxusercontent.com/scl/fi/tfflcrsci3996x8n7gjsc/98849-af.jpg?rlkey=ssqbj93e2jlgng8efvd6e9jgr&amp;dl=0","Click to download Image")</f>
      </c>
      <c r="B6054" s="0">
        <f>HYPERLINK("https://dl.dropboxusercontent.com/scl/fi/fvlwf4ngilkfqsrjjh9dm/graphic-update2022-youth.jpg?rlkey=mnozhroh0u2lokio505r80x2c&amp;dl=0","Click to download SizeChart")</f>
      </c>
      <c r="C6054" s="0" t="inlineStr">
        <is>
          <t>Ada Youth Long Sleeve</t>
        </is>
      </c>
      <c r="D6054" s="0" t="inlineStr">
        <is>
          <t>'98845</t>
        </is>
      </c>
      <c r="E6054" s="0" t="inlineStr">
        <is>
          <t>ADA:98845B-M</t>
        </is>
      </c>
      <c r="F6054" s="0" t="inlineStr">
        <is>
          <t>'000000000000</t>
        </is>
      </c>
      <c r="G6054" s="0" t="inlineStr">
        <is>
          <t>YOUTH</t>
        </is>
      </c>
      <c r="H6054" s="0" t="inlineStr">
        <is>
          <t>YM</t>
        </is>
      </c>
      <c r="I6054" s="0">
        <v>39.99</v>
      </c>
      <c r="J6054" s="0">
        <v>16</v>
      </c>
    </row>
    <row r="6055" spans="1:10" customHeight="0">
      <c r="A6055" s="0">
        <f>HYPERLINK("https://dl.dropboxusercontent.com/scl/fi/tfflcrsci3996x8n7gjsc/98849-af.jpg?rlkey=ssqbj93e2jlgng8efvd6e9jgr&amp;dl=0","Click to download Image")</f>
      </c>
      <c r="B6055" s="0">
        <f>HYPERLINK("https://dl.dropboxusercontent.com/scl/fi/fvlwf4ngilkfqsrjjh9dm/graphic-update2022-youth.jpg?rlkey=mnozhroh0u2lokio505r80x2c&amp;dl=0","Click to download SizeChart")</f>
      </c>
      <c r="C6055" s="0" t="inlineStr">
        <is>
          <t>Ada Youth Long Sleeve</t>
        </is>
      </c>
      <c r="D6055" s="0" t="inlineStr">
        <is>
          <t>'98845</t>
        </is>
      </c>
      <c r="E6055" s="0" t="inlineStr">
        <is>
          <t>ADA:98845C-L</t>
        </is>
      </c>
      <c r="F6055" s="0" t="inlineStr">
        <is>
          <t>'000000000000</t>
        </is>
      </c>
      <c r="G6055" s="0" t="inlineStr">
        <is>
          <t>YOUTH</t>
        </is>
      </c>
      <c r="H6055" s="0" t="inlineStr">
        <is>
          <t>YL</t>
        </is>
      </c>
      <c r="I6055" s="0">
        <v>39.99</v>
      </c>
      <c r="J6055" s="0">
        <v>27</v>
      </c>
    </row>
    <row r="6056" spans="1:10" customHeight="0">
      <c r="A6056" s="0">
        <f>HYPERLINK("https://dl.dropboxusercontent.com/scl/fi/tfflcrsci3996x8n7gjsc/98849-af.jpg?rlkey=ssqbj93e2jlgng8efvd6e9jgr&amp;dl=0","Click to download Image")</f>
      </c>
      <c r="B6056" s="0">
        <f>HYPERLINK("https://dl.dropboxusercontent.com/scl/fi/fvlwf4ngilkfqsrjjh9dm/graphic-update2022-youth.jpg?rlkey=mnozhroh0u2lokio505r80x2c&amp;dl=0","Click to download SizeChart")</f>
      </c>
      <c r="C6056" s="0" t="inlineStr">
        <is>
          <t>Ada Youth Long Sleeve</t>
        </is>
      </c>
      <c r="D6056" s="0" t="inlineStr">
        <is>
          <t>'98845</t>
        </is>
      </c>
      <c r="E6056" s="0" t="inlineStr">
        <is>
          <t>ADA:98845D-XL</t>
        </is>
      </c>
      <c r="F6056" s="0" t="inlineStr">
        <is>
          <t>'000000000000</t>
        </is>
      </c>
      <c r="G6056" s="0" t="inlineStr">
        <is>
          <t>YOUTH</t>
        </is>
      </c>
      <c r="H6056" s="0" t="inlineStr">
        <is>
          <t>YXL</t>
        </is>
      </c>
      <c r="I6056" s="0">
        <v>39.99</v>
      </c>
      <c r="J6056" s="0">
        <v>29</v>
      </c>
    </row>
    <row r="6057" spans="1:10" customHeight="0">
      <c r="A6057" s="0">
        <f>HYPERLINK("https://dl.dropboxusercontent.com/scl/fi/sjha0bdukmzb9hslt93mj/mia.jpg?rlkey=m78eckxw4ny0zt9wuni9yh6s1&amp;dl=0","Click to download Image")</f>
      </c>
      <c r="B6057" s="0">
        <f>HYPERLINK("https://dl.dropboxusercontent.com/scl/fi/63o37qtt0j09u9qsd1qkz/size-chartladies-h.jpg?rlkey=75226rzf13mwnxzb61wtuhvig&amp;dl=0","Click to download SizeChart")</f>
      </c>
      <c r="C6057" s="0" t="inlineStr">
        <is>
          <t>Mia Women's Polo</t>
        </is>
      </c>
      <c r="D6057" s="0" t="inlineStr">
        <is>
          <t>'96837</t>
        </is>
      </c>
      <c r="E6057" s="0" t="inlineStr">
        <is>
          <t>MIA:96837A-S</t>
        </is>
      </c>
      <c r="F6057" s="0" t="inlineStr">
        <is>
          <t>'000000000000</t>
        </is>
      </c>
      <c r="G6057" s="0" t="inlineStr">
        <is>
          <t>WOMENS</t>
        </is>
      </c>
      <c r="H6057" s="0" t="inlineStr">
        <is>
          <t>S</t>
        </is>
      </c>
      <c r="I6057" s="0">
        <v>44.99</v>
      </c>
      <c r="J6057" s="0">
        <v>54</v>
      </c>
    </row>
    <row r="6058" spans="1:10" customHeight="0">
      <c r="A6058" s="0">
        <f>HYPERLINK("https://dl.dropboxusercontent.com/scl/fi/sjha0bdukmzb9hslt93mj/mia.jpg?rlkey=m78eckxw4ny0zt9wuni9yh6s1&amp;dl=0","Click to download Image")</f>
      </c>
      <c r="B6058" s="0">
        <f>HYPERLINK("https://dl.dropboxusercontent.com/scl/fi/63o37qtt0j09u9qsd1qkz/size-chartladies-h.jpg?rlkey=75226rzf13mwnxzb61wtuhvig&amp;dl=0","Click to download SizeChart")</f>
      </c>
      <c r="C6058" s="0" t="inlineStr">
        <is>
          <t>Mia Women's Polo</t>
        </is>
      </c>
      <c r="D6058" s="0" t="inlineStr">
        <is>
          <t>'96837</t>
        </is>
      </c>
      <c r="E6058" s="0" t="inlineStr">
        <is>
          <t>MIA:96837B-M</t>
        </is>
      </c>
      <c r="F6058" s="0" t="inlineStr">
        <is>
          <t>'000000000000</t>
        </is>
      </c>
      <c r="G6058" s="0" t="inlineStr">
        <is>
          <t>WOMENS</t>
        </is>
      </c>
      <c r="H6058" s="0" t="inlineStr">
        <is>
          <t>M</t>
        </is>
      </c>
      <c r="I6058" s="0">
        <v>44.99</v>
      </c>
      <c r="J6058" s="0">
        <v>66</v>
      </c>
    </row>
    <row r="6059" spans="1:10" customHeight="0">
      <c r="A6059" s="0">
        <f>HYPERLINK("https://dl.dropboxusercontent.com/scl/fi/sjha0bdukmzb9hslt93mj/mia.jpg?rlkey=m78eckxw4ny0zt9wuni9yh6s1&amp;dl=0","Click to download Image")</f>
      </c>
      <c r="B6059" s="0">
        <f>HYPERLINK("https://dl.dropboxusercontent.com/scl/fi/63o37qtt0j09u9qsd1qkz/size-chartladies-h.jpg?rlkey=75226rzf13mwnxzb61wtuhvig&amp;dl=0","Click to download SizeChart")</f>
      </c>
      <c r="C6059" s="0" t="inlineStr">
        <is>
          <t>Mia Women's Polo</t>
        </is>
      </c>
      <c r="D6059" s="0" t="inlineStr">
        <is>
          <t>'96837</t>
        </is>
      </c>
      <c r="E6059" s="0" t="inlineStr">
        <is>
          <t>MIA:96837C-L</t>
        </is>
      </c>
      <c r="F6059" s="0" t="inlineStr">
        <is>
          <t>'000000000000</t>
        </is>
      </c>
      <c r="G6059" s="0" t="inlineStr">
        <is>
          <t>WOMENS</t>
        </is>
      </c>
      <c r="H6059" s="0" t="inlineStr">
        <is>
          <t>L</t>
        </is>
      </c>
      <c r="I6059" s="0">
        <v>44.99</v>
      </c>
      <c r="J6059" s="0">
        <v>132</v>
      </c>
    </row>
    <row r="6060" spans="1:10" customHeight="0">
      <c r="A6060" s="0">
        <f>HYPERLINK("https://dl.dropboxusercontent.com/scl/fi/sjha0bdukmzb9hslt93mj/mia.jpg?rlkey=m78eckxw4ny0zt9wuni9yh6s1&amp;dl=0","Click to download Image")</f>
      </c>
      <c r="B6060" s="0">
        <f>HYPERLINK("https://dl.dropboxusercontent.com/scl/fi/63o37qtt0j09u9qsd1qkz/size-chartladies-h.jpg?rlkey=75226rzf13mwnxzb61wtuhvig&amp;dl=0","Click to download SizeChart")</f>
      </c>
      <c r="C6060" s="0" t="inlineStr">
        <is>
          <t>Mia Women's Polo</t>
        </is>
      </c>
      <c r="D6060" s="0" t="inlineStr">
        <is>
          <t>'96837</t>
        </is>
      </c>
      <c r="E6060" s="0" t="inlineStr">
        <is>
          <t>MIA:96837D-XL</t>
        </is>
      </c>
      <c r="F6060" s="0" t="inlineStr">
        <is>
          <t>'000000000000</t>
        </is>
      </c>
      <c r="G6060" s="0" t="inlineStr">
        <is>
          <t>WOMENS</t>
        </is>
      </c>
      <c r="H6060" s="0" t="inlineStr">
        <is>
          <t>XL</t>
        </is>
      </c>
      <c r="I6060" s="0">
        <v>44.99</v>
      </c>
      <c r="J6060" s="0">
        <v>139</v>
      </c>
    </row>
    <row r="6061" spans="1:10" customHeight="0">
      <c r="A6061" s="0">
        <f>HYPERLINK("https://dl.dropboxusercontent.com/scl/fi/sjha0bdukmzb9hslt93mj/mia.jpg?rlkey=m78eckxw4ny0zt9wuni9yh6s1&amp;dl=0","Click to download Image")</f>
      </c>
      <c r="B6061" s="0">
        <f>HYPERLINK("https://dl.dropboxusercontent.com/scl/fi/63o37qtt0j09u9qsd1qkz/size-chartladies-h.jpg?rlkey=75226rzf13mwnxzb61wtuhvig&amp;dl=0","Click to download SizeChart")</f>
      </c>
      <c r="C6061" s="0" t="inlineStr">
        <is>
          <t>Mia Women's Polo</t>
        </is>
      </c>
      <c r="D6061" s="0" t="inlineStr">
        <is>
          <t>'96837</t>
        </is>
      </c>
      <c r="E6061" s="0" t="inlineStr">
        <is>
          <t>MIA:96837E-2XL</t>
        </is>
      </c>
      <c r="F6061" s="0" t="inlineStr">
        <is>
          <t>'000000000000</t>
        </is>
      </c>
      <c r="G6061" s="0" t="inlineStr">
        <is>
          <t>WOMENS</t>
        </is>
      </c>
      <c r="H6061" s="0" t="inlineStr">
        <is>
          <t>2XL</t>
        </is>
      </c>
      <c r="I6061" s="0">
        <v>46.99</v>
      </c>
      <c r="J6061" s="0">
        <v>48</v>
      </c>
    </row>
    <row r="6062" spans="1:10" customHeight="0">
      <c r="A6062" s="0">
        <f>HYPERLINK("https://dl.dropboxusercontent.com/scl/fi/2r03vy1gvff2is0d3jv21/98227af.jpg?rlkey=xi4hqwvcxajzqo5uacpfd36pp&amp;dl=0","Click to download Image")</f>
      </c>
      <c r="C6062" s="0" t="inlineStr">
        <is>
          <t>Keeley Women's Cap</t>
        </is>
      </c>
      <c r="D6062" s="0" t="inlineStr">
        <is>
          <t>'98227</t>
        </is>
      </c>
      <c r="E6062" s="0" t="inlineStr">
        <is>
          <t>KEELEY:98227</t>
        </is>
      </c>
      <c r="F6062" s="0" t="inlineStr">
        <is>
          <t>'000000000000</t>
        </is>
      </c>
      <c r="G6062" s="0" t="inlineStr">
        <is>
          <t>WOMENS</t>
        </is>
      </c>
      <c r="H6062" s="0" t="inlineStr">
        <is>
          <t>WOMENS</t>
        </is>
      </c>
      <c r="I6062" s="0">
        <v>21.99</v>
      </c>
      <c r="J6062" s="0">
        <v>130</v>
      </c>
    </row>
    <row r="6063" spans="1:10" customHeight="0">
      <c r="A6063" s="0">
        <f>HYPERLINK("https://dl.dropboxusercontent.com/scl/fi/x40dmmnjawgu1cqpzhv70/98806af.jpg?rlkey=jlek5hobceuhmb04td6p0qqz2&amp;dl=0","Click to download Image")</f>
      </c>
      <c r="C6063" s="0" t="inlineStr">
        <is>
          <t>Keeley Women's Cap</t>
        </is>
      </c>
      <c r="D6063" s="0" t="inlineStr">
        <is>
          <t>'98806</t>
        </is>
      </c>
      <c r="E6063" s="0" t="inlineStr">
        <is>
          <t>KEELEY:98806</t>
        </is>
      </c>
      <c r="F6063" s="0" t="inlineStr">
        <is>
          <t>'000000000000</t>
        </is>
      </c>
      <c r="G6063" s="0" t="inlineStr">
        <is>
          <t>WOMENS</t>
        </is>
      </c>
      <c r="H6063" s="0" t="inlineStr">
        <is>
          <t>WOMENS</t>
        </is>
      </c>
      <c r="I6063" s="0">
        <v>21.99</v>
      </c>
      <c r="J6063" s="0">
        <v>201</v>
      </c>
    </row>
    <row r="6064" spans="1:10" customHeight="0">
      <c r="A6064" s="0">
        <f>HYPERLINK("https://dl.dropboxusercontent.com/scl/fi/c5eqfggrrmiv397ujztlf/maddison-03.jpg?rlkey=pw1hfa8q6ljl90avtt1a9c3l8&amp;dl=0","Click to download Image")</f>
      </c>
      <c r="B6064" s="0">
        <f>HYPERLINK("https://dl.dropboxusercontent.com/scl/fi/ho8o4ghxf30u4qb3kmqrt/size-chartyouth-c.jpg?rlkey=9c9r96trmkb0sn4vu2w29kmht&amp;dl=0","Click to download SizeChart")</f>
      </c>
      <c r="C6064" s="0" t="inlineStr">
        <is>
          <t>Maddison Youth Long Sleeve Shirt</t>
        </is>
      </c>
      <c r="D6064" s="0" t="inlineStr">
        <is>
          <t>'94879</t>
        </is>
      </c>
      <c r="E6064" s="0" t="inlineStr">
        <is>
          <t>MADDISON YOUTH:94879A-S</t>
        </is>
      </c>
      <c r="F6064" s="0" t="inlineStr">
        <is>
          <t>'000000000000</t>
        </is>
      </c>
      <c r="G6064" s="0" t="inlineStr">
        <is>
          <t>YOUTH</t>
        </is>
      </c>
      <c r="H6064" s="0" t="inlineStr">
        <is>
          <t>YS</t>
        </is>
      </c>
      <c r="I6064" s="0">
        <v>39.99</v>
      </c>
      <c r="J6064" s="0">
        <v>45</v>
      </c>
    </row>
    <row r="6065" spans="1:10" customHeight="0">
      <c r="A6065" s="0">
        <f>HYPERLINK("https://dl.dropboxusercontent.com/scl/fi/c5eqfggrrmiv397ujztlf/maddison-03.jpg?rlkey=pw1hfa8q6ljl90avtt1a9c3l8&amp;dl=0","Click to download Image")</f>
      </c>
      <c r="B6065" s="0">
        <f>HYPERLINK("https://dl.dropboxusercontent.com/scl/fi/ho8o4ghxf30u4qb3kmqrt/size-chartyouth-c.jpg?rlkey=9c9r96trmkb0sn4vu2w29kmht&amp;dl=0","Click to download SizeChart")</f>
      </c>
      <c r="C6065" s="0" t="inlineStr">
        <is>
          <t>Maddison Youth Long Sleeve Shirt</t>
        </is>
      </c>
      <c r="D6065" s="0" t="inlineStr">
        <is>
          <t>'94879</t>
        </is>
      </c>
      <c r="E6065" s="0" t="inlineStr">
        <is>
          <t>MADDISON YOUTH:94879B-M</t>
        </is>
      </c>
      <c r="F6065" s="0" t="inlineStr">
        <is>
          <t>'000000000000</t>
        </is>
      </c>
      <c r="G6065" s="0" t="inlineStr">
        <is>
          <t>YOUTH</t>
        </is>
      </c>
      <c r="H6065" s="0" t="inlineStr">
        <is>
          <t>YM</t>
        </is>
      </c>
      <c r="I6065" s="0">
        <v>39.99</v>
      </c>
      <c r="J6065" s="0">
        <v>42</v>
      </c>
    </row>
    <row r="6066" spans="1:10" customHeight="0">
      <c r="A6066" s="0">
        <f>HYPERLINK("https://dl.dropboxusercontent.com/scl/fi/c5eqfggrrmiv397ujztlf/maddison-03.jpg?rlkey=pw1hfa8q6ljl90avtt1a9c3l8&amp;dl=0","Click to download Image")</f>
      </c>
      <c r="B6066" s="0">
        <f>HYPERLINK("https://dl.dropboxusercontent.com/scl/fi/ho8o4ghxf30u4qb3kmqrt/size-chartyouth-c.jpg?rlkey=9c9r96trmkb0sn4vu2w29kmht&amp;dl=0","Click to download SizeChart")</f>
      </c>
      <c r="C6066" s="0" t="inlineStr">
        <is>
          <t>Maddison Youth Long Sleeve Shirt</t>
        </is>
      </c>
      <c r="D6066" s="0" t="inlineStr">
        <is>
          <t>'94879</t>
        </is>
      </c>
      <c r="E6066" s="0" t="inlineStr">
        <is>
          <t>MADDISON YOUTH:94879C-L</t>
        </is>
      </c>
      <c r="F6066" s="0" t="inlineStr">
        <is>
          <t>'000000000000</t>
        </is>
      </c>
      <c r="G6066" s="0" t="inlineStr">
        <is>
          <t>YOUTH</t>
        </is>
      </c>
      <c r="H6066" s="0" t="inlineStr">
        <is>
          <t>YL</t>
        </is>
      </c>
      <c r="I6066" s="0">
        <v>39.99</v>
      </c>
      <c r="J6066" s="0">
        <v>43</v>
      </c>
    </row>
    <row r="6067" spans="1:10" customHeight="0">
      <c r="A6067" s="0">
        <f>HYPERLINK("https://dl.dropboxusercontent.com/scl/fi/c5eqfggrrmiv397ujztlf/maddison-03.jpg?rlkey=pw1hfa8q6ljl90avtt1a9c3l8&amp;dl=0","Click to download Image")</f>
      </c>
      <c r="B6067" s="0">
        <f>HYPERLINK("https://dl.dropboxusercontent.com/scl/fi/ho8o4ghxf30u4qb3kmqrt/size-chartyouth-c.jpg?rlkey=9c9r96trmkb0sn4vu2w29kmht&amp;dl=0","Click to download SizeChart")</f>
      </c>
      <c r="C6067" s="0" t="inlineStr">
        <is>
          <t>Maddison Youth Long Sleeve Shirt</t>
        </is>
      </c>
      <c r="D6067" s="0" t="inlineStr">
        <is>
          <t>'94879</t>
        </is>
      </c>
      <c r="E6067" s="0" t="inlineStr">
        <is>
          <t>MADDISON YOUTH:94879D-XL</t>
        </is>
      </c>
      <c r="F6067" s="0" t="inlineStr">
        <is>
          <t>'000000000000</t>
        </is>
      </c>
      <c r="G6067" s="0" t="inlineStr">
        <is>
          <t>YOUTH</t>
        </is>
      </c>
      <c r="H6067" s="0" t="inlineStr">
        <is>
          <t>YXL</t>
        </is>
      </c>
      <c r="I6067" s="0">
        <v>39.99</v>
      </c>
      <c r="J6067" s="0">
        <v>45</v>
      </c>
    </row>
    <row r="6068" spans="1:10" customHeight="0">
      <c r="A6068" s="0">
        <f>HYPERLINK("https://dl.dropboxusercontent.com/scl/fi/13d9lbn3ki9ryuto5fcoy/maddison-02.jpg?rlkey=q3vttn7mb49g7yxock7yiru0j&amp;dl=0","Click to download Image")</f>
      </c>
      <c r="B6068" s="0">
        <f>HYPERLINK("https://dl.dropboxusercontent.com/scl/fi/ho8o4ghxf30u4qb3kmqrt/size-chartyouth-c.jpg?rlkey=9c9r96trmkb0sn4vu2w29kmht&amp;dl=0","Click to download SizeChart")</f>
      </c>
      <c r="C6068" s="0" t="inlineStr">
        <is>
          <t>Maddison Youth Long Sleeve Shirt</t>
        </is>
      </c>
      <c r="D6068" s="0" t="inlineStr">
        <is>
          <t>'95581</t>
        </is>
      </c>
      <c r="E6068" s="0" t="inlineStr">
        <is>
          <t>MADDISON YOUTH:95581A-S</t>
        </is>
      </c>
      <c r="F6068" s="0" t="inlineStr">
        <is>
          <t>'000000000000</t>
        </is>
      </c>
      <c r="G6068" s="0" t="inlineStr">
        <is>
          <t>YOUTH</t>
        </is>
      </c>
      <c r="H6068" s="0" t="inlineStr">
        <is>
          <t>YS</t>
        </is>
      </c>
      <c r="I6068" s="0">
        <v>39.99</v>
      </c>
      <c r="J6068" s="0">
        <v>51</v>
      </c>
    </row>
    <row r="6069" spans="1:10" customHeight="0">
      <c r="A6069" s="0">
        <f>HYPERLINK("https://dl.dropboxusercontent.com/scl/fi/13d9lbn3ki9ryuto5fcoy/maddison-02.jpg?rlkey=q3vttn7mb49g7yxock7yiru0j&amp;dl=0","Click to download Image")</f>
      </c>
      <c r="B6069" s="0">
        <f>HYPERLINK("https://dl.dropboxusercontent.com/scl/fi/ho8o4ghxf30u4qb3kmqrt/size-chartyouth-c.jpg?rlkey=9c9r96trmkb0sn4vu2w29kmht&amp;dl=0","Click to download SizeChart")</f>
      </c>
      <c r="C6069" s="0" t="inlineStr">
        <is>
          <t>Maddison Youth Long Sleeve Shirt</t>
        </is>
      </c>
      <c r="D6069" s="0" t="inlineStr">
        <is>
          <t>'95581</t>
        </is>
      </c>
      <c r="E6069" s="0" t="inlineStr">
        <is>
          <t>MADDISON YOUTH:95581B-M</t>
        </is>
      </c>
      <c r="F6069" s="0" t="inlineStr">
        <is>
          <t>'000000000000</t>
        </is>
      </c>
      <c r="G6069" s="0" t="inlineStr">
        <is>
          <t>YOUTH</t>
        </is>
      </c>
      <c r="H6069" s="0" t="inlineStr">
        <is>
          <t>YM</t>
        </is>
      </c>
      <c r="I6069" s="0">
        <v>39.99</v>
      </c>
      <c r="J6069" s="0">
        <v>53</v>
      </c>
    </row>
    <row r="6070" spans="1:10" customHeight="0">
      <c r="A6070" s="0">
        <f>HYPERLINK("https://dl.dropboxusercontent.com/scl/fi/13d9lbn3ki9ryuto5fcoy/maddison-02.jpg?rlkey=q3vttn7mb49g7yxock7yiru0j&amp;dl=0","Click to download Image")</f>
      </c>
      <c r="B6070" s="0">
        <f>HYPERLINK("https://dl.dropboxusercontent.com/scl/fi/ho8o4ghxf30u4qb3kmqrt/size-chartyouth-c.jpg?rlkey=9c9r96trmkb0sn4vu2w29kmht&amp;dl=0","Click to download SizeChart")</f>
      </c>
      <c r="C6070" s="0" t="inlineStr">
        <is>
          <t>Maddison Youth Long Sleeve Shirt</t>
        </is>
      </c>
      <c r="D6070" s="0" t="inlineStr">
        <is>
          <t>'95581</t>
        </is>
      </c>
      <c r="E6070" s="0" t="inlineStr">
        <is>
          <t>MADDISON YOUTH:95581C-L</t>
        </is>
      </c>
      <c r="F6070" s="0" t="inlineStr">
        <is>
          <t>'000000000000</t>
        </is>
      </c>
      <c r="G6070" s="0" t="inlineStr">
        <is>
          <t>YOUTH</t>
        </is>
      </c>
      <c r="H6070" s="0" t="inlineStr">
        <is>
          <t>YL</t>
        </is>
      </c>
      <c r="I6070" s="0">
        <v>39.99</v>
      </c>
      <c r="J6070" s="0">
        <v>47</v>
      </c>
    </row>
    <row r="6071" spans="1:10" customHeight="0">
      <c r="A6071" s="0">
        <f>HYPERLINK("https://dl.dropboxusercontent.com/scl/fi/13d9lbn3ki9ryuto5fcoy/maddison-02.jpg?rlkey=q3vttn7mb49g7yxock7yiru0j&amp;dl=0","Click to download Image")</f>
      </c>
      <c r="B6071" s="0">
        <f>HYPERLINK("https://dl.dropboxusercontent.com/scl/fi/ho8o4ghxf30u4qb3kmqrt/size-chartyouth-c.jpg?rlkey=9c9r96trmkb0sn4vu2w29kmht&amp;dl=0","Click to download SizeChart")</f>
      </c>
      <c r="C6071" s="0" t="inlineStr">
        <is>
          <t>Maddison Youth Long Sleeve Shirt</t>
        </is>
      </c>
      <c r="D6071" s="0" t="inlineStr">
        <is>
          <t>'95581</t>
        </is>
      </c>
      <c r="E6071" s="0" t="inlineStr">
        <is>
          <t>MADDISON YOUTH:95581D-XL</t>
        </is>
      </c>
      <c r="F6071" s="0" t="inlineStr">
        <is>
          <t>'000000000000</t>
        </is>
      </c>
      <c r="G6071" s="0" t="inlineStr">
        <is>
          <t>YOUTH</t>
        </is>
      </c>
      <c r="H6071" s="0" t="inlineStr">
        <is>
          <t>YXL</t>
        </is>
      </c>
      <c r="I6071" s="0">
        <v>39.99</v>
      </c>
      <c r="J6071" s="0">
        <v>43</v>
      </c>
    </row>
    <row r="6072" spans="1:10" customHeight="0">
      <c r="A6072" s="0">
        <f>HYPERLINK("https://dl.dropboxusercontent.com/scl/fi/xqx04vy54ata87xlw8z8w/maddison-02.jpg?rlkey=hwob1m5z95rks42vouj5er28e&amp;dl=0","Click to download Image")</f>
      </c>
      <c r="B6072" s="0">
        <f>HYPERLINK("https://dl.dropboxusercontent.com/scl/fi/2v14yyerdlwgecg833wve/size-charttoddler-a.jpg?rlkey=0p0vzkafm17lyg1jd007teml8&amp;dl=0","Click to download SizeChart")</f>
      </c>
      <c r="C6072" s="0" t="inlineStr">
        <is>
          <t>Maddison Toddler Long Sleeve Shirt</t>
        </is>
      </c>
      <c r="D6072" s="0" t="inlineStr">
        <is>
          <t>'95744</t>
        </is>
      </c>
      <c r="E6072" s="0" t="inlineStr">
        <is>
          <t>MADDISON TODDLER:95744A-2T</t>
        </is>
      </c>
      <c r="F6072" s="0" t="inlineStr">
        <is>
          <t>'000000000000</t>
        </is>
      </c>
      <c r="G6072" s="0" t="inlineStr">
        <is>
          <t>TODDLER</t>
        </is>
      </c>
      <c r="H6072" s="0" t="inlineStr">
        <is>
          <t>2T</t>
        </is>
      </c>
      <c r="I6072" s="0">
        <v>39.99</v>
      </c>
      <c r="J6072" s="0">
        <v>24</v>
      </c>
    </row>
    <row r="6073" spans="1:10" customHeight="0">
      <c r="A6073" s="0">
        <f>HYPERLINK("https://dl.dropboxusercontent.com/scl/fi/xqx04vy54ata87xlw8z8w/maddison-02.jpg?rlkey=hwob1m5z95rks42vouj5er28e&amp;dl=0","Click to download Image")</f>
      </c>
      <c r="B6073" s="0">
        <f>HYPERLINK("https://dl.dropboxusercontent.com/scl/fi/2v14yyerdlwgecg833wve/size-charttoddler-a.jpg?rlkey=0p0vzkafm17lyg1jd007teml8&amp;dl=0","Click to download SizeChart")</f>
      </c>
      <c r="C6073" s="0" t="inlineStr">
        <is>
          <t>Maddison Toddler Long Sleeve Shirt</t>
        </is>
      </c>
      <c r="D6073" s="0" t="inlineStr">
        <is>
          <t>'95744</t>
        </is>
      </c>
      <c r="E6073" s="0" t="inlineStr">
        <is>
          <t>MADDISON TODDLER:95744B-3T</t>
        </is>
      </c>
      <c r="F6073" s="0" t="inlineStr">
        <is>
          <t>'000000000000</t>
        </is>
      </c>
      <c r="G6073" s="0" t="inlineStr">
        <is>
          <t>TODDLER</t>
        </is>
      </c>
      <c r="H6073" s="0" t="inlineStr">
        <is>
          <t>3T</t>
        </is>
      </c>
      <c r="I6073" s="0">
        <v>39.99</v>
      </c>
      <c r="J6073" s="0">
        <v>24</v>
      </c>
    </row>
    <row r="6074" spans="1:10" customHeight="0">
      <c r="A6074" s="0">
        <f>HYPERLINK("https://dl.dropboxusercontent.com/scl/fi/xqx04vy54ata87xlw8z8w/maddison-02.jpg?rlkey=hwob1m5z95rks42vouj5er28e&amp;dl=0","Click to download Image")</f>
      </c>
      <c r="B6074" s="0">
        <f>HYPERLINK("https://dl.dropboxusercontent.com/scl/fi/2v14yyerdlwgecg833wve/size-charttoddler-a.jpg?rlkey=0p0vzkafm17lyg1jd007teml8&amp;dl=0","Click to download SizeChart")</f>
      </c>
      <c r="C6074" s="0" t="inlineStr">
        <is>
          <t>Maddison Toddler Long Sleeve Shirt</t>
        </is>
      </c>
      <c r="D6074" s="0" t="inlineStr">
        <is>
          <t>'95744</t>
        </is>
      </c>
      <c r="E6074" s="0" t="inlineStr">
        <is>
          <t>MADDISON TODDLER:95744C-4T</t>
        </is>
      </c>
      <c r="F6074" s="0" t="inlineStr">
        <is>
          <t>'000000000000</t>
        </is>
      </c>
      <c r="G6074" s="0" t="inlineStr">
        <is>
          <t>TODDLER</t>
        </is>
      </c>
      <c r="H6074" s="0" t="inlineStr">
        <is>
          <t>4T</t>
        </is>
      </c>
      <c r="I6074" s="0">
        <v>39.99</v>
      </c>
      <c r="J6074" s="0">
        <v>22</v>
      </c>
    </row>
    <row r="6075" spans="1:10" customHeight="0">
      <c r="A6075" s="0">
        <f>HYPERLINK("https://dl.dropboxusercontent.com/scl/fi/xqx04vy54ata87xlw8z8w/maddison-02.jpg?rlkey=hwob1m5z95rks42vouj5er28e&amp;dl=0","Click to download Image")</f>
      </c>
      <c r="B6075" s="0">
        <f>HYPERLINK("https://dl.dropboxusercontent.com/scl/fi/2v14yyerdlwgecg833wve/size-charttoddler-a.jpg?rlkey=0p0vzkafm17lyg1jd007teml8&amp;dl=0","Click to download SizeChart")</f>
      </c>
      <c r="C6075" s="0" t="inlineStr">
        <is>
          <t>Maddison Toddler Long Sleeve Shirt</t>
        </is>
      </c>
      <c r="D6075" s="0" t="inlineStr">
        <is>
          <t>'95744</t>
        </is>
      </c>
      <c r="E6075" s="0" t="inlineStr">
        <is>
          <t>MADDISON TODDLER:95744D-5T</t>
        </is>
      </c>
      <c r="F6075" s="0" t="inlineStr">
        <is>
          <t>'000000000000</t>
        </is>
      </c>
      <c r="G6075" s="0" t="inlineStr">
        <is>
          <t>TODDLER</t>
        </is>
      </c>
      <c r="H6075" s="0" t="inlineStr">
        <is>
          <t>5T</t>
        </is>
      </c>
      <c r="I6075" s="0">
        <v>39.99</v>
      </c>
      <c r="J6075" s="0">
        <v>39</v>
      </c>
    </row>
    <row r="6076" spans="1:10" customHeight="0">
      <c r="A6076" s="0">
        <f>HYPERLINK("https://dl.dropboxusercontent.com/scl/fi/jdog8jth4dsxcnzm9grwy/maddison-03.jpg?rlkey=rdo3y5lb10v0tjgadf6iqxqr1&amp;dl=0","Click to download Image")</f>
      </c>
      <c r="B6076" s="0">
        <f>HYPERLINK("https://dl.dropboxusercontent.com/scl/fi/2v14yyerdlwgecg833wve/size-charttoddler-a.jpg?rlkey=0p0vzkafm17lyg1jd007teml8&amp;dl=0","Click to download SizeChart")</f>
      </c>
      <c r="C6076" s="0" t="inlineStr">
        <is>
          <t>Maddison Toddler Long Sleeve Shirt</t>
        </is>
      </c>
      <c r="D6076" s="0" t="inlineStr">
        <is>
          <t>'95354</t>
        </is>
      </c>
      <c r="E6076" s="0" t="inlineStr">
        <is>
          <t>MADDISON TODDLER:95354A-2T</t>
        </is>
      </c>
      <c r="F6076" s="0" t="inlineStr">
        <is>
          <t>'000000000000</t>
        </is>
      </c>
      <c r="G6076" s="0" t="inlineStr">
        <is>
          <t>TODDLER</t>
        </is>
      </c>
      <c r="H6076" s="0" t="inlineStr">
        <is>
          <t>2T</t>
        </is>
      </c>
      <c r="I6076" s="0">
        <v>39.99</v>
      </c>
      <c r="J6076" s="0">
        <v>30</v>
      </c>
    </row>
    <row r="6077" spans="1:10" customHeight="0">
      <c r="A6077" s="0">
        <f>HYPERLINK("https://dl.dropboxusercontent.com/scl/fi/jdog8jth4dsxcnzm9grwy/maddison-03.jpg?rlkey=rdo3y5lb10v0tjgadf6iqxqr1&amp;dl=0","Click to download Image")</f>
      </c>
      <c r="B6077" s="0">
        <f>HYPERLINK("https://dl.dropboxusercontent.com/scl/fi/2v14yyerdlwgecg833wve/size-charttoddler-a.jpg?rlkey=0p0vzkafm17lyg1jd007teml8&amp;dl=0","Click to download SizeChart")</f>
      </c>
      <c r="C6077" s="0" t="inlineStr">
        <is>
          <t>Maddison Toddler Long Sleeve Shirt</t>
        </is>
      </c>
      <c r="D6077" s="0" t="inlineStr">
        <is>
          <t>'95354</t>
        </is>
      </c>
      <c r="E6077" s="0" t="inlineStr">
        <is>
          <t>MADDISON TODDLER:95354B-3T</t>
        </is>
      </c>
      <c r="F6077" s="0" t="inlineStr">
        <is>
          <t>'000000000000</t>
        </is>
      </c>
      <c r="G6077" s="0" t="inlineStr">
        <is>
          <t>TODDLER</t>
        </is>
      </c>
      <c r="H6077" s="0" t="inlineStr">
        <is>
          <t>3T</t>
        </is>
      </c>
      <c r="I6077" s="0">
        <v>39.99</v>
      </c>
      <c r="J6077" s="0">
        <v>29</v>
      </c>
    </row>
    <row r="6078" spans="1:10" customHeight="0">
      <c r="A6078" s="0">
        <f>HYPERLINK("https://dl.dropboxusercontent.com/scl/fi/jdog8jth4dsxcnzm9grwy/maddison-03.jpg?rlkey=rdo3y5lb10v0tjgadf6iqxqr1&amp;dl=0","Click to download Image")</f>
      </c>
      <c r="B6078" s="0">
        <f>HYPERLINK("https://dl.dropboxusercontent.com/scl/fi/2v14yyerdlwgecg833wve/size-charttoddler-a.jpg?rlkey=0p0vzkafm17lyg1jd007teml8&amp;dl=0","Click to download SizeChart")</f>
      </c>
      <c r="C6078" s="0" t="inlineStr">
        <is>
          <t>Maddison Toddler Long Sleeve Shirt</t>
        </is>
      </c>
      <c r="D6078" s="0" t="inlineStr">
        <is>
          <t>'95354</t>
        </is>
      </c>
      <c r="E6078" s="0" t="inlineStr">
        <is>
          <t>MADDISON TODDLER:95354C-4T</t>
        </is>
      </c>
      <c r="F6078" s="0" t="inlineStr">
        <is>
          <t>'000000000000</t>
        </is>
      </c>
      <c r="G6078" s="0" t="inlineStr">
        <is>
          <t>TODDLER</t>
        </is>
      </c>
      <c r="H6078" s="0" t="inlineStr">
        <is>
          <t>4T</t>
        </is>
      </c>
      <c r="I6078" s="0">
        <v>39.99</v>
      </c>
      <c r="J6078" s="0">
        <v>28</v>
      </c>
    </row>
    <row r="6079" spans="1:10" customHeight="0">
      <c r="A6079" s="0">
        <f>HYPERLINK("https://dl.dropboxusercontent.com/scl/fi/jdog8jth4dsxcnzm9grwy/maddison-03.jpg?rlkey=rdo3y5lb10v0tjgadf6iqxqr1&amp;dl=0","Click to download Image")</f>
      </c>
      <c r="B6079" s="0">
        <f>HYPERLINK("https://dl.dropboxusercontent.com/scl/fi/2v14yyerdlwgecg833wve/size-charttoddler-a.jpg?rlkey=0p0vzkafm17lyg1jd007teml8&amp;dl=0","Click to download SizeChart")</f>
      </c>
      <c r="C6079" s="0" t="inlineStr">
        <is>
          <t>Maddison Toddler Long Sleeve Shirt</t>
        </is>
      </c>
      <c r="D6079" s="0" t="inlineStr">
        <is>
          <t>'95354</t>
        </is>
      </c>
      <c r="E6079" s="0" t="inlineStr">
        <is>
          <t>MADDISON TODDLER:95354D-5T</t>
        </is>
      </c>
      <c r="F6079" s="0" t="inlineStr">
        <is>
          <t>'000000000000</t>
        </is>
      </c>
      <c r="G6079" s="0" t="inlineStr">
        <is>
          <t>TODDLER</t>
        </is>
      </c>
      <c r="H6079" s="0" t="inlineStr">
        <is>
          <t>5T</t>
        </is>
      </c>
      <c r="I6079" s="0">
        <v>39.99</v>
      </c>
      <c r="J6079" s="0">
        <v>33</v>
      </c>
    </row>
    <row r="6080" spans="1:10" customHeight="0">
      <c r="A6080" s="0">
        <f>HYPERLINK("https://dl.dropboxusercontent.com/scl/fi/8ywgi3r525nqqdaqf4q2e/98424af-w.jpg?rlkey=3gkpni257o7gc1b7b3huk9840&amp;dl=0","Click to download Image")</f>
      </c>
      <c r="C6080" s="0" t="inlineStr">
        <is>
          <t>Katrina Reversible Beanie</t>
        </is>
      </c>
      <c r="D6080" s="0" t="inlineStr">
        <is>
          <t>'98424</t>
        </is>
      </c>
      <c r="E6080" s="0" t="inlineStr">
        <is>
          <t>KATRINA:98424</t>
        </is>
      </c>
      <c r="F6080" s="0" t="inlineStr">
        <is>
          <t>'000000000000</t>
        </is>
      </c>
      <c r="G6080" s="0" t="inlineStr">
        <is>
          <t>WOMENS</t>
        </is>
      </c>
      <c r="H6080" s="0" t="inlineStr">
        <is>
          <t>WOMENS</t>
        </is>
      </c>
      <c r="I6080" s="0">
        <v>19.99</v>
      </c>
      <c r="J6080" s="0">
        <v>95</v>
      </c>
    </row>
    <row r="6081" spans="1:10" customHeight="0">
      <c r="A6081" s="0">
        <f>HYPERLINK("https://dl.dropboxusercontent.com/scl/fi/pehdf8nrr1nywtg22j135/max.jpg?rlkey=01b8smyrauxnmjjh7173j04nj&amp;dl=0","Click to download Image")</f>
      </c>
      <c r="B6081" s="0">
        <f>HYPERLINK("https://dl.dropboxusercontent.com/scl/fi/l30l453890tdtu4ltxhmw/size-chartyouth-b.jpg?rlkey=7z5l07qpe6ft9llqkvzw9w823&amp;dl=0","Click to download SizeChart")</f>
      </c>
      <c r="C6081" s="0" t="inlineStr">
        <is>
          <t>Max Youth Jacket</t>
        </is>
      </c>
      <c r="D6081" s="0" t="inlineStr">
        <is>
          <t>'98624</t>
        </is>
      </c>
      <c r="E6081" s="0" t="inlineStr">
        <is>
          <t>MAX:98624A-YS</t>
        </is>
      </c>
      <c r="F6081" s="0" t="inlineStr">
        <is>
          <t>'000000000000</t>
        </is>
      </c>
      <c r="G6081" s="0" t="inlineStr">
        <is>
          <t>YOUTH</t>
        </is>
      </c>
      <c r="H6081" s="0" t="inlineStr">
        <is>
          <t>YS</t>
        </is>
      </c>
      <c r="I6081" s="0">
        <v>42.99</v>
      </c>
      <c r="J6081" s="0">
        <v>93</v>
      </c>
    </row>
    <row r="6082" spans="1:10" customHeight="0">
      <c r="A6082" s="0">
        <f>HYPERLINK("https://dl.dropboxusercontent.com/scl/fi/pehdf8nrr1nywtg22j135/max.jpg?rlkey=01b8smyrauxnmjjh7173j04nj&amp;dl=0","Click to download Image")</f>
      </c>
      <c r="B6082" s="0">
        <f>HYPERLINK("https://dl.dropboxusercontent.com/scl/fi/l30l453890tdtu4ltxhmw/size-chartyouth-b.jpg?rlkey=7z5l07qpe6ft9llqkvzw9w823&amp;dl=0","Click to download SizeChart")</f>
      </c>
      <c r="C6082" s="0" t="inlineStr">
        <is>
          <t>Max Youth Jacket</t>
        </is>
      </c>
      <c r="D6082" s="0" t="inlineStr">
        <is>
          <t>'98624</t>
        </is>
      </c>
      <c r="E6082" s="0" t="inlineStr">
        <is>
          <t>MAX:98624B-YM</t>
        </is>
      </c>
      <c r="F6082" s="0" t="inlineStr">
        <is>
          <t>'000000000000</t>
        </is>
      </c>
      <c r="G6082" s="0" t="inlineStr">
        <is>
          <t>YOUTH</t>
        </is>
      </c>
      <c r="H6082" s="0" t="inlineStr">
        <is>
          <t>YM</t>
        </is>
      </c>
      <c r="I6082" s="0">
        <v>42.99</v>
      </c>
      <c r="J6082" s="0">
        <v>94</v>
      </c>
    </row>
    <row r="6083" spans="1:10" customHeight="0">
      <c r="A6083" s="0">
        <f>HYPERLINK("https://dl.dropboxusercontent.com/scl/fi/pehdf8nrr1nywtg22j135/max.jpg?rlkey=01b8smyrauxnmjjh7173j04nj&amp;dl=0","Click to download Image")</f>
      </c>
      <c r="B6083" s="0">
        <f>HYPERLINK("https://dl.dropboxusercontent.com/scl/fi/l30l453890tdtu4ltxhmw/size-chartyouth-b.jpg?rlkey=7z5l07qpe6ft9llqkvzw9w823&amp;dl=0","Click to download SizeChart")</f>
      </c>
      <c r="C6083" s="0" t="inlineStr">
        <is>
          <t>Max Youth Jacket</t>
        </is>
      </c>
      <c r="D6083" s="0" t="inlineStr">
        <is>
          <t>'98624</t>
        </is>
      </c>
      <c r="E6083" s="0" t="inlineStr">
        <is>
          <t>MAX:98624C-YL</t>
        </is>
      </c>
      <c r="F6083" s="0" t="inlineStr">
        <is>
          <t>'000000000000</t>
        </is>
      </c>
      <c r="G6083" s="0" t="inlineStr">
        <is>
          <t>YOUTH</t>
        </is>
      </c>
      <c r="H6083" s="0" t="inlineStr">
        <is>
          <t>YL</t>
        </is>
      </c>
      <c r="I6083" s="0">
        <v>42.99</v>
      </c>
      <c r="J6083" s="0">
        <v>85</v>
      </c>
    </row>
    <row r="6084" spans="1:10" customHeight="0">
      <c r="A6084" s="0">
        <f>HYPERLINK("https://dl.dropboxusercontent.com/scl/fi/pehdf8nrr1nywtg22j135/max.jpg?rlkey=01b8smyrauxnmjjh7173j04nj&amp;dl=0","Click to download Image")</f>
      </c>
      <c r="B6084" s="0">
        <f>HYPERLINK("https://dl.dropboxusercontent.com/scl/fi/l30l453890tdtu4ltxhmw/size-chartyouth-b.jpg?rlkey=7z5l07qpe6ft9llqkvzw9w823&amp;dl=0","Click to download SizeChart")</f>
      </c>
      <c r="C6084" s="0" t="inlineStr">
        <is>
          <t>Max Youth Jacket</t>
        </is>
      </c>
      <c r="D6084" s="0" t="inlineStr">
        <is>
          <t>'98624</t>
        </is>
      </c>
      <c r="E6084" s="0" t="inlineStr">
        <is>
          <t>MAX:98624D-YXL</t>
        </is>
      </c>
      <c r="F6084" s="0" t="inlineStr">
        <is>
          <t>'000000000000</t>
        </is>
      </c>
      <c r="G6084" s="0" t="inlineStr">
        <is>
          <t>YOUTH</t>
        </is>
      </c>
      <c r="H6084" s="0" t="inlineStr">
        <is>
          <t>YXL</t>
        </is>
      </c>
      <c r="I6084" s="0">
        <v>42.99</v>
      </c>
      <c r="J6084" s="0">
        <v>91</v>
      </c>
    </row>
    <row r="6085" spans="1:10" customHeight="0">
      <c r="A6085" s="0">
        <f>HYPERLINK("https://dl.dropboxusercontent.com/scl/fi/ttmndsw0mct01qyfafd6n/mason.jpg?rlkey=0mgqh9t3p5ov0lb6s600107h2&amp;dl=0","Click to download Image")</f>
      </c>
      <c r="B6085" s="0">
        <f>HYPERLINK("https://dl.dropboxusercontent.com/scl/fi/n24ikv89a4zp9fv16fpbn/size-chartyouth-b.jpg?rlkey=yl3m1nwdll6yc3i2tf3ee36bh&amp;dl=0","Click to download SizeChart")</f>
      </c>
      <c r="C6085" s="0" t="inlineStr">
        <is>
          <t>Mason Youth Hoodie</t>
        </is>
      </c>
      <c r="D6085" s="0" t="inlineStr">
        <is>
          <t>'95283</t>
        </is>
      </c>
      <c r="E6085" s="0" t="inlineStr">
        <is>
          <t>MASON:95283A-S</t>
        </is>
      </c>
      <c r="F6085" s="0" t="inlineStr">
        <is>
          <t>'000000000000</t>
        </is>
      </c>
      <c r="G6085" s="0" t="inlineStr">
        <is>
          <t>YOUTH</t>
        </is>
      </c>
      <c r="H6085" s="0" t="inlineStr">
        <is>
          <t>YS</t>
        </is>
      </c>
      <c r="I6085" s="0">
        <v>44.99</v>
      </c>
      <c r="J6085" s="0">
        <v>27</v>
      </c>
    </row>
    <row r="6086" spans="1:10" customHeight="0">
      <c r="A6086" s="0">
        <f>HYPERLINK("https://dl.dropboxusercontent.com/scl/fi/ttmndsw0mct01qyfafd6n/mason.jpg?rlkey=0mgqh9t3p5ov0lb6s600107h2&amp;dl=0","Click to download Image")</f>
      </c>
      <c r="B6086" s="0">
        <f>HYPERLINK("https://dl.dropboxusercontent.com/scl/fi/n24ikv89a4zp9fv16fpbn/size-chartyouth-b.jpg?rlkey=yl3m1nwdll6yc3i2tf3ee36bh&amp;dl=0","Click to download SizeChart")</f>
      </c>
      <c r="C6086" s="0" t="inlineStr">
        <is>
          <t>Mason Youth Hoodie</t>
        </is>
      </c>
      <c r="D6086" s="0" t="inlineStr">
        <is>
          <t>'95283</t>
        </is>
      </c>
      <c r="E6086" s="0" t="inlineStr">
        <is>
          <t>MASON:95283B-M</t>
        </is>
      </c>
      <c r="F6086" s="0" t="inlineStr">
        <is>
          <t>'000000000000</t>
        </is>
      </c>
      <c r="G6086" s="0" t="inlineStr">
        <is>
          <t>YOUTH</t>
        </is>
      </c>
      <c r="H6086" s="0" t="inlineStr">
        <is>
          <t>YM</t>
        </is>
      </c>
      <c r="I6086" s="0">
        <v>44.99</v>
      </c>
      <c r="J6086" s="0">
        <v>29</v>
      </c>
    </row>
    <row r="6087" spans="1:10" customHeight="0">
      <c r="A6087" s="0">
        <f>HYPERLINK("https://dl.dropboxusercontent.com/scl/fi/ttmndsw0mct01qyfafd6n/mason.jpg?rlkey=0mgqh9t3p5ov0lb6s600107h2&amp;dl=0","Click to download Image")</f>
      </c>
      <c r="B6087" s="0">
        <f>HYPERLINK("https://dl.dropboxusercontent.com/scl/fi/n24ikv89a4zp9fv16fpbn/size-chartyouth-b.jpg?rlkey=yl3m1nwdll6yc3i2tf3ee36bh&amp;dl=0","Click to download SizeChart")</f>
      </c>
      <c r="C6087" s="0" t="inlineStr">
        <is>
          <t>Mason Youth Hoodie</t>
        </is>
      </c>
      <c r="D6087" s="0" t="inlineStr">
        <is>
          <t>'95283</t>
        </is>
      </c>
      <c r="E6087" s="0" t="inlineStr">
        <is>
          <t>MASON:95283C-L</t>
        </is>
      </c>
      <c r="F6087" s="0" t="inlineStr">
        <is>
          <t>'000000000000</t>
        </is>
      </c>
      <c r="G6087" s="0" t="inlineStr">
        <is>
          <t>YOUTH</t>
        </is>
      </c>
      <c r="H6087" s="0" t="inlineStr">
        <is>
          <t>YL</t>
        </is>
      </c>
      <c r="I6087" s="0">
        <v>44.99</v>
      </c>
      <c r="J6087" s="0">
        <v>26</v>
      </c>
    </row>
    <row r="6088" spans="1:10" customHeight="0">
      <c r="A6088" s="0">
        <f>HYPERLINK("https://dl.dropboxusercontent.com/scl/fi/ttmndsw0mct01qyfafd6n/mason.jpg?rlkey=0mgqh9t3p5ov0lb6s600107h2&amp;dl=0","Click to download Image")</f>
      </c>
      <c r="B6088" s="0">
        <f>HYPERLINK("https://dl.dropboxusercontent.com/scl/fi/n24ikv89a4zp9fv16fpbn/size-chartyouth-b.jpg?rlkey=yl3m1nwdll6yc3i2tf3ee36bh&amp;dl=0","Click to download SizeChart")</f>
      </c>
      <c r="C6088" s="0" t="inlineStr">
        <is>
          <t>Mason Youth Hoodie</t>
        </is>
      </c>
      <c r="D6088" s="0" t="inlineStr">
        <is>
          <t>'95283</t>
        </is>
      </c>
      <c r="E6088" s="0" t="inlineStr">
        <is>
          <t>MASON:95283D-XL</t>
        </is>
      </c>
      <c r="F6088" s="0" t="inlineStr">
        <is>
          <t>'000000000000</t>
        </is>
      </c>
      <c r="G6088" s="0" t="inlineStr">
        <is>
          <t>YOUTH</t>
        </is>
      </c>
      <c r="H6088" s="0" t="inlineStr">
        <is>
          <t>YXL</t>
        </is>
      </c>
      <c r="I6088" s="0">
        <v>44.99</v>
      </c>
      <c r="J6088" s="0">
        <v>27</v>
      </c>
    </row>
    <row r="6089" spans="1:10" customHeight="0">
      <c r="A6089" s="0">
        <f>HYPERLINK("https://dl.dropboxusercontent.com/scl/fi/g2vjb4233ji36xisd472m/96420af.jpg?rlkey=rkawrq0i9c8dzziochip2gsg9&amp;dl=0","Click to download Image")</f>
      </c>
      <c r="B6089" s="0">
        <f>HYPERLINK("https://dl.dropboxusercontent.com/scl/fi/8j8p898vn27rc62wjptk8/graphic-update2022-womens.jpg?rlkey=y2kh142revxeqkw8duglr3h4g&amp;dl=0","Click to download SizeChart")</f>
      </c>
      <c r="C6089" s="0" t="inlineStr">
        <is>
          <t>Emma Women's Shorts</t>
        </is>
      </c>
      <c r="D6089" s="0" t="inlineStr">
        <is>
          <t>'96420</t>
        </is>
      </c>
      <c r="E6089" s="0" t="inlineStr">
        <is>
          <t>EMMA:96420A-S</t>
        </is>
      </c>
      <c r="F6089" s="0" t="inlineStr">
        <is>
          <t>'000000000000</t>
        </is>
      </c>
      <c r="G6089" s="0" t="inlineStr">
        <is>
          <t>WOMENS</t>
        </is>
      </c>
      <c r="H6089" s="0" t="inlineStr">
        <is>
          <t>S</t>
        </is>
      </c>
      <c r="I6089" s="0">
        <v>39.99</v>
      </c>
      <c r="J6089" s="0">
        <v>0</v>
      </c>
    </row>
    <row r="6090" spans="1:10" customHeight="0">
      <c r="A6090" s="0">
        <f>HYPERLINK("https://dl.dropboxusercontent.com/scl/fi/g2vjb4233ji36xisd472m/96420af.jpg?rlkey=rkawrq0i9c8dzziochip2gsg9&amp;dl=0","Click to download Image")</f>
      </c>
      <c r="B6090" s="0">
        <f>HYPERLINK("https://dl.dropboxusercontent.com/scl/fi/8j8p898vn27rc62wjptk8/graphic-update2022-womens.jpg?rlkey=y2kh142revxeqkw8duglr3h4g&amp;dl=0","Click to download SizeChart")</f>
      </c>
      <c r="C6090" s="0" t="inlineStr">
        <is>
          <t>Emma Women's Shorts</t>
        </is>
      </c>
      <c r="D6090" s="0" t="inlineStr">
        <is>
          <t>'96420</t>
        </is>
      </c>
      <c r="E6090" s="0" t="inlineStr">
        <is>
          <t>EMMA:96420B-M</t>
        </is>
      </c>
      <c r="F6090" s="0" t="inlineStr">
        <is>
          <t>'000000000000</t>
        </is>
      </c>
      <c r="G6090" s="0" t="inlineStr">
        <is>
          <t>WOMENS</t>
        </is>
      </c>
      <c r="H6090" s="0" t="inlineStr">
        <is>
          <t>M</t>
        </is>
      </c>
      <c r="I6090" s="0">
        <v>39.99</v>
      </c>
      <c r="J6090" s="0">
        <v>1</v>
      </c>
    </row>
    <row r="6091" spans="1:10" customHeight="0">
      <c r="A6091" s="0">
        <f>HYPERLINK("https://dl.dropboxusercontent.com/scl/fi/g2vjb4233ji36xisd472m/96420af.jpg?rlkey=rkawrq0i9c8dzziochip2gsg9&amp;dl=0","Click to download Image")</f>
      </c>
      <c r="B6091" s="0">
        <f>HYPERLINK("https://dl.dropboxusercontent.com/scl/fi/8j8p898vn27rc62wjptk8/graphic-update2022-womens.jpg?rlkey=y2kh142revxeqkw8duglr3h4g&amp;dl=0","Click to download SizeChart")</f>
      </c>
      <c r="C6091" s="0" t="inlineStr">
        <is>
          <t>Emma Women's Shorts</t>
        </is>
      </c>
      <c r="D6091" s="0" t="inlineStr">
        <is>
          <t>'96420</t>
        </is>
      </c>
      <c r="E6091" s="0" t="inlineStr">
        <is>
          <t>EMMA:96420C-L</t>
        </is>
      </c>
      <c r="F6091" s="0" t="inlineStr">
        <is>
          <t>'000000000000</t>
        </is>
      </c>
      <c r="G6091" s="0" t="inlineStr">
        <is>
          <t>WOMENS</t>
        </is>
      </c>
      <c r="H6091" s="0" t="inlineStr">
        <is>
          <t>L</t>
        </is>
      </c>
      <c r="I6091" s="0">
        <v>39.99</v>
      </c>
      <c r="J6091" s="0">
        <v>46</v>
      </c>
    </row>
    <row r="6092" spans="1:10" customHeight="0">
      <c r="A6092" s="0">
        <f>HYPERLINK("https://dl.dropboxusercontent.com/scl/fi/g2vjb4233ji36xisd472m/96420af.jpg?rlkey=rkawrq0i9c8dzziochip2gsg9&amp;dl=0","Click to download Image")</f>
      </c>
      <c r="B6092" s="0">
        <f>HYPERLINK("https://dl.dropboxusercontent.com/scl/fi/8j8p898vn27rc62wjptk8/graphic-update2022-womens.jpg?rlkey=y2kh142revxeqkw8duglr3h4g&amp;dl=0","Click to download SizeChart")</f>
      </c>
      <c r="C6092" s="0" t="inlineStr">
        <is>
          <t>Emma Women's Shorts</t>
        </is>
      </c>
      <c r="D6092" s="0" t="inlineStr">
        <is>
          <t>'96420</t>
        </is>
      </c>
      <c r="E6092" s="0" t="inlineStr">
        <is>
          <t>EMMA:96420D-XL</t>
        </is>
      </c>
      <c r="F6092" s="0" t="inlineStr">
        <is>
          <t>'000000000000</t>
        </is>
      </c>
      <c r="G6092" s="0" t="inlineStr">
        <is>
          <t>WOMENS</t>
        </is>
      </c>
      <c r="H6092" s="0" t="inlineStr">
        <is>
          <t>XL</t>
        </is>
      </c>
      <c r="I6092" s="0">
        <v>39.99</v>
      </c>
      <c r="J6092" s="0">
        <v>49</v>
      </c>
    </row>
    <row r="6093" spans="1:10" customHeight="0">
      <c r="A6093" s="0">
        <f>HYPERLINK("https://dl.dropboxusercontent.com/scl/fi/g2vjb4233ji36xisd472m/96420af.jpg?rlkey=rkawrq0i9c8dzziochip2gsg9&amp;dl=0","Click to download Image")</f>
      </c>
      <c r="B6093" s="0">
        <f>HYPERLINK("https://dl.dropboxusercontent.com/scl/fi/8j8p898vn27rc62wjptk8/graphic-update2022-womens.jpg?rlkey=y2kh142revxeqkw8duglr3h4g&amp;dl=0","Click to download SizeChart")</f>
      </c>
      <c r="C6093" s="0" t="inlineStr">
        <is>
          <t>Emma Women's Shorts</t>
        </is>
      </c>
      <c r="D6093" s="0" t="inlineStr">
        <is>
          <t>'96420</t>
        </is>
      </c>
      <c r="E6093" s="0" t="inlineStr">
        <is>
          <t>EMMA:96420E-2XL</t>
        </is>
      </c>
      <c r="F6093" s="0" t="inlineStr">
        <is>
          <t>'000000000000</t>
        </is>
      </c>
      <c r="G6093" s="0" t="inlineStr">
        <is>
          <t>WOMENS</t>
        </is>
      </c>
      <c r="H6093" s="0" t="inlineStr">
        <is>
          <t>2XL</t>
        </is>
      </c>
      <c r="I6093" s="0">
        <v>41.99</v>
      </c>
      <c r="J6093" s="0">
        <v>9</v>
      </c>
    </row>
    <row r="6094" spans="1:10" customHeight="0">
      <c r="A6094" s="0">
        <f>HYPERLINK("https://dl.dropboxusercontent.com/scl/fi/josxhdxs9uz8ognjz3ec7/97265af.jpg?rlkey=sz1fqu8qjq6voh8ujmnuaf6vm&amp;dl=0","Click to download Image")</f>
      </c>
      <c r="B6094" s="0">
        <f>HYPERLINK("https://dl.dropboxusercontent.com/scl/fi/8j8p898vn27rc62wjptk8/graphic-update2022-womens.jpg?rlkey=y2kh142revxeqkw8duglr3h4g&amp;dl=0","Click to download SizeChart")</f>
      </c>
      <c r="C6094" s="0" t="inlineStr">
        <is>
          <t>Emma Women's Shorts</t>
        </is>
      </c>
      <c r="D6094" s="0" t="inlineStr">
        <is>
          <t>'97265</t>
        </is>
      </c>
      <c r="E6094" s="0" t="inlineStr">
        <is>
          <t>EMMA:97265A-S</t>
        </is>
      </c>
      <c r="F6094" s="0" t="inlineStr">
        <is>
          <t>'000000000000</t>
        </is>
      </c>
      <c r="G6094" s="0" t="inlineStr">
        <is>
          <t>WOMENS</t>
        </is>
      </c>
      <c r="H6094" s="0" t="inlineStr">
        <is>
          <t>S</t>
        </is>
      </c>
      <c r="I6094" s="0">
        <v>39.99</v>
      </c>
      <c r="J6094" s="0">
        <v>0</v>
      </c>
    </row>
    <row r="6095" spans="1:10" customHeight="0">
      <c r="A6095" s="0">
        <f>HYPERLINK("https://dl.dropboxusercontent.com/scl/fi/josxhdxs9uz8ognjz3ec7/97265af.jpg?rlkey=sz1fqu8qjq6voh8ujmnuaf6vm&amp;dl=0","Click to download Image")</f>
      </c>
      <c r="B6095" s="0">
        <f>HYPERLINK("https://dl.dropboxusercontent.com/scl/fi/8j8p898vn27rc62wjptk8/graphic-update2022-womens.jpg?rlkey=y2kh142revxeqkw8duglr3h4g&amp;dl=0","Click to download SizeChart")</f>
      </c>
      <c r="C6095" s="0" t="inlineStr">
        <is>
          <t>Emma Women's Shorts</t>
        </is>
      </c>
      <c r="D6095" s="0" t="inlineStr">
        <is>
          <t>'97265</t>
        </is>
      </c>
      <c r="E6095" s="0" t="inlineStr">
        <is>
          <t>EMMA:97265B-M</t>
        </is>
      </c>
      <c r="F6095" s="0" t="inlineStr">
        <is>
          <t>'000000000000</t>
        </is>
      </c>
      <c r="G6095" s="0" t="inlineStr">
        <is>
          <t>WOMENS</t>
        </is>
      </c>
      <c r="H6095" s="0" t="inlineStr">
        <is>
          <t>M</t>
        </is>
      </c>
      <c r="I6095" s="0">
        <v>39.99</v>
      </c>
      <c r="J6095" s="0">
        <v>0</v>
      </c>
    </row>
    <row r="6096" spans="1:10" customHeight="0">
      <c r="A6096" s="0">
        <f>HYPERLINK("https://dl.dropboxusercontent.com/scl/fi/josxhdxs9uz8ognjz3ec7/97265af.jpg?rlkey=sz1fqu8qjq6voh8ujmnuaf6vm&amp;dl=0","Click to download Image")</f>
      </c>
      <c r="B6096" s="0">
        <f>HYPERLINK("https://dl.dropboxusercontent.com/scl/fi/8j8p898vn27rc62wjptk8/graphic-update2022-womens.jpg?rlkey=y2kh142revxeqkw8duglr3h4g&amp;dl=0","Click to download SizeChart")</f>
      </c>
      <c r="C6096" s="0" t="inlineStr">
        <is>
          <t>Emma Women's Shorts</t>
        </is>
      </c>
      <c r="D6096" s="0" t="inlineStr">
        <is>
          <t>'97265</t>
        </is>
      </c>
      <c r="E6096" s="0" t="inlineStr">
        <is>
          <t>EMMA:97265C-L</t>
        </is>
      </c>
      <c r="F6096" s="0" t="inlineStr">
        <is>
          <t>'000000000000</t>
        </is>
      </c>
      <c r="G6096" s="0" t="inlineStr">
        <is>
          <t>WOMENS</t>
        </is>
      </c>
      <c r="H6096" s="0" t="inlineStr">
        <is>
          <t>L</t>
        </is>
      </c>
      <c r="I6096" s="0">
        <v>39.99</v>
      </c>
      <c r="J6096" s="0">
        <v>16</v>
      </c>
    </row>
    <row r="6097" spans="1:10" customHeight="0">
      <c r="A6097" s="0">
        <f>HYPERLINK("https://dl.dropboxusercontent.com/scl/fi/josxhdxs9uz8ognjz3ec7/97265af.jpg?rlkey=sz1fqu8qjq6voh8ujmnuaf6vm&amp;dl=0","Click to download Image")</f>
      </c>
      <c r="B6097" s="0">
        <f>HYPERLINK("https://dl.dropboxusercontent.com/scl/fi/8j8p898vn27rc62wjptk8/graphic-update2022-womens.jpg?rlkey=y2kh142revxeqkw8duglr3h4g&amp;dl=0","Click to download SizeChart")</f>
      </c>
      <c r="C6097" s="0" t="inlineStr">
        <is>
          <t>Emma Women's Shorts</t>
        </is>
      </c>
      <c r="D6097" s="0" t="inlineStr">
        <is>
          <t>'97265</t>
        </is>
      </c>
      <c r="E6097" s="0" t="inlineStr">
        <is>
          <t>EMMA:97265D-XL</t>
        </is>
      </c>
      <c r="F6097" s="0" t="inlineStr">
        <is>
          <t>'000000000000</t>
        </is>
      </c>
      <c r="G6097" s="0" t="inlineStr">
        <is>
          <t>WOMENS</t>
        </is>
      </c>
      <c r="H6097" s="0" t="inlineStr">
        <is>
          <t>XL</t>
        </is>
      </c>
      <c r="I6097" s="0">
        <v>39.99</v>
      </c>
      <c r="J6097" s="0">
        <v>32</v>
      </c>
    </row>
    <row r="6098" spans="1:10" customHeight="0">
      <c r="A6098" s="0">
        <f>HYPERLINK("https://dl.dropboxusercontent.com/scl/fi/josxhdxs9uz8ognjz3ec7/97265af.jpg?rlkey=sz1fqu8qjq6voh8ujmnuaf6vm&amp;dl=0","Click to download Image")</f>
      </c>
      <c r="B6098" s="0">
        <f>HYPERLINK("https://dl.dropboxusercontent.com/scl/fi/8j8p898vn27rc62wjptk8/graphic-update2022-womens.jpg?rlkey=y2kh142revxeqkw8duglr3h4g&amp;dl=0","Click to download SizeChart")</f>
      </c>
      <c r="C6098" s="0" t="inlineStr">
        <is>
          <t>Emma Women's Shorts</t>
        </is>
      </c>
      <c r="D6098" s="0" t="inlineStr">
        <is>
          <t>'97265</t>
        </is>
      </c>
      <c r="E6098" s="0" t="inlineStr">
        <is>
          <t>EMMA:97265E-2XL</t>
        </is>
      </c>
      <c r="F6098" s="0" t="inlineStr">
        <is>
          <t>'000000000000</t>
        </is>
      </c>
      <c r="G6098" s="0" t="inlineStr">
        <is>
          <t>WOMENS</t>
        </is>
      </c>
      <c r="H6098" s="0" t="inlineStr">
        <is>
          <t>2XL</t>
        </is>
      </c>
      <c r="I6098" s="0">
        <v>41.99</v>
      </c>
      <c r="J6098" s="0">
        <v>0</v>
      </c>
    </row>
    <row r="6099" spans="1:10" customHeight="0">
      <c r="A6099" s="0">
        <f>HYPERLINK("https://dl.dropboxusercontent.com/scl/fi/r8tls7r0cfm52doyffrsf/marin.jpg?rlkey=ood1xdixbsw4xr9yl8l1dlu6y&amp;dl=0","Click to download Image")</f>
      </c>
      <c r="B6099" s="0">
        <f>HYPERLINK("https://dl.dropboxusercontent.com/scl/fi/l5x67ltcdbvagufgbuu98/size-chartswomens-standard-fitted-shirt.jpg?rlkey=hd7mkhwgvcc0a55r4ccbn0br6&amp;dl=0","Click to download SizeChart")</f>
      </c>
      <c r="C6099" s="0" t="inlineStr">
        <is>
          <t>Marin Women's Polo</t>
        </is>
      </c>
      <c r="D6099" s="0" t="inlineStr">
        <is>
          <t>'101139</t>
        </is>
      </c>
      <c r="E6099" s="0" t="inlineStr">
        <is>
          <t>MARIN:101139A-S</t>
        </is>
      </c>
      <c r="F6099" s="0" t="inlineStr">
        <is>
          <t>'000000000000</t>
        </is>
      </c>
      <c r="G6099" s="0" t="inlineStr">
        <is>
          <t>WOMENS</t>
        </is>
      </c>
      <c r="H6099" s="0" t="inlineStr">
        <is>
          <t>S</t>
        </is>
      </c>
      <c r="I6099" s="0">
        <v>44.99</v>
      </c>
      <c r="J6099" s="0">
        <v>79</v>
      </c>
    </row>
    <row r="6100" spans="1:10" customHeight="0">
      <c r="A6100" s="0">
        <f>HYPERLINK("https://dl.dropboxusercontent.com/scl/fi/r8tls7r0cfm52doyffrsf/marin.jpg?rlkey=ood1xdixbsw4xr9yl8l1dlu6y&amp;dl=0","Click to download Image")</f>
      </c>
      <c r="B6100" s="0">
        <f>HYPERLINK("https://dl.dropboxusercontent.com/scl/fi/l5x67ltcdbvagufgbuu98/size-chartswomens-standard-fitted-shirt.jpg?rlkey=hd7mkhwgvcc0a55r4ccbn0br6&amp;dl=0","Click to download SizeChart")</f>
      </c>
      <c r="C6100" s="0" t="inlineStr">
        <is>
          <t>Marin Women's Polo</t>
        </is>
      </c>
      <c r="D6100" s="0" t="inlineStr">
        <is>
          <t>'101139</t>
        </is>
      </c>
      <c r="E6100" s="0" t="inlineStr">
        <is>
          <t>MARIN:101139B-M</t>
        </is>
      </c>
      <c r="F6100" s="0" t="inlineStr">
        <is>
          <t>'000000000000</t>
        </is>
      </c>
      <c r="G6100" s="0" t="inlineStr">
        <is>
          <t>WOMENS</t>
        </is>
      </c>
      <c r="H6100" s="0" t="inlineStr">
        <is>
          <t>M</t>
        </is>
      </c>
      <c r="I6100" s="0">
        <v>44.99</v>
      </c>
      <c r="J6100" s="0">
        <v>90</v>
      </c>
    </row>
    <row r="6101" spans="1:10" customHeight="0">
      <c r="A6101" s="0">
        <f>HYPERLINK("https://dl.dropboxusercontent.com/scl/fi/r8tls7r0cfm52doyffrsf/marin.jpg?rlkey=ood1xdixbsw4xr9yl8l1dlu6y&amp;dl=0","Click to download Image")</f>
      </c>
      <c r="B6101" s="0">
        <f>HYPERLINK("https://dl.dropboxusercontent.com/scl/fi/l5x67ltcdbvagufgbuu98/size-chartswomens-standard-fitted-shirt.jpg?rlkey=hd7mkhwgvcc0a55r4ccbn0br6&amp;dl=0","Click to download SizeChart")</f>
      </c>
      <c r="C6101" s="0" t="inlineStr">
        <is>
          <t>Marin Women's Polo</t>
        </is>
      </c>
      <c r="D6101" s="0" t="inlineStr">
        <is>
          <t>'101139</t>
        </is>
      </c>
      <c r="E6101" s="0" t="inlineStr">
        <is>
          <t>MARIN:101139C-L</t>
        </is>
      </c>
      <c r="F6101" s="0" t="inlineStr">
        <is>
          <t>'000000000000</t>
        </is>
      </c>
      <c r="G6101" s="0" t="inlineStr">
        <is>
          <t>WOMENS</t>
        </is>
      </c>
      <c r="H6101" s="0" t="inlineStr">
        <is>
          <t>L</t>
        </is>
      </c>
      <c r="I6101" s="0">
        <v>44.99</v>
      </c>
      <c r="J6101" s="0">
        <v>105</v>
      </c>
    </row>
    <row r="6102" spans="1:10" customHeight="0">
      <c r="A6102" s="0">
        <f>HYPERLINK("https://dl.dropboxusercontent.com/scl/fi/r8tls7r0cfm52doyffrsf/marin.jpg?rlkey=ood1xdixbsw4xr9yl8l1dlu6y&amp;dl=0","Click to download Image")</f>
      </c>
      <c r="B6102" s="0">
        <f>HYPERLINK("https://dl.dropboxusercontent.com/scl/fi/l5x67ltcdbvagufgbuu98/size-chartswomens-standard-fitted-shirt.jpg?rlkey=hd7mkhwgvcc0a55r4ccbn0br6&amp;dl=0","Click to download SizeChart")</f>
      </c>
      <c r="C6102" s="0" t="inlineStr">
        <is>
          <t>Marin Women's Polo</t>
        </is>
      </c>
      <c r="D6102" s="0" t="inlineStr">
        <is>
          <t>'101139</t>
        </is>
      </c>
      <c r="E6102" s="0" t="inlineStr">
        <is>
          <t>MARIN:101139D-XL</t>
        </is>
      </c>
      <c r="F6102" s="0" t="inlineStr">
        <is>
          <t>'000000000000</t>
        </is>
      </c>
      <c r="G6102" s="0" t="inlineStr">
        <is>
          <t>WOMENS</t>
        </is>
      </c>
      <c r="H6102" s="0" t="inlineStr">
        <is>
          <t>XL</t>
        </is>
      </c>
      <c r="I6102" s="0">
        <v>44.99</v>
      </c>
      <c r="J6102" s="0">
        <v>100</v>
      </c>
    </row>
    <row r="6103" spans="1:10" customHeight="0">
      <c r="A6103" s="0">
        <f>HYPERLINK("https://dl.dropboxusercontent.com/scl/fi/r8tls7r0cfm52doyffrsf/marin.jpg?rlkey=ood1xdixbsw4xr9yl8l1dlu6y&amp;dl=0","Click to download Image")</f>
      </c>
      <c r="B6103" s="0">
        <f>HYPERLINK("https://dl.dropboxusercontent.com/scl/fi/l5x67ltcdbvagufgbuu98/size-chartswomens-standard-fitted-shirt.jpg?rlkey=hd7mkhwgvcc0a55r4ccbn0br6&amp;dl=0","Click to download SizeChart")</f>
      </c>
      <c r="C6103" s="0" t="inlineStr">
        <is>
          <t>Marin Women's Polo</t>
        </is>
      </c>
      <c r="D6103" s="0" t="inlineStr">
        <is>
          <t>'101139</t>
        </is>
      </c>
      <c r="E6103" s="0" t="inlineStr">
        <is>
          <t>MARIN:101139E-2XL</t>
        </is>
      </c>
      <c r="F6103" s="0" t="inlineStr">
        <is>
          <t>'000000000000</t>
        </is>
      </c>
      <c r="G6103" s="0" t="inlineStr">
        <is>
          <t>WOMENS</t>
        </is>
      </c>
      <c r="H6103" s="0" t="inlineStr">
        <is>
          <t>2XL</t>
        </is>
      </c>
      <c r="I6103" s="0">
        <v>46.99</v>
      </c>
      <c r="J6103" s="0">
        <v>72</v>
      </c>
    </row>
    <row r="6104" spans="1:10" customHeight="0">
      <c r="A6104" s="0">
        <f>HYPERLINK("https://dl.dropboxusercontent.com/scl/fi/r8tls7r0cfm52doyffrsf/marin.jpg?rlkey=ood1xdixbsw4xr9yl8l1dlu6y&amp;dl=0","Click to download Image")</f>
      </c>
      <c r="B6104" s="0">
        <f>HYPERLINK("https://dl.dropboxusercontent.com/scl/fi/l5x67ltcdbvagufgbuu98/size-chartswomens-standard-fitted-shirt.jpg?rlkey=hd7mkhwgvcc0a55r4ccbn0br6&amp;dl=0","Click to download SizeChart")</f>
      </c>
      <c r="C6104" s="0" t="inlineStr">
        <is>
          <t>Marin Women's Polo</t>
        </is>
      </c>
      <c r="D6104" s="0" t="inlineStr">
        <is>
          <t>'101139</t>
        </is>
      </c>
      <c r="E6104" s="0" t="inlineStr">
        <is>
          <t>MARIN:101139F-3XL</t>
        </is>
      </c>
      <c r="F6104" s="0" t="inlineStr">
        <is>
          <t>'000000000000</t>
        </is>
      </c>
      <c r="G6104" s="0" t="inlineStr">
        <is>
          <t>WOMENS</t>
        </is>
      </c>
      <c r="H6104" s="0" t="inlineStr">
        <is>
          <t>3XL</t>
        </is>
      </c>
      <c r="I6104" s="0">
        <v>46.99</v>
      </c>
      <c r="J6104" s="0">
        <v>14</v>
      </c>
    </row>
    <row r="6105" spans="1:10" customHeight="0">
      <c r="A6105" s="0">
        <f>HYPERLINK("https://dl.dropboxusercontent.com/scl/fi/pqzsxqa6hpcc6k13ztwna/95892af.jpg?rlkey=3qiwy37sclvdekpyf0ltl3l0f&amp;dl=0","Click to download Image")</f>
      </c>
      <c r="B6105" s="0">
        <f>HYPERLINK("https://dl.dropboxusercontent.com/scl/fi/8m98z670aw8aejmvgvq0o/neon-size-chartsmacie.jpg?rlkey=7v0r4ooajffu77y62ywhl7o66&amp;dl=0","Click to download SizeChart")</f>
      </c>
      <c r="C6105" s="0" t="inlineStr">
        <is>
          <t>Macie Women's T-Shirt</t>
        </is>
      </c>
      <c r="D6105" s="0" t="inlineStr">
        <is>
          <t>'95892</t>
        </is>
      </c>
      <c r="E6105" s="0" t="inlineStr">
        <is>
          <t>MACIE:95892C-L</t>
        </is>
      </c>
      <c r="F6105" s="0" t="inlineStr">
        <is>
          <t>'000000000000</t>
        </is>
      </c>
      <c r="G6105" s="0" t="inlineStr">
        <is>
          <t>WOMENS</t>
        </is>
      </c>
      <c r="H6105" s="0" t="inlineStr">
        <is>
          <t>L</t>
        </is>
      </c>
      <c r="I6105" s="0">
        <v>14.99</v>
      </c>
      <c r="J6105" s="0">
        <v>70</v>
      </c>
    </row>
    <row r="6106" spans="1:10" customHeight="0">
      <c r="A6106" s="0">
        <f>HYPERLINK("https://dl.dropboxusercontent.com/scl/fi/pqzsxqa6hpcc6k13ztwna/95892af.jpg?rlkey=3qiwy37sclvdekpyf0ltl3l0f&amp;dl=0","Click to download Image")</f>
      </c>
      <c r="B6106" s="0">
        <f>HYPERLINK("https://dl.dropboxusercontent.com/scl/fi/8m98z670aw8aejmvgvq0o/neon-size-chartsmacie.jpg?rlkey=7v0r4ooajffu77y62ywhl7o66&amp;dl=0","Click to download SizeChart")</f>
      </c>
      <c r="C6106" s="0" t="inlineStr">
        <is>
          <t>Macie Women's T-Shirt</t>
        </is>
      </c>
      <c r="D6106" s="0" t="inlineStr">
        <is>
          <t>'95892</t>
        </is>
      </c>
      <c r="E6106" s="0" t="inlineStr">
        <is>
          <t>MACIE:95892D-XL</t>
        </is>
      </c>
      <c r="F6106" s="0" t="inlineStr">
        <is>
          <t>'000000000000</t>
        </is>
      </c>
      <c r="G6106" s="0" t="inlineStr">
        <is>
          <t>WOMENS</t>
        </is>
      </c>
      <c r="H6106" s="0" t="inlineStr">
        <is>
          <t>XL</t>
        </is>
      </c>
      <c r="I6106" s="0">
        <v>14.99</v>
      </c>
      <c r="J6106" s="0">
        <v>75</v>
      </c>
    </row>
    <row r="6107" spans="1:10" customHeight="0">
      <c r="A6107" s="0">
        <f>HYPERLINK("https://dl.dropboxusercontent.com/scl/fi/5ukm9kyjt5400s92vromm/maria.jpg?rlkey=rcdkdvpoquofe6ocpprth9wvq&amp;dl=0","Click to download Image")</f>
      </c>
      <c r="B6107" s="0">
        <f>HYPERLINK("https://dl.dropboxusercontent.com/scl/fi/u3jkbszihnmkvq59wlwe7/size-chartladies-e.jpg?rlkey=hmfp9k80wbgikoku9vzm8dq3t&amp;dl=0","Click to download SizeChart")</f>
      </c>
      <c r="C6107" s="0" t="inlineStr">
        <is>
          <t>Maria Women's Lace Long Sleeve Shirt</t>
        </is>
      </c>
      <c r="D6107" s="0" t="inlineStr">
        <is>
          <t>'98536</t>
        </is>
      </c>
      <c r="E6107" s="0" t="inlineStr">
        <is>
          <t>MARIA:98536A-S</t>
        </is>
      </c>
      <c r="F6107" s="0" t="inlineStr">
        <is>
          <t>'000000000000</t>
        </is>
      </c>
      <c r="G6107" s="0" t="inlineStr">
        <is>
          <t>WOMENS</t>
        </is>
      </c>
      <c r="H6107" s="0" t="inlineStr">
        <is>
          <t>S</t>
        </is>
      </c>
      <c r="I6107" s="0">
        <v>44.99</v>
      </c>
      <c r="J6107" s="0">
        <v>80</v>
      </c>
    </row>
    <row r="6108" spans="1:10" customHeight="0">
      <c r="A6108" s="0">
        <f>HYPERLINK("https://dl.dropboxusercontent.com/scl/fi/5ukm9kyjt5400s92vromm/maria.jpg?rlkey=rcdkdvpoquofe6ocpprth9wvq&amp;dl=0","Click to download Image")</f>
      </c>
      <c r="B6108" s="0">
        <f>HYPERLINK("https://dl.dropboxusercontent.com/scl/fi/u3jkbszihnmkvq59wlwe7/size-chartladies-e.jpg?rlkey=hmfp9k80wbgikoku9vzm8dq3t&amp;dl=0","Click to download SizeChart")</f>
      </c>
      <c r="C6108" s="0" t="inlineStr">
        <is>
          <t>Maria Women's Lace Long Sleeve Shirt</t>
        </is>
      </c>
      <c r="D6108" s="0" t="inlineStr">
        <is>
          <t>'98536</t>
        </is>
      </c>
      <c r="E6108" s="0" t="inlineStr">
        <is>
          <t>MARIA:98536B-M</t>
        </is>
      </c>
      <c r="F6108" s="0" t="inlineStr">
        <is>
          <t>'000000000000</t>
        </is>
      </c>
      <c r="G6108" s="0" t="inlineStr">
        <is>
          <t>WOMENS</t>
        </is>
      </c>
      <c r="H6108" s="0" t="inlineStr">
        <is>
          <t>M</t>
        </is>
      </c>
      <c r="I6108" s="0">
        <v>44.99</v>
      </c>
      <c r="J6108" s="0">
        <v>95</v>
      </c>
    </row>
    <row r="6109" spans="1:10" customHeight="0">
      <c r="A6109" s="0">
        <f>HYPERLINK("https://dl.dropboxusercontent.com/scl/fi/5ukm9kyjt5400s92vromm/maria.jpg?rlkey=rcdkdvpoquofe6ocpprth9wvq&amp;dl=0","Click to download Image")</f>
      </c>
      <c r="B6109" s="0">
        <f>HYPERLINK("https://dl.dropboxusercontent.com/scl/fi/u3jkbszihnmkvq59wlwe7/size-chartladies-e.jpg?rlkey=hmfp9k80wbgikoku9vzm8dq3t&amp;dl=0","Click to download SizeChart")</f>
      </c>
      <c r="C6109" s="0" t="inlineStr">
        <is>
          <t>Maria Women's Lace Long Sleeve Shirt</t>
        </is>
      </c>
      <c r="D6109" s="0" t="inlineStr">
        <is>
          <t>'98536</t>
        </is>
      </c>
      <c r="E6109" s="0" t="inlineStr">
        <is>
          <t>MARIA:98536C-L</t>
        </is>
      </c>
      <c r="F6109" s="0" t="inlineStr">
        <is>
          <t>'000000000000</t>
        </is>
      </c>
      <c r="G6109" s="0" t="inlineStr">
        <is>
          <t>WOMENS</t>
        </is>
      </c>
      <c r="H6109" s="0" t="inlineStr">
        <is>
          <t>L</t>
        </is>
      </c>
      <c r="I6109" s="0">
        <v>44.99</v>
      </c>
      <c r="J6109" s="0">
        <v>125</v>
      </c>
    </row>
    <row r="6110" spans="1:10" customHeight="0">
      <c r="A6110" s="0">
        <f>HYPERLINK("https://dl.dropboxusercontent.com/scl/fi/5ukm9kyjt5400s92vromm/maria.jpg?rlkey=rcdkdvpoquofe6ocpprth9wvq&amp;dl=0","Click to download Image")</f>
      </c>
      <c r="B6110" s="0">
        <f>HYPERLINK("https://dl.dropboxusercontent.com/scl/fi/u3jkbszihnmkvq59wlwe7/size-chartladies-e.jpg?rlkey=hmfp9k80wbgikoku9vzm8dq3t&amp;dl=0","Click to download SizeChart")</f>
      </c>
      <c r="C6110" s="0" t="inlineStr">
        <is>
          <t>Maria Women's Lace Long Sleeve Shirt</t>
        </is>
      </c>
      <c r="D6110" s="0" t="inlineStr">
        <is>
          <t>'98536</t>
        </is>
      </c>
      <c r="E6110" s="0" t="inlineStr">
        <is>
          <t>MARIA:98536D-XL</t>
        </is>
      </c>
      <c r="F6110" s="0" t="inlineStr">
        <is>
          <t>'000000000000</t>
        </is>
      </c>
      <c r="G6110" s="0" t="inlineStr">
        <is>
          <t>WOMENS</t>
        </is>
      </c>
      <c r="H6110" s="0" t="inlineStr">
        <is>
          <t>XL</t>
        </is>
      </c>
      <c r="I6110" s="0">
        <v>44.99</v>
      </c>
      <c r="J6110" s="0">
        <v>131</v>
      </c>
    </row>
    <row r="6111" spans="1:10" customHeight="0">
      <c r="A6111" s="0">
        <f>HYPERLINK("https://dl.dropboxusercontent.com/scl/fi/5ukm9kyjt5400s92vromm/maria.jpg?rlkey=rcdkdvpoquofe6ocpprth9wvq&amp;dl=0","Click to download Image")</f>
      </c>
      <c r="B6111" s="0">
        <f>HYPERLINK("https://dl.dropboxusercontent.com/scl/fi/u3jkbszihnmkvq59wlwe7/size-chartladies-e.jpg?rlkey=hmfp9k80wbgikoku9vzm8dq3t&amp;dl=0","Click to download SizeChart")</f>
      </c>
      <c r="C6111" s="0" t="inlineStr">
        <is>
          <t>Maria Women's Lace Long Sleeve Shirt</t>
        </is>
      </c>
      <c r="D6111" s="0" t="inlineStr">
        <is>
          <t>'98536</t>
        </is>
      </c>
      <c r="E6111" s="0" t="inlineStr">
        <is>
          <t>MARIA:98536E-2XL</t>
        </is>
      </c>
      <c r="F6111" s="0" t="inlineStr">
        <is>
          <t>'000000000000</t>
        </is>
      </c>
      <c r="G6111" s="0" t="inlineStr">
        <is>
          <t>WOMENS</t>
        </is>
      </c>
      <c r="H6111" s="0" t="inlineStr">
        <is>
          <t>2XL</t>
        </is>
      </c>
      <c r="I6111" s="0">
        <v>46.99</v>
      </c>
      <c r="J6111" s="0">
        <v>57</v>
      </c>
    </row>
    <row r="6112" spans="1:10" customHeight="0">
      <c r="A6112" s="0">
        <f>HYPERLINK("https://dl.dropboxusercontent.com/scl/fi/8xwiyikhvy8vsnyasn0c9/jules.jpg?rlkey=2pobbp40yzkn8q2fzvqcg9n7o&amp;dl=0","Click to download Image")</f>
      </c>
      <c r="C6112" s="0" t="inlineStr">
        <is>
          <t>Jules Infant Cap</t>
        </is>
      </c>
      <c r="D6112" s="0" t="inlineStr">
        <is>
          <t>'99646</t>
        </is>
      </c>
      <c r="E6112" s="0" t="inlineStr">
        <is>
          <t>JULES:99646</t>
        </is>
      </c>
      <c r="F6112" s="0" t="inlineStr">
        <is>
          <t>'070009964601</t>
        </is>
      </c>
      <c r="G6112" s="0" t="inlineStr">
        <is>
          <t>INFANT</t>
        </is>
      </c>
      <c r="H6112" s="0" t="inlineStr">
        <is>
          <t>INFANT</t>
        </is>
      </c>
      <c r="I6112" s="0">
        <v>15.99</v>
      </c>
      <c r="J6112" s="0">
        <v>149</v>
      </c>
    </row>
    <row r="6113" spans="1:10" customHeight="0">
      <c r="A6113" s="0">
        <f>HYPERLINK("https://dl.dropboxusercontent.com/scl/fi/exqgwpqz393e5ohwftmwi/joellat.jpg?rlkey=1oo5bvxy4fudbrwfo9jrsfcxa&amp;dl=0","Click to download Image")</f>
      </c>
      <c r="C6113" s="0" t="inlineStr">
        <is>
          <t>Joella Women's Runner Cap</t>
        </is>
      </c>
      <c r="D6113" s="0" t="inlineStr">
        <is>
          <t>'99693</t>
        </is>
      </c>
      <c r="E6113" s="0" t="inlineStr">
        <is>
          <t>JOELLA:99693</t>
        </is>
      </c>
      <c r="F6113" s="0" t="inlineStr">
        <is>
          <t>'070009969301</t>
        </is>
      </c>
      <c r="G6113" s="0" t="inlineStr">
        <is>
          <t>WOMENS</t>
        </is>
      </c>
      <c r="H6113" s="0" t="inlineStr">
        <is>
          <t>WOMENS</t>
        </is>
      </c>
      <c r="I6113" s="0">
        <v>18.99</v>
      </c>
      <c r="J6113" s="0">
        <v>121</v>
      </c>
    </row>
    <row r="6114" spans="1:10" customHeight="0">
      <c r="A6114" s="0">
        <f>HYPERLINK("https://dl.dropboxusercontent.com/scl/fi/xn6z8qr5ulwpsmxi1ar1h/makenna.jpg?rlkey=xfp6okksdvkqwxrrk7qdf623g&amp;dl=0","Click to download Image")</f>
      </c>
      <c r="C6114" s="0" t="inlineStr">
        <is>
          <t>Makenna Women's Cap</t>
        </is>
      </c>
      <c r="D6114" s="0" t="inlineStr">
        <is>
          <t>'99918</t>
        </is>
      </c>
      <c r="E6114" s="0" t="inlineStr">
        <is>
          <t>MAKENNA:99918</t>
        </is>
      </c>
      <c r="F6114" s="0" t="inlineStr">
        <is>
          <t>'000000000000</t>
        </is>
      </c>
      <c r="G6114" s="0" t="inlineStr">
        <is>
          <t>WOMENS</t>
        </is>
      </c>
      <c r="H6114" s="0" t="inlineStr">
        <is>
          <t>WOMENS</t>
        </is>
      </c>
      <c r="I6114" s="0">
        <v>24.99</v>
      </c>
      <c r="J6114" s="0">
        <v>42</v>
      </c>
    </row>
    <row r="6115" spans="1:10" customHeight="0">
      <c r="A6115" s="0">
        <f>HYPERLINK("https://dl.dropboxusercontent.com/scl/fi/u93e4mzhkvevz41owu16g/macken.jpg?rlkey=m0ax8hdjwyrax3kny3no55vb9&amp;dl=0","Click to download Image")</f>
      </c>
      <c r="B6115" s="0">
        <f>HYPERLINK("https://dl.dropboxusercontent.com/scl/fi/v7lqw1u5rt67z6cvf68l2/ladies-a.jpg?rlkey=vffl1erdn341ay3ez0nmai4zk&amp;dl=0","Click to download SizeChart")</f>
      </c>
      <c r="C6115" s="0" t="inlineStr">
        <is>
          <t>Mackenzie Women's Jacket</t>
        </is>
      </c>
      <c r="D6115" s="0" t="inlineStr">
        <is>
          <t>'95922</t>
        </is>
      </c>
      <c r="E6115" s="0" t="inlineStr">
        <is>
          <t>MACKENZIE:95922C-L</t>
        </is>
      </c>
      <c r="F6115" s="0" t="inlineStr">
        <is>
          <t>'000000000000</t>
        </is>
      </c>
      <c r="G6115" s="0" t="inlineStr">
        <is>
          <t>WOMENS</t>
        </is>
      </c>
      <c r="H6115" s="0" t="inlineStr">
        <is>
          <t>L</t>
        </is>
      </c>
      <c r="I6115" s="0">
        <v>59.99</v>
      </c>
      <c r="J6115" s="0">
        <v>62</v>
      </c>
    </row>
    <row r="6116" spans="1:10" customHeight="0">
      <c r="A6116" s="0">
        <f>HYPERLINK("https://dl.dropboxusercontent.com/scl/fi/u93e4mzhkvevz41owu16g/macken.jpg?rlkey=m0ax8hdjwyrax3kny3no55vb9&amp;dl=0","Click to download Image")</f>
      </c>
      <c r="B6116" s="0">
        <f>HYPERLINK("https://dl.dropboxusercontent.com/scl/fi/v7lqw1u5rt67z6cvf68l2/ladies-a.jpg?rlkey=vffl1erdn341ay3ez0nmai4zk&amp;dl=0","Click to download SizeChart")</f>
      </c>
      <c r="C6116" s="0" t="inlineStr">
        <is>
          <t>Mackenzie Women's Jacket</t>
        </is>
      </c>
      <c r="D6116" s="0" t="inlineStr">
        <is>
          <t>'95922</t>
        </is>
      </c>
      <c r="E6116" s="0" t="inlineStr">
        <is>
          <t>MACKENZIE:95922D-XL</t>
        </is>
      </c>
      <c r="F6116" s="0" t="inlineStr">
        <is>
          <t>'000000000000</t>
        </is>
      </c>
      <c r="G6116" s="0" t="inlineStr">
        <is>
          <t>WOMENS</t>
        </is>
      </c>
      <c r="H6116" s="0" t="inlineStr">
        <is>
          <t>XL</t>
        </is>
      </c>
      <c r="I6116" s="0">
        <v>59.99</v>
      </c>
      <c r="J6116" s="0">
        <v>38</v>
      </c>
    </row>
    <row r="6117" spans="1:10" customHeight="0">
      <c r="A6117" s="0">
        <f>HYPERLINK("https://dl.dropboxusercontent.com/scl/fi/u93e4mzhkvevz41owu16g/macken.jpg?rlkey=m0ax8hdjwyrax3kny3no55vb9&amp;dl=0","Click to download Image")</f>
      </c>
      <c r="B6117" s="0">
        <f>HYPERLINK("https://dl.dropboxusercontent.com/scl/fi/v7lqw1u5rt67z6cvf68l2/ladies-a.jpg?rlkey=vffl1erdn341ay3ez0nmai4zk&amp;dl=0","Click to download SizeChart")</f>
      </c>
      <c r="C6117" s="0" t="inlineStr">
        <is>
          <t>Mackenzie Women's Jacket</t>
        </is>
      </c>
      <c r="D6117" s="0" t="inlineStr">
        <is>
          <t>'95922</t>
        </is>
      </c>
      <c r="E6117" s="0" t="inlineStr">
        <is>
          <t>MACKENZIE:95922E-2X</t>
        </is>
      </c>
      <c r="F6117" s="0" t="inlineStr">
        <is>
          <t>'000000000000</t>
        </is>
      </c>
      <c r="G6117" s="0" t="inlineStr">
        <is>
          <t>WOMENS</t>
        </is>
      </c>
      <c r="H6117" s="0" t="inlineStr">
        <is>
          <t>2XL</t>
        </is>
      </c>
      <c r="I6117" s="0">
        <v>61.99</v>
      </c>
      <c r="J6117" s="0">
        <v>16</v>
      </c>
    </row>
    <row r="6118" spans="1:10" customHeight="0">
      <c r="A6118" s="0">
        <f>HYPERLINK("https://dl.dropboxusercontent.com/scl/fi/v3tw4x86405dvykt9otp0/jaycet.jpg?rlkey=pc7sb6tlzuehmh3hcczfmyh4h&amp;dl=0","Click to download Image")</f>
      </c>
      <c r="C6118" s="0" t="inlineStr">
        <is>
          <t>Jayce Canvas Men's Cap</t>
        </is>
      </c>
      <c r="D6118" s="0" t="inlineStr">
        <is>
          <t>'98882</t>
        </is>
      </c>
      <c r="E6118" s="0" t="inlineStr">
        <is>
          <t>JAYCE:98882</t>
        </is>
      </c>
      <c r="F6118" s="0" t="inlineStr">
        <is>
          <t>'070009888201</t>
        </is>
      </c>
      <c r="G6118" s="0" t="inlineStr">
        <is>
          <t>MENS</t>
        </is>
      </c>
      <c r="H6118" s="0" t="inlineStr">
        <is>
          <t>STANDARD MENS</t>
        </is>
      </c>
      <c r="I6118" s="0">
        <v>21.99</v>
      </c>
      <c r="J6118" s="0">
        <v>70</v>
      </c>
    </row>
    <row r="6119" spans="1:10" customHeight="0">
      <c r="A6119" s="0">
        <f>HYPERLINK("https://dl.dropboxusercontent.com/scl/fi/ktkypttp5e29ga83z1srr/101800-af.jpg?rlkey=zzr698lrqpmg9qqwsg6dd2zia&amp;dl=0","Click to download Image")</f>
      </c>
      <c r="B6119" s="0">
        <f>HYPERLINK("https://dl.dropboxusercontent.com/scl/fi/y16h4a58ejnnasn0572lg/graphic-update2022-mens.jpg?rlkey=zia90ioptxp9w3pyky5dgw4dd&amp;dl=0","Click to download SizeChart")</f>
      </c>
      <c r="C6119" s="0" t="inlineStr">
        <is>
          <t>Hugo Men's T-Shirt</t>
        </is>
      </c>
      <c r="D6119" s="0" t="inlineStr">
        <is>
          <t>'101800</t>
        </is>
      </c>
      <c r="E6119" s="0" t="inlineStr">
        <is>
          <t>HUGO:101800A-S</t>
        </is>
      </c>
      <c r="F6119" s="0" t="inlineStr">
        <is>
          <t>'000000000000</t>
        </is>
      </c>
      <c r="G6119" s="0" t="inlineStr">
        <is>
          <t>MENS</t>
        </is>
      </c>
      <c r="H6119" s="0" t="inlineStr">
        <is>
          <t>S</t>
        </is>
      </c>
      <c r="I6119" s="0">
        <v>31.99</v>
      </c>
      <c r="J6119" s="0">
        <v>0</v>
      </c>
    </row>
    <row r="6120" spans="1:10" customHeight="0">
      <c r="A6120" s="0">
        <f>HYPERLINK("https://dl.dropboxusercontent.com/scl/fi/ktkypttp5e29ga83z1srr/101800-af.jpg?rlkey=zzr698lrqpmg9qqwsg6dd2zia&amp;dl=0","Click to download Image")</f>
      </c>
      <c r="B6120" s="0">
        <f>HYPERLINK("https://dl.dropboxusercontent.com/scl/fi/y16h4a58ejnnasn0572lg/graphic-update2022-mens.jpg?rlkey=zia90ioptxp9w3pyky5dgw4dd&amp;dl=0","Click to download SizeChart")</f>
      </c>
      <c r="C6120" s="0" t="inlineStr">
        <is>
          <t>Hugo Men's T-Shirt</t>
        </is>
      </c>
      <c r="D6120" s="0" t="inlineStr">
        <is>
          <t>'101800</t>
        </is>
      </c>
      <c r="E6120" s="0" t="inlineStr">
        <is>
          <t>HUGO:101800B-M</t>
        </is>
      </c>
      <c r="F6120" s="0" t="inlineStr">
        <is>
          <t>'000000000000</t>
        </is>
      </c>
      <c r="G6120" s="0" t="inlineStr">
        <is>
          <t>MENS</t>
        </is>
      </c>
      <c r="H6120" s="0" t="inlineStr">
        <is>
          <t>M</t>
        </is>
      </c>
      <c r="I6120" s="0">
        <v>31.99</v>
      </c>
      <c r="J6120" s="0">
        <v>0</v>
      </c>
    </row>
    <row r="6121" spans="1:10" customHeight="0">
      <c r="A6121" s="0">
        <f>HYPERLINK("https://dl.dropboxusercontent.com/scl/fi/ktkypttp5e29ga83z1srr/101800-af.jpg?rlkey=zzr698lrqpmg9qqwsg6dd2zia&amp;dl=0","Click to download Image")</f>
      </c>
      <c r="B6121" s="0">
        <f>HYPERLINK("https://dl.dropboxusercontent.com/scl/fi/y16h4a58ejnnasn0572lg/graphic-update2022-mens.jpg?rlkey=zia90ioptxp9w3pyky5dgw4dd&amp;dl=0","Click to download SizeChart")</f>
      </c>
      <c r="C6121" s="0" t="inlineStr">
        <is>
          <t>Hugo Men's T-Shirt</t>
        </is>
      </c>
      <c r="D6121" s="0" t="inlineStr">
        <is>
          <t>'101800</t>
        </is>
      </c>
      <c r="E6121" s="0" t="inlineStr">
        <is>
          <t>HUGO:101800C-L</t>
        </is>
      </c>
      <c r="F6121" s="0" t="inlineStr">
        <is>
          <t>'000000000000</t>
        </is>
      </c>
      <c r="G6121" s="0" t="inlineStr">
        <is>
          <t>MENS</t>
        </is>
      </c>
      <c r="H6121" s="0" t="inlineStr">
        <is>
          <t>L</t>
        </is>
      </c>
      <c r="I6121" s="0">
        <v>31.99</v>
      </c>
      <c r="J6121" s="0">
        <v>4</v>
      </c>
    </row>
    <row r="6122" spans="1:10" customHeight="0">
      <c r="A6122" s="0">
        <f>HYPERLINK("https://dl.dropboxusercontent.com/scl/fi/ktkypttp5e29ga83z1srr/101800-af.jpg?rlkey=zzr698lrqpmg9qqwsg6dd2zia&amp;dl=0","Click to download Image")</f>
      </c>
      <c r="B6122" s="0">
        <f>HYPERLINK("https://dl.dropboxusercontent.com/scl/fi/y16h4a58ejnnasn0572lg/graphic-update2022-mens.jpg?rlkey=zia90ioptxp9w3pyky5dgw4dd&amp;dl=0","Click to download SizeChart")</f>
      </c>
      <c r="C6122" s="0" t="inlineStr">
        <is>
          <t>Hugo Men's T-Shirt</t>
        </is>
      </c>
      <c r="D6122" s="0" t="inlineStr">
        <is>
          <t>'101800</t>
        </is>
      </c>
      <c r="E6122" s="0" t="inlineStr">
        <is>
          <t>HUGO:101800D-XL</t>
        </is>
      </c>
      <c r="F6122" s="0" t="inlineStr">
        <is>
          <t>'000000000000</t>
        </is>
      </c>
      <c r="G6122" s="0" t="inlineStr">
        <is>
          <t>MENS</t>
        </is>
      </c>
      <c r="H6122" s="0" t="inlineStr">
        <is>
          <t>XL</t>
        </is>
      </c>
      <c r="I6122" s="0">
        <v>31.99</v>
      </c>
      <c r="J6122" s="0">
        <v>0</v>
      </c>
    </row>
    <row r="6123" spans="1:10" customHeight="0">
      <c r="A6123" s="0">
        <f>HYPERLINK("https://dl.dropboxusercontent.com/scl/fi/ktkypttp5e29ga83z1srr/101800-af.jpg?rlkey=zzr698lrqpmg9qqwsg6dd2zia&amp;dl=0","Click to download Image")</f>
      </c>
      <c r="B6123" s="0">
        <f>HYPERLINK("https://dl.dropboxusercontent.com/scl/fi/y16h4a58ejnnasn0572lg/graphic-update2022-mens.jpg?rlkey=zia90ioptxp9w3pyky5dgw4dd&amp;dl=0","Click to download SizeChart")</f>
      </c>
      <c r="C6123" s="0" t="inlineStr">
        <is>
          <t>Hugo Men's T-Shirt</t>
        </is>
      </c>
      <c r="D6123" s="0" t="inlineStr">
        <is>
          <t>'101800</t>
        </is>
      </c>
      <c r="E6123" s="0" t="inlineStr">
        <is>
          <t>HUGO:101800E-2XL</t>
        </is>
      </c>
      <c r="F6123" s="0" t="inlineStr">
        <is>
          <t>'000000000000</t>
        </is>
      </c>
      <c r="G6123" s="0" t="inlineStr">
        <is>
          <t>MENS</t>
        </is>
      </c>
      <c r="H6123" s="0" t="inlineStr">
        <is>
          <t>2XL</t>
        </is>
      </c>
      <c r="I6123" s="0">
        <v>33.99</v>
      </c>
      <c r="J6123" s="0">
        <v>6</v>
      </c>
    </row>
    <row r="6124" spans="1:10" customHeight="0">
      <c r="A6124" s="0">
        <f>HYPERLINK("https://dl.dropboxusercontent.com/scl/fi/ktkypttp5e29ga83z1srr/101800-af.jpg?rlkey=zzr698lrqpmg9qqwsg6dd2zia&amp;dl=0","Click to download Image")</f>
      </c>
      <c r="B6124" s="0">
        <f>HYPERLINK("https://dl.dropboxusercontent.com/scl/fi/y16h4a58ejnnasn0572lg/graphic-update2022-mens.jpg?rlkey=zia90ioptxp9w3pyky5dgw4dd&amp;dl=0","Click to download SizeChart")</f>
      </c>
      <c r="C6124" s="0" t="inlineStr">
        <is>
          <t>Hugo Men's T-Shirt</t>
        </is>
      </c>
      <c r="D6124" s="0" t="inlineStr">
        <is>
          <t>'101800</t>
        </is>
      </c>
      <c r="E6124" s="0" t="inlineStr">
        <is>
          <t>HUGO:101800F-3XL</t>
        </is>
      </c>
      <c r="F6124" s="0" t="inlineStr">
        <is>
          <t>'000000000000</t>
        </is>
      </c>
      <c r="G6124" s="0" t="inlineStr">
        <is>
          <t>MENS</t>
        </is>
      </c>
      <c r="H6124" s="0" t="inlineStr">
        <is>
          <t>3XL</t>
        </is>
      </c>
      <c r="I6124" s="0">
        <v>33.99</v>
      </c>
      <c r="J6124" s="0">
        <v>25</v>
      </c>
    </row>
    <row r="6125" spans="1:10" customHeight="0">
      <c r="A6125" s="0">
        <f>HYPERLINK("https://dl.dropboxusercontent.com/scl/fi/ny7mjh5ibtp3r5k1epdjm/104381-af.jpg?rlkey=8gba1t3zuprybedg1zxhjbl0q&amp;dl=0","Click to download Image")</f>
      </c>
      <c r="B6125" s="0">
        <f>HYPERLINK("https://dl.dropboxusercontent.com/scl/fi/y16h4a58ejnnasn0572lg/graphic-update2022-mens.jpg?rlkey=zia90ioptxp9w3pyky5dgw4dd&amp;dl=0","Click to download SizeChart")</f>
      </c>
      <c r="C6125" s="0" t="inlineStr">
        <is>
          <t>Hugo Men's T-Shirt</t>
        </is>
      </c>
      <c r="D6125" s="0" t="inlineStr">
        <is>
          <t>'104381</t>
        </is>
      </c>
      <c r="E6125" s="0" t="inlineStr">
        <is>
          <t>HUGO:104381A-S</t>
        </is>
      </c>
      <c r="F6125" s="0" t="inlineStr">
        <is>
          <t>'000000000000</t>
        </is>
      </c>
      <c r="G6125" s="0" t="inlineStr">
        <is>
          <t>MENS</t>
        </is>
      </c>
      <c r="H6125" s="0" t="inlineStr">
        <is>
          <t>S</t>
        </is>
      </c>
      <c r="I6125" s="0">
        <v>31.99</v>
      </c>
      <c r="J6125" s="0">
        <v>6</v>
      </c>
    </row>
    <row r="6126" spans="1:10" customHeight="0">
      <c r="A6126" s="0">
        <f>HYPERLINK("https://dl.dropboxusercontent.com/scl/fi/ny7mjh5ibtp3r5k1epdjm/104381-af.jpg?rlkey=8gba1t3zuprybedg1zxhjbl0q&amp;dl=0","Click to download Image")</f>
      </c>
      <c r="B6126" s="0">
        <f>HYPERLINK("https://dl.dropboxusercontent.com/scl/fi/y16h4a58ejnnasn0572lg/graphic-update2022-mens.jpg?rlkey=zia90ioptxp9w3pyky5dgw4dd&amp;dl=0","Click to download SizeChart")</f>
      </c>
      <c r="C6126" s="0" t="inlineStr">
        <is>
          <t>Hugo Men's T-Shirt</t>
        </is>
      </c>
      <c r="D6126" s="0" t="inlineStr">
        <is>
          <t>'104381</t>
        </is>
      </c>
      <c r="E6126" s="0" t="inlineStr">
        <is>
          <t>HUGO:104381B-M</t>
        </is>
      </c>
      <c r="F6126" s="0" t="inlineStr">
        <is>
          <t>'000000000000</t>
        </is>
      </c>
      <c r="G6126" s="0" t="inlineStr">
        <is>
          <t>MENS</t>
        </is>
      </c>
      <c r="H6126" s="0" t="inlineStr">
        <is>
          <t>M</t>
        </is>
      </c>
      <c r="I6126" s="0">
        <v>31.99</v>
      </c>
      <c r="J6126" s="0">
        <v>0</v>
      </c>
    </row>
    <row r="6127" spans="1:10" customHeight="0">
      <c r="A6127" s="0">
        <f>HYPERLINK("https://dl.dropboxusercontent.com/scl/fi/ny7mjh5ibtp3r5k1epdjm/104381-af.jpg?rlkey=8gba1t3zuprybedg1zxhjbl0q&amp;dl=0","Click to download Image")</f>
      </c>
      <c r="B6127" s="0">
        <f>HYPERLINK("https://dl.dropboxusercontent.com/scl/fi/y16h4a58ejnnasn0572lg/graphic-update2022-mens.jpg?rlkey=zia90ioptxp9w3pyky5dgw4dd&amp;dl=0","Click to download SizeChart")</f>
      </c>
      <c r="C6127" s="0" t="inlineStr">
        <is>
          <t>Hugo Men's T-Shirt</t>
        </is>
      </c>
      <c r="D6127" s="0" t="inlineStr">
        <is>
          <t>'104381</t>
        </is>
      </c>
      <c r="E6127" s="0" t="inlineStr">
        <is>
          <t>HUGO:104381C-L</t>
        </is>
      </c>
      <c r="F6127" s="0" t="inlineStr">
        <is>
          <t>'000000000000</t>
        </is>
      </c>
      <c r="G6127" s="0" t="inlineStr">
        <is>
          <t>MENS</t>
        </is>
      </c>
      <c r="H6127" s="0" t="inlineStr">
        <is>
          <t>L</t>
        </is>
      </c>
      <c r="I6127" s="0">
        <v>31.99</v>
      </c>
      <c r="J6127" s="0">
        <v>0</v>
      </c>
    </row>
    <row r="6128" spans="1:10" customHeight="0">
      <c r="A6128" s="0">
        <f>HYPERLINK("https://dl.dropboxusercontent.com/scl/fi/ny7mjh5ibtp3r5k1epdjm/104381-af.jpg?rlkey=8gba1t3zuprybedg1zxhjbl0q&amp;dl=0","Click to download Image")</f>
      </c>
      <c r="B6128" s="0">
        <f>HYPERLINK("https://dl.dropboxusercontent.com/scl/fi/y16h4a58ejnnasn0572lg/graphic-update2022-mens.jpg?rlkey=zia90ioptxp9w3pyky5dgw4dd&amp;dl=0","Click to download SizeChart")</f>
      </c>
      <c r="C6128" s="0" t="inlineStr">
        <is>
          <t>Hugo Men's T-Shirt</t>
        </is>
      </c>
      <c r="D6128" s="0" t="inlineStr">
        <is>
          <t>'104381</t>
        </is>
      </c>
      <c r="E6128" s="0" t="inlineStr">
        <is>
          <t>HUGO:104381D-XL</t>
        </is>
      </c>
      <c r="F6128" s="0" t="inlineStr">
        <is>
          <t>'000000000000</t>
        </is>
      </c>
      <c r="G6128" s="0" t="inlineStr">
        <is>
          <t>MENS</t>
        </is>
      </c>
      <c r="H6128" s="0" t="inlineStr">
        <is>
          <t>XL</t>
        </is>
      </c>
      <c r="I6128" s="0">
        <v>31.99</v>
      </c>
      <c r="J6128" s="0">
        <v>5</v>
      </c>
    </row>
    <row r="6129" spans="1:10" customHeight="0">
      <c r="A6129" s="0">
        <f>HYPERLINK("https://dl.dropboxusercontent.com/scl/fi/ny7mjh5ibtp3r5k1epdjm/104381-af.jpg?rlkey=8gba1t3zuprybedg1zxhjbl0q&amp;dl=0","Click to download Image")</f>
      </c>
      <c r="B6129" s="0">
        <f>HYPERLINK("https://dl.dropboxusercontent.com/scl/fi/y16h4a58ejnnasn0572lg/graphic-update2022-mens.jpg?rlkey=zia90ioptxp9w3pyky5dgw4dd&amp;dl=0","Click to download SizeChart")</f>
      </c>
      <c r="C6129" s="0" t="inlineStr">
        <is>
          <t>Hugo Men's T-Shirt</t>
        </is>
      </c>
      <c r="D6129" s="0" t="inlineStr">
        <is>
          <t>'104381</t>
        </is>
      </c>
      <c r="E6129" s="0" t="inlineStr">
        <is>
          <t>HUGO:104381E-2XL</t>
        </is>
      </c>
      <c r="F6129" s="0" t="inlineStr">
        <is>
          <t>'000000000000</t>
        </is>
      </c>
      <c r="G6129" s="0" t="inlineStr">
        <is>
          <t>MENS</t>
        </is>
      </c>
      <c r="H6129" s="0" t="inlineStr">
        <is>
          <t>2XL</t>
        </is>
      </c>
      <c r="I6129" s="0">
        <v>33.99</v>
      </c>
      <c r="J6129" s="0">
        <v>1</v>
      </c>
    </row>
    <row r="6130" spans="1:10" customHeight="0">
      <c r="A6130" s="0">
        <f>HYPERLINK("https://dl.dropboxusercontent.com/scl/fi/ny7mjh5ibtp3r5k1epdjm/104381-af.jpg?rlkey=8gba1t3zuprybedg1zxhjbl0q&amp;dl=0","Click to download Image")</f>
      </c>
      <c r="B6130" s="0">
        <f>HYPERLINK("https://dl.dropboxusercontent.com/scl/fi/y16h4a58ejnnasn0572lg/graphic-update2022-mens.jpg?rlkey=zia90ioptxp9w3pyky5dgw4dd&amp;dl=0","Click to download SizeChart")</f>
      </c>
      <c r="C6130" s="0" t="inlineStr">
        <is>
          <t>Hugo Men's T-Shirt</t>
        </is>
      </c>
      <c r="D6130" s="0" t="inlineStr">
        <is>
          <t>'104381</t>
        </is>
      </c>
      <c r="E6130" s="0" t="inlineStr">
        <is>
          <t>HUGO:104381F-3XL</t>
        </is>
      </c>
      <c r="F6130" s="0" t="inlineStr">
        <is>
          <t>'000000000000</t>
        </is>
      </c>
      <c r="G6130" s="0" t="inlineStr">
        <is>
          <t>MENS</t>
        </is>
      </c>
      <c r="H6130" s="0" t="inlineStr">
        <is>
          <t>3XL</t>
        </is>
      </c>
      <c r="I6130" s="0">
        <v>33.99</v>
      </c>
      <c r="J6130" s="0">
        <v>6</v>
      </c>
    </row>
    <row r="6131" spans="1:10" customHeight="0">
      <c r="A6131" s="0">
        <f>HYPERLINK("https://dl.dropboxusercontent.com/scl/fi/cqd73jlzo4dq8pipb95s4/mac.jpg?rlkey=4xpkbhjuiq8s9j13etv42pj2e&amp;dl=0","Click to download Image")</f>
      </c>
      <c r="B6131" s="0">
        <f>HYPERLINK("https://dl.dropboxusercontent.com/scl/fi/xpsnijjodet523f8kp6a1/mens-b.jpg?rlkey=cqoxbiycai7vqcfoexnpfccmc&amp;dl=0","Click to download SizeChart")</f>
      </c>
      <c r="C6131" s="0" t="inlineStr">
        <is>
          <t>Mac Men's Jacket</t>
        </is>
      </c>
      <c r="D6131" s="0" t="inlineStr">
        <is>
          <t>'95921</t>
        </is>
      </c>
      <c r="E6131" s="0" t="inlineStr">
        <is>
          <t>MAC:95921A-S</t>
        </is>
      </c>
      <c r="F6131" s="0" t="inlineStr">
        <is>
          <t>'000000000000</t>
        </is>
      </c>
      <c r="G6131" s="0" t="inlineStr">
        <is>
          <t>MENS</t>
        </is>
      </c>
      <c r="H6131" s="0" t="inlineStr">
        <is>
          <t>S</t>
        </is>
      </c>
      <c r="I6131" s="0">
        <v>59.99</v>
      </c>
      <c r="J6131" s="0">
        <v>7</v>
      </c>
    </row>
    <row r="6132" spans="1:10" customHeight="0">
      <c r="A6132" s="0">
        <f>HYPERLINK("https://dl.dropboxusercontent.com/scl/fi/cqd73jlzo4dq8pipb95s4/mac.jpg?rlkey=4xpkbhjuiq8s9j13etv42pj2e&amp;dl=0","Click to download Image")</f>
      </c>
      <c r="B6132" s="0">
        <f>HYPERLINK("https://dl.dropboxusercontent.com/scl/fi/xpsnijjodet523f8kp6a1/mens-b.jpg?rlkey=cqoxbiycai7vqcfoexnpfccmc&amp;dl=0","Click to download SizeChart")</f>
      </c>
      <c r="C6132" s="0" t="inlineStr">
        <is>
          <t>Mac Men's Jacket</t>
        </is>
      </c>
      <c r="D6132" s="0" t="inlineStr">
        <is>
          <t>'95921</t>
        </is>
      </c>
      <c r="E6132" s="0" t="inlineStr">
        <is>
          <t>MAC:95921B-M</t>
        </is>
      </c>
      <c r="F6132" s="0" t="inlineStr">
        <is>
          <t>'000000000000</t>
        </is>
      </c>
      <c r="G6132" s="0" t="inlineStr">
        <is>
          <t>MENS</t>
        </is>
      </c>
      <c r="H6132" s="0" t="inlineStr">
        <is>
          <t>M</t>
        </is>
      </c>
      <c r="I6132" s="0">
        <v>59.99</v>
      </c>
      <c r="J6132" s="0">
        <v>18</v>
      </c>
    </row>
    <row r="6133" spans="1:10" customHeight="0">
      <c r="A6133" s="0">
        <f>HYPERLINK("https://dl.dropboxusercontent.com/scl/fi/cqd73jlzo4dq8pipb95s4/mac.jpg?rlkey=4xpkbhjuiq8s9j13etv42pj2e&amp;dl=0","Click to download Image")</f>
      </c>
      <c r="B6133" s="0">
        <f>HYPERLINK("https://dl.dropboxusercontent.com/scl/fi/xpsnijjodet523f8kp6a1/mens-b.jpg?rlkey=cqoxbiycai7vqcfoexnpfccmc&amp;dl=0","Click to download SizeChart")</f>
      </c>
      <c r="C6133" s="0" t="inlineStr">
        <is>
          <t>Mac Men's Jacket</t>
        </is>
      </c>
      <c r="D6133" s="0" t="inlineStr">
        <is>
          <t>'95921</t>
        </is>
      </c>
      <c r="E6133" s="0" t="inlineStr">
        <is>
          <t>MAC:95921C-L</t>
        </is>
      </c>
      <c r="F6133" s="0" t="inlineStr">
        <is>
          <t>'000000000000</t>
        </is>
      </c>
      <c r="G6133" s="0" t="inlineStr">
        <is>
          <t>MENS</t>
        </is>
      </c>
      <c r="H6133" s="0" t="inlineStr">
        <is>
          <t>L</t>
        </is>
      </c>
      <c r="I6133" s="0">
        <v>59.99</v>
      </c>
      <c r="J6133" s="0">
        <v>0</v>
      </c>
    </row>
    <row r="6134" spans="1:10" customHeight="0">
      <c r="A6134" s="0">
        <f>HYPERLINK("https://dl.dropboxusercontent.com/scl/fi/cqd73jlzo4dq8pipb95s4/mac.jpg?rlkey=4xpkbhjuiq8s9j13etv42pj2e&amp;dl=0","Click to download Image")</f>
      </c>
      <c r="B6134" s="0">
        <f>HYPERLINK("https://dl.dropboxusercontent.com/scl/fi/xpsnijjodet523f8kp6a1/mens-b.jpg?rlkey=cqoxbiycai7vqcfoexnpfccmc&amp;dl=0","Click to download SizeChart")</f>
      </c>
      <c r="C6134" s="0" t="inlineStr">
        <is>
          <t>Mac Men's Jacket</t>
        </is>
      </c>
      <c r="D6134" s="0" t="inlineStr">
        <is>
          <t>'95921</t>
        </is>
      </c>
      <c r="E6134" s="0" t="inlineStr">
        <is>
          <t>MAC:95921-XL</t>
        </is>
      </c>
      <c r="F6134" s="0" t="inlineStr">
        <is>
          <t>'000000000000</t>
        </is>
      </c>
      <c r="G6134" s="0" t="inlineStr">
        <is>
          <t>MENS</t>
        </is>
      </c>
      <c r="H6134" s="0" t="inlineStr">
        <is>
          <t>XL</t>
        </is>
      </c>
      <c r="I6134" s="0">
        <v>59.99</v>
      </c>
      <c r="J6134" s="0">
        <v>4</v>
      </c>
    </row>
    <row r="6135" spans="1:10" customHeight="0">
      <c r="A6135" s="0">
        <f>HYPERLINK("https://dl.dropboxusercontent.com/scl/fi/cqd73jlzo4dq8pipb95s4/mac.jpg?rlkey=4xpkbhjuiq8s9j13etv42pj2e&amp;dl=0","Click to download Image")</f>
      </c>
      <c r="B6135" s="0">
        <f>HYPERLINK("https://dl.dropboxusercontent.com/scl/fi/xpsnijjodet523f8kp6a1/mens-b.jpg?rlkey=cqoxbiycai7vqcfoexnpfccmc&amp;dl=0","Click to download SizeChart")</f>
      </c>
      <c r="C6135" s="0" t="inlineStr">
        <is>
          <t>Mac Men's Jacket</t>
        </is>
      </c>
      <c r="D6135" s="0" t="inlineStr">
        <is>
          <t>'95921</t>
        </is>
      </c>
      <c r="E6135" s="0" t="inlineStr">
        <is>
          <t>MAC:95921E-2X</t>
        </is>
      </c>
      <c r="F6135" s="0" t="inlineStr">
        <is>
          <t>'000000000000</t>
        </is>
      </c>
      <c r="G6135" s="0" t="inlineStr">
        <is>
          <t>MENS</t>
        </is>
      </c>
      <c r="H6135" s="0" t="inlineStr">
        <is>
          <t>2XL</t>
        </is>
      </c>
      <c r="I6135" s="0">
        <v>61.99</v>
      </c>
      <c r="J6135" s="0">
        <v>7</v>
      </c>
    </row>
    <row r="6136" spans="1:10" customHeight="0">
      <c r="A6136" s="0">
        <f>HYPERLINK("https://dl.dropboxusercontent.com/scl/fi/cqd73jlzo4dq8pipb95s4/mac.jpg?rlkey=4xpkbhjuiq8s9j13etv42pj2e&amp;dl=0","Click to download Image")</f>
      </c>
      <c r="B6136" s="0">
        <f>HYPERLINK("https://dl.dropboxusercontent.com/scl/fi/xpsnijjodet523f8kp6a1/mens-b.jpg?rlkey=cqoxbiycai7vqcfoexnpfccmc&amp;dl=0","Click to download SizeChart")</f>
      </c>
      <c r="C6136" s="0" t="inlineStr">
        <is>
          <t>Mac Men's Jacket</t>
        </is>
      </c>
      <c r="D6136" s="0" t="inlineStr">
        <is>
          <t>'95921</t>
        </is>
      </c>
      <c r="E6136" s="0" t="inlineStr">
        <is>
          <t>MAC:95921F-3X</t>
        </is>
      </c>
      <c r="F6136" s="0" t="inlineStr">
        <is>
          <t>'000000000000</t>
        </is>
      </c>
      <c r="G6136" s="0" t="inlineStr">
        <is>
          <t>MENS</t>
        </is>
      </c>
      <c r="H6136" s="0" t="inlineStr">
        <is>
          <t>3XL</t>
        </is>
      </c>
      <c r="I6136" s="0">
        <v>61.99</v>
      </c>
      <c r="J6136" s="0">
        <v>2</v>
      </c>
    </row>
    <row r="6137" spans="1:10" customHeight="0">
      <c r="A6137" s="0">
        <f>HYPERLINK("https://dl.dropboxusercontent.com/scl/fi/je0q7tv7zg46bk7xh8nqs/94644af14256.jpg?rlkey=5lze7ejfx9ctw9iwhjpaxtizv&amp;dl=0","Click to download Image")</f>
      </c>
      <c r="B6137" s="0">
        <f>HYPERLINK("https://dl.dropboxusercontent.com/scl/fi/yzmytj22s1nmkrqd0yevd/mens-e.jpg?rlkey=2uqnhokyz2gfxf7c4u3ragb79&amp;dl=0","Click to download SizeChart")</f>
      </c>
      <c r="C6137" s="0" t="inlineStr">
        <is>
          <t>Harris Men's Polo</t>
        </is>
      </c>
      <c r="D6137" s="0" t="inlineStr">
        <is>
          <t>'94644</t>
        </is>
      </c>
      <c r="E6137" s="0" t="inlineStr">
        <is>
          <t>HARRIS:94644A-S</t>
        </is>
      </c>
      <c r="F6137" s="0" t="inlineStr">
        <is>
          <t>'000000000000</t>
        </is>
      </c>
      <c r="G6137" s="0" t="inlineStr">
        <is>
          <t>MENS</t>
        </is>
      </c>
      <c r="H6137" s="0" t="inlineStr">
        <is>
          <t>S</t>
        </is>
      </c>
      <c r="I6137" s="0">
        <v>39.99</v>
      </c>
      <c r="J6137" s="0">
        <v>23</v>
      </c>
    </row>
    <row r="6138" spans="1:10" customHeight="0">
      <c r="A6138" s="0">
        <f>HYPERLINK("https://dl.dropboxusercontent.com/scl/fi/je0q7tv7zg46bk7xh8nqs/94644af14256.jpg?rlkey=5lze7ejfx9ctw9iwhjpaxtizv&amp;dl=0","Click to download Image")</f>
      </c>
      <c r="B6138" s="0">
        <f>HYPERLINK("https://dl.dropboxusercontent.com/scl/fi/yzmytj22s1nmkrqd0yevd/mens-e.jpg?rlkey=2uqnhokyz2gfxf7c4u3ragb79&amp;dl=0","Click to download SizeChart")</f>
      </c>
      <c r="C6138" s="0" t="inlineStr">
        <is>
          <t>Harris Men's Polo</t>
        </is>
      </c>
      <c r="D6138" s="0" t="inlineStr">
        <is>
          <t>'94644</t>
        </is>
      </c>
      <c r="E6138" s="0" t="inlineStr">
        <is>
          <t>HARRIS:94644B-M</t>
        </is>
      </c>
      <c r="F6138" s="0" t="inlineStr">
        <is>
          <t>'000000000000</t>
        </is>
      </c>
      <c r="G6138" s="0" t="inlineStr">
        <is>
          <t>MENS</t>
        </is>
      </c>
      <c r="H6138" s="0" t="inlineStr">
        <is>
          <t>M</t>
        </is>
      </c>
      <c r="I6138" s="0">
        <v>39.99</v>
      </c>
      <c r="J6138" s="0">
        <v>15</v>
      </c>
    </row>
    <row r="6139" spans="1:10" customHeight="0">
      <c r="A6139" s="0">
        <f>HYPERLINK("https://dl.dropboxusercontent.com/scl/fi/je0q7tv7zg46bk7xh8nqs/94644af14256.jpg?rlkey=5lze7ejfx9ctw9iwhjpaxtizv&amp;dl=0","Click to download Image")</f>
      </c>
      <c r="B6139" s="0">
        <f>HYPERLINK("https://dl.dropboxusercontent.com/scl/fi/yzmytj22s1nmkrqd0yevd/mens-e.jpg?rlkey=2uqnhokyz2gfxf7c4u3ragb79&amp;dl=0","Click to download SizeChart")</f>
      </c>
      <c r="C6139" s="0" t="inlineStr">
        <is>
          <t>Harris Men's Polo</t>
        </is>
      </c>
      <c r="D6139" s="0" t="inlineStr">
        <is>
          <t>'94644</t>
        </is>
      </c>
      <c r="E6139" s="0" t="inlineStr">
        <is>
          <t>HARRIS:94644C-L</t>
        </is>
      </c>
      <c r="F6139" s="0" t="inlineStr">
        <is>
          <t>'000000000000</t>
        </is>
      </c>
      <c r="G6139" s="0" t="inlineStr">
        <is>
          <t>MENS</t>
        </is>
      </c>
      <c r="H6139" s="0" t="inlineStr">
        <is>
          <t>L</t>
        </is>
      </c>
      <c r="I6139" s="0">
        <v>39.99</v>
      </c>
      <c r="J6139" s="0">
        <v>1</v>
      </c>
    </row>
    <row r="6140" spans="1:10" customHeight="0">
      <c r="A6140" s="0">
        <f>HYPERLINK("https://dl.dropboxusercontent.com/scl/fi/je0q7tv7zg46bk7xh8nqs/94644af14256.jpg?rlkey=5lze7ejfx9ctw9iwhjpaxtizv&amp;dl=0","Click to download Image")</f>
      </c>
      <c r="B6140" s="0">
        <f>HYPERLINK("https://dl.dropboxusercontent.com/scl/fi/yzmytj22s1nmkrqd0yevd/mens-e.jpg?rlkey=2uqnhokyz2gfxf7c4u3ragb79&amp;dl=0","Click to download SizeChart")</f>
      </c>
      <c r="C6140" s="0" t="inlineStr">
        <is>
          <t>Harris Men's Polo</t>
        </is>
      </c>
      <c r="D6140" s="0" t="inlineStr">
        <is>
          <t>'94644</t>
        </is>
      </c>
      <c r="E6140" s="0" t="inlineStr">
        <is>
          <t>HARRIS:94644G-4XL</t>
        </is>
      </c>
      <c r="F6140" s="0" t="inlineStr">
        <is>
          <t>'000000000000</t>
        </is>
      </c>
      <c r="G6140" s="0" t="inlineStr">
        <is>
          <t>MENS</t>
        </is>
      </c>
      <c r="H6140" s="0" t="inlineStr">
        <is>
          <t>4XL</t>
        </is>
      </c>
      <c r="I6140" s="0">
        <v>39.99</v>
      </c>
      <c r="J6140" s="0">
        <v>2</v>
      </c>
    </row>
    <row r="6141" spans="1:10" customHeight="0">
      <c r="A6141" s="0">
        <f>HYPERLINK("https://dl.dropboxusercontent.com/scl/fi/je0q7tv7zg46bk7xh8nqs/94644af14256.jpg?rlkey=5lze7ejfx9ctw9iwhjpaxtizv&amp;dl=0","Click to download Image")</f>
      </c>
      <c r="B6141" s="0">
        <f>HYPERLINK("https://dl.dropboxusercontent.com/scl/fi/yzmytj22s1nmkrqd0yevd/mens-e.jpg?rlkey=2uqnhokyz2gfxf7c4u3ragb79&amp;dl=0","Click to download SizeChart")</f>
      </c>
      <c r="C6141" s="0" t="inlineStr">
        <is>
          <t>Harris Men's Polo</t>
        </is>
      </c>
      <c r="D6141" s="0" t="inlineStr">
        <is>
          <t>'94644</t>
        </is>
      </c>
      <c r="E6141" s="0" t="inlineStr">
        <is>
          <t>HARRIS:94644H-5XL</t>
        </is>
      </c>
      <c r="F6141" s="0" t="inlineStr">
        <is>
          <t>'000000000000</t>
        </is>
      </c>
      <c r="G6141" s="0" t="inlineStr">
        <is>
          <t>MENS</t>
        </is>
      </c>
      <c r="H6141" s="0" t="inlineStr">
        <is>
          <t>5XL</t>
        </is>
      </c>
      <c r="I6141" s="0">
        <v>39.99</v>
      </c>
      <c r="J6141" s="0">
        <v>3</v>
      </c>
    </row>
    <row r="6142" spans="1:10" customHeight="0">
      <c r="A6142" s="0">
        <f>HYPERLINK("https://dl.dropboxusercontent.com/scl/fi/je0q7tv7zg46bk7xh8nqs/94644af14256.jpg?rlkey=5lze7ejfx9ctw9iwhjpaxtizv&amp;dl=0","Click to download Image")</f>
      </c>
      <c r="B6142" s="0">
        <f>HYPERLINK("https://dl.dropboxusercontent.com/scl/fi/yzmytj22s1nmkrqd0yevd/mens-e.jpg?rlkey=2uqnhokyz2gfxf7c4u3ragb79&amp;dl=0","Click to download SizeChart")</f>
      </c>
      <c r="C6142" s="0" t="inlineStr">
        <is>
          <t>Harris Men's Polo</t>
        </is>
      </c>
      <c r="D6142" s="0" t="inlineStr">
        <is>
          <t>'94644</t>
        </is>
      </c>
      <c r="E6142" s="0" t="inlineStr">
        <is>
          <t>HARRIS:94644I-6XL</t>
        </is>
      </c>
      <c r="F6142" s="0" t="inlineStr">
        <is>
          <t>'000000000000</t>
        </is>
      </c>
      <c r="G6142" s="0" t="inlineStr">
        <is>
          <t>MENS</t>
        </is>
      </c>
      <c r="H6142" s="0" t="inlineStr">
        <is>
          <t>6XL</t>
        </is>
      </c>
      <c r="I6142" s="0">
        <v>39.99</v>
      </c>
      <c r="J6142" s="0">
        <v>3</v>
      </c>
    </row>
    <row r="6143" spans="1:10" customHeight="0">
      <c r="A6143" s="0">
        <f>HYPERLINK("https://dl.dropboxusercontent.com/scl/fi/je0q7tv7zg46bk7xh8nqs/94644af14256.jpg?rlkey=5lze7ejfx9ctw9iwhjpaxtizv&amp;dl=0","Click to download Image")</f>
      </c>
      <c r="B6143" s="0">
        <f>HYPERLINK("https://dl.dropboxusercontent.com/scl/fi/yzmytj22s1nmkrqd0yevd/mens-e.jpg?rlkey=2uqnhokyz2gfxf7c4u3ragb79&amp;dl=0","Click to download SizeChart")</f>
      </c>
      <c r="C6143" s="0" t="inlineStr">
        <is>
          <t>Harris Men's Polo</t>
        </is>
      </c>
      <c r="D6143" s="0" t="inlineStr">
        <is>
          <t>'94644</t>
        </is>
      </c>
      <c r="E6143" s="0" t="inlineStr">
        <is>
          <t>HARRIS:94644J-7XL</t>
        </is>
      </c>
      <c r="F6143" s="0" t="inlineStr">
        <is>
          <t>'000000000000</t>
        </is>
      </c>
      <c r="G6143" s="0" t="inlineStr">
        <is>
          <t>MENS</t>
        </is>
      </c>
      <c r="H6143" s="0" t="inlineStr">
        <is>
          <t>7XL</t>
        </is>
      </c>
      <c r="I6143" s="0">
        <v>44.99</v>
      </c>
      <c r="J6143" s="0">
        <v>2</v>
      </c>
    </row>
    <row r="6144" spans="1:10" customHeight="0">
      <c r="A6144" s="0">
        <f>HYPERLINK("https://dl.dropboxusercontent.com/scl/fi/je0q7tv7zg46bk7xh8nqs/94644af14256.jpg?rlkey=5lze7ejfx9ctw9iwhjpaxtizv&amp;dl=0","Click to download Image")</f>
      </c>
      <c r="B6144" s="0">
        <f>HYPERLINK("https://dl.dropboxusercontent.com/scl/fi/yzmytj22s1nmkrqd0yevd/mens-e.jpg?rlkey=2uqnhokyz2gfxf7c4u3ragb79&amp;dl=0","Click to download SizeChart")</f>
      </c>
      <c r="C6144" s="0" t="inlineStr">
        <is>
          <t>Harris Men's Polo</t>
        </is>
      </c>
      <c r="D6144" s="0" t="inlineStr">
        <is>
          <t>'94644</t>
        </is>
      </c>
      <c r="E6144" s="0" t="inlineStr">
        <is>
          <t>HARRIS:94644K-8XL</t>
        </is>
      </c>
      <c r="F6144" s="0" t="inlineStr">
        <is>
          <t>'000000000000</t>
        </is>
      </c>
      <c r="G6144" s="0" t="inlineStr">
        <is>
          <t>MENS</t>
        </is>
      </c>
      <c r="H6144" s="0" t="inlineStr">
        <is>
          <t>8XL</t>
        </is>
      </c>
      <c r="I6144" s="0">
        <v>45.49</v>
      </c>
      <c r="J6144" s="0">
        <v>3</v>
      </c>
    </row>
    <row r="6145" spans="1:10" customHeight="0">
      <c r="A6145" s="0">
        <f>HYPERLINK("https://dl.dropboxusercontent.com/scl/fi/6rx0q1m53428a17q1kuj9/95574af12019.jpg?rlkey=6dckhlrxxfx7aebutxtkml9cu&amp;dl=0","Click to download Image")</f>
      </c>
      <c r="B6145" s="0">
        <f>HYPERLINK("https://dl.dropboxusercontent.com/scl/fi/yzmytj22s1nmkrqd0yevd/mens-e.jpg?rlkey=2uqnhokyz2gfxf7c4u3ragb79&amp;dl=0","Click to download SizeChart")</f>
      </c>
      <c r="C6145" s="0" t="inlineStr">
        <is>
          <t>Harris Men's Polo</t>
        </is>
      </c>
      <c r="D6145" s="0" t="inlineStr">
        <is>
          <t>'95574</t>
        </is>
      </c>
      <c r="E6145" s="0" t="inlineStr">
        <is>
          <t>HARRIS:95574A-S</t>
        </is>
      </c>
      <c r="F6145" s="0" t="inlineStr">
        <is>
          <t>'000000000000</t>
        </is>
      </c>
      <c r="G6145" s="0" t="inlineStr">
        <is>
          <t>MENS</t>
        </is>
      </c>
      <c r="H6145" s="0" t="inlineStr">
        <is>
          <t>S</t>
        </is>
      </c>
      <c r="I6145" s="0">
        <v>39.99</v>
      </c>
      <c r="J6145" s="0">
        <v>32</v>
      </c>
    </row>
    <row r="6146" spans="1:10" customHeight="0">
      <c r="A6146" s="0">
        <f>HYPERLINK("https://dl.dropboxusercontent.com/scl/fi/6rx0q1m53428a17q1kuj9/95574af12019.jpg?rlkey=6dckhlrxxfx7aebutxtkml9cu&amp;dl=0","Click to download Image")</f>
      </c>
      <c r="B6146" s="0">
        <f>HYPERLINK("https://dl.dropboxusercontent.com/scl/fi/yzmytj22s1nmkrqd0yevd/mens-e.jpg?rlkey=2uqnhokyz2gfxf7c4u3ragb79&amp;dl=0","Click to download SizeChart")</f>
      </c>
      <c r="C6146" s="0" t="inlineStr">
        <is>
          <t>Harris Men's Polo</t>
        </is>
      </c>
      <c r="D6146" s="0" t="inlineStr">
        <is>
          <t>'95574</t>
        </is>
      </c>
      <c r="E6146" s="0" t="inlineStr">
        <is>
          <t>HARRIS:95574B-M</t>
        </is>
      </c>
      <c r="F6146" s="0" t="inlineStr">
        <is>
          <t>'000000000000</t>
        </is>
      </c>
      <c r="G6146" s="0" t="inlineStr">
        <is>
          <t>MENS</t>
        </is>
      </c>
      <c r="H6146" s="0" t="inlineStr">
        <is>
          <t>M</t>
        </is>
      </c>
      <c r="I6146" s="0">
        <v>39.99</v>
      </c>
      <c r="J6146" s="0">
        <v>52</v>
      </c>
    </row>
    <row r="6147" spans="1:10" customHeight="0">
      <c r="A6147" s="0">
        <f>HYPERLINK("https://dl.dropboxusercontent.com/scl/fi/6rx0q1m53428a17q1kuj9/95574af12019.jpg?rlkey=6dckhlrxxfx7aebutxtkml9cu&amp;dl=0","Click to download Image")</f>
      </c>
      <c r="B6147" s="0">
        <f>HYPERLINK("https://dl.dropboxusercontent.com/scl/fi/yzmytj22s1nmkrqd0yevd/mens-e.jpg?rlkey=2uqnhokyz2gfxf7c4u3ragb79&amp;dl=0","Click to download SizeChart")</f>
      </c>
      <c r="C6147" s="0" t="inlineStr">
        <is>
          <t>Harris Men's Polo</t>
        </is>
      </c>
      <c r="D6147" s="0" t="inlineStr">
        <is>
          <t>'95574</t>
        </is>
      </c>
      <c r="E6147" s="0" t="inlineStr">
        <is>
          <t>HARRIS:95574C-L</t>
        </is>
      </c>
      <c r="F6147" s="0" t="inlineStr">
        <is>
          <t>'000000000000</t>
        </is>
      </c>
      <c r="G6147" s="0" t="inlineStr">
        <is>
          <t>MENS</t>
        </is>
      </c>
      <c r="H6147" s="0" t="inlineStr">
        <is>
          <t>L</t>
        </is>
      </c>
      <c r="I6147" s="0">
        <v>39.99</v>
      </c>
      <c r="J6147" s="0">
        <v>64</v>
      </c>
    </row>
    <row r="6148" spans="1:10" customHeight="0">
      <c r="A6148" s="0">
        <f>HYPERLINK("https://dl.dropboxusercontent.com/scl/fi/6rx0q1m53428a17q1kuj9/95574af12019.jpg?rlkey=6dckhlrxxfx7aebutxtkml9cu&amp;dl=0","Click to download Image")</f>
      </c>
      <c r="B6148" s="0">
        <f>HYPERLINK("https://dl.dropboxusercontent.com/scl/fi/yzmytj22s1nmkrqd0yevd/mens-e.jpg?rlkey=2uqnhokyz2gfxf7c4u3ragb79&amp;dl=0","Click to download SizeChart")</f>
      </c>
      <c r="C6148" s="0" t="inlineStr">
        <is>
          <t>Harris Men's Polo</t>
        </is>
      </c>
      <c r="D6148" s="0" t="inlineStr">
        <is>
          <t>'95574</t>
        </is>
      </c>
      <c r="E6148" s="0" t="inlineStr">
        <is>
          <t>HARRIS:95574D-XL</t>
        </is>
      </c>
      <c r="F6148" s="0" t="inlineStr">
        <is>
          <t>'000000000000</t>
        </is>
      </c>
      <c r="G6148" s="0" t="inlineStr">
        <is>
          <t>MENS</t>
        </is>
      </c>
      <c r="H6148" s="0" t="inlineStr">
        <is>
          <t>XL</t>
        </is>
      </c>
      <c r="I6148" s="0">
        <v>39.99</v>
      </c>
      <c r="J6148" s="0">
        <v>69</v>
      </c>
    </row>
    <row r="6149" spans="1:10" customHeight="0">
      <c r="A6149" s="0">
        <f>HYPERLINK("https://dl.dropboxusercontent.com/scl/fi/6rx0q1m53428a17q1kuj9/95574af12019.jpg?rlkey=6dckhlrxxfx7aebutxtkml9cu&amp;dl=0","Click to download Image")</f>
      </c>
      <c r="B6149" s="0">
        <f>HYPERLINK("https://dl.dropboxusercontent.com/scl/fi/yzmytj22s1nmkrqd0yevd/mens-e.jpg?rlkey=2uqnhokyz2gfxf7c4u3ragb79&amp;dl=0","Click to download SizeChart")</f>
      </c>
      <c r="C6149" s="0" t="inlineStr">
        <is>
          <t>Harris Men's Polo</t>
        </is>
      </c>
      <c r="D6149" s="0" t="inlineStr">
        <is>
          <t>'95574</t>
        </is>
      </c>
      <c r="E6149" s="0" t="inlineStr">
        <is>
          <t>HARRIS:95574E-2XL</t>
        </is>
      </c>
      <c r="F6149" s="0" t="inlineStr">
        <is>
          <t>'000000000000</t>
        </is>
      </c>
      <c r="G6149" s="0" t="inlineStr">
        <is>
          <t>MENS</t>
        </is>
      </c>
      <c r="H6149" s="0" t="inlineStr">
        <is>
          <t>2XL</t>
        </is>
      </c>
      <c r="I6149" s="0">
        <v>41.99</v>
      </c>
      <c r="J6149" s="0">
        <v>47</v>
      </c>
    </row>
    <row r="6150" spans="1:10" customHeight="0">
      <c r="A6150" s="0">
        <f>HYPERLINK("https://dl.dropboxusercontent.com/scl/fi/6rx0q1m53428a17q1kuj9/95574af12019.jpg?rlkey=6dckhlrxxfx7aebutxtkml9cu&amp;dl=0","Click to download Image")</f>
      </c>
      <c r="B6150" s="0">
        <f>HYPERLINK("https://dl.dropboxusercontent.com/scl/fi/yzmytj22s1nmkrqd0yevd/mens-e.jpg?rlkey=2uqnhokyz2gfxf7c4u3ragb79&amp;dl=0","Click to download SizeChart")</f>
      </c>
      <c r="C6150" s="0" t="inlineStr">
        <is>
          <t>Harris Men's Polo</t>
        </is>
      </c>
      <c r="D6150" s="0" t="inlineStr">
        <is>
          <t>'95574</t>
        </is>
      </c>
      <c r="E6150" s="0" t="inlineStr">
        <is>
          <t>HARRIS:95574F-3XL</t>
        </is>
      </c>
      <c r="F6150" s="0" t="inlineStr">
        <is>
          <t>'000000000000</t>
        </is>
      </c>
      <c r="G6150" s="0" t="inlineStr">
        <is>
          <t>MENS</t>
        </is>
      </c>
      <c r="H6150" s="0" t="inlineStr">
        <is>
          <t>3XL</t>
        </is>
      </c>
      <c r="I6150" s="0">
        <v>41.99</v>
      </c>
      <c r="J6150" s="0">
        <v>14</v>
      </c>
    </row>
    <row r="6151" spans="1:10" customHeight="0">
      <c r="A6151" s="0">
        <f>HYPERLINK("https://dl.dropboxusercontent.com/scl/fi/xlbdupdcdbdrz2k7z88bt/love.jpg?rlkey=6s4j2qzfoy0c1fgpenwjjevw4&amp;dl=0","Click to download Image")</f>
      </c>
      <c r="B6151" s="0">
        <f>HYPERLINK("https://dl.dropboxusercontent.com/scl/fi/hrk7tcgo53xbbl016xvxk/8-19toddler.jpg?rlkey=bv2pakhpgpbuewgd9hhadjxnj&amp;dl=0","Click to download SizeChart")</f>
      </c>
      <c r="C6151" s="0" t="inlineStr">
        <is>
          <t>Lynn Love Toddler Overall Dress</t>
        </is>
      </c>
      <c r="D6151" s="0" t="inlineStr">
        <is>
          <t>'109407</t>
        </is>
      </c>
      <c r="E6151" s="0" t="inlineStr">
        <is>
          <t>LYNN OVERALL TDLR:109407A - 2T</t>
        </is>
      </c>
      <c r="F6151" s="0" t="inlineStr">
        <is>
          <t>'000000000000</t>
        </is>
      </c>
      <c r="G6151" s="0" t="inlineStr">
        <is>
          <t>TODDLER</t>
        </is>
      </c>
      <c r="H6151" s="0" t="inlineStr">
        <is>
          <t>2T</t>
        </is>
      </c>
      <c r="I6151" s="0">
        <v>29.99</v>
      </c>
      <c r="J6151" s="0">
        <v>56</v>
      </c>
    </row>
    <row r="6152" spans="1:10" customHeight="0">
      <c r="A6152" s="0">
        <f>HYPERLINK("https://dl.dropboxusercontent.com/scl/fi/xlbdupdcdbdrz2k7z88bt/love.jpg?rlkey=6s4j2qzfoy0c1fgpenwjjevw4&amp;dl=0","Click to download Image")</f>
      </c>
      <c r="B6152" s="0">
        <f>HYPERLINK("https://dl.dropboxusercontent.com/scl/fi/hrk7tcgo53xbbl016xvxk/8-19toddler.jpg?rlkey=bv2pakhpgpbuewgd9hhadjxnj&amp;dl=0","Click to download SizeChart")</f>
      </c>
      <c r="C6152" s="0" t="inlineStr">
        <is>
          <t>Lynn Love Toddler Overall Dress</t>
        </is>
      </c>
      <c r="D6152" s="0" t="inlineStr">
        <is>
          <t>'109407</t>
        </is>
      </c>
      <c r="E6152" s="0" t="inlineStr">
        <is>
          <t>LYNN OVERALL TDLR:109407B - 3T</t>
        </is>
      </c>
      <c r="F6152" s="0" t="inlineStr">
        <is>
          <t>'000000000000</t>
        </is>
      </c>
      <c r="G6152" s="0" t="inlineStr">
        <is>
          <t>TODDLER</t>
        </is>
      </c>
      <c r="H6152" s="0" t="inlineStr">
        <is>
          <t>3T</t>
        </is>
      </c>
      <c r="I6152" s="0">
        <v>29.99</v>
      </c>
      <c r="J6152" s="0">
        <v>59</v>
      </c>
    </row>
    <row r="6153" spans="1:10" customHeight="0">
      <c r="A6153" s="0">
        <f>HYPERLINK("https://dl.dropboxusercontent.com/scl/fi/xlbdupdcdbdrz2k7z88bt/love.jpg?rlkey=6s4j2qzfoy0c1fgpenwjjevw4&amp;dl=0","Click to download Image")</f>
      </c>
      <c r="B6153" s="0">
        <f>HYPERLINK("https://dl.dropboxusercontent.com/scl/fi/hrk7tcgo53xbbl016xvxk/8-19toddler.jpg?rlkey=bv2pakhpgpbuewgd9hhadjxnj&amp;dl=0","Click to download SizeChart")</f>
      </c>
      <c r="C6153" s="0" t="inlineStr">
        <is>
          <t>Lynn Love Toddler Overall Dress</t>
        </is>
      </c>
      <c r="D6153" s="0" t="inlineStr">
        <is>
          <t>'109407</t>
        </is>
      </c>
      <c r="E6153" s="0" t="inlineStr">
        <is>
          <t>LYNN OVERALL TDLR:109407C - 4T</t>
        </is>
      </c>
      <c r="F6153" s="0" t="inlineStr">
        <is>
          <t>'000000000000</t>
        </is>
      </c>
      <c r="G6153" s="0" t="inlineStr">
        <is>
          <t>TODDLER</t>
        </is>
      </c>
      <c r="H6153" s="0" t="inlineStr">
        <is>
          <t>4T</t>
        </is>
      </c>
      <c r="I6153" s="0">
        <v>29.99</v>
      </c>
      <c r="J6153" s="0">
        <v>53</v>
      </c>
    </row>
    <row r="6154" spans="1:10" customHeight="0">
      <c r="A6154" s="0">
        <f>HYPERLINK("https://dl.dropboxusercontent.com/scl/fi/xlbdupdcdbdrz2k7z88bt/love.jpg?rlkey=6s4j2qzfoy0c1fgpenwjjevw4&amp;dl=0","Click to download Image")</f>
      </c>
      <c r="B6154" s="0">
        <f>HYPERLINK("https://dl.dropboxusercontent.com/scl/fi/hrk7tcgo53xbbl016xvxk/8-19toddler.jpg?rlkey=bv2pakhpgpbuewgd9hhadjxnj&amp;dl=0","Click to download SizeChart")</f>
      </c>
      <c r="C6154" s="0" t="inlineStr">
        <is>
          <t>Lynn Love Toddler Overall Dress</t>
        </is>
      </c>
      <c r="D6154" s="0" t="inlineStr">
        <is>
          <t>'109407</t>
        </is>
      </c>
      <c r="E6154" s="0" t="inlineStr">
        <is>
          <t>LYNN OVERALL TDLR:109407D - 5T</t>
        </is>
      </c>
      <c r="F6154" s="0" t="inlineStr">
        <is>
          <t>'000000000000</t>
        </is>
      </c>
      <c r="G6154" s="0" t="inlineStr">
        <is>
          <t>TODDLER</t>
        </is>
      </c>
      <c r="H6154" s="0" t="inlineStr">
        <is>
          <t>5T</t>
        </is>
      </c>
      <c r="I6154" s="0">
        <v>29.99</v>
      </c>
      <c r="J6154" s="0">
        <v>54</v>
      </c>
    </row>
    <row r="6155" spans="1:10" customHeight="0">
      <c r="A6155" s="0">
        <f>HYPERLINK("https://dl.dropboxusercontent.com/scl/fi/91tu6a4ken8u31y8f4ows/99878-af.jpg?rlkey=bijetedvvgj2edadk834tl2ow&amp;dl=0","Click to download Image")</f>
      </c>
      <c r="B6155" s="0">
        <f>HYPERLINK("https://dl.dropboxusercontent.com/scl/fi/1bet637jptrmhx1091k6g/graphic-update2022-youth.jpg?rlkey=givi8me365o3ntdp5xg5d255e&amp;dl=0","Click to download SizeChart")</f>
      </c>
      <c r="C6155" s="0" t="inlineStr">
        <is>
          <t>Lane Youth Hoodie</t>
        </is>
      </c>
      <c r="D6155" s="0" t="inlineStr">
        <is>
          <t>'99878</t>
        </is>
      </c>
      <c r="E6155" s="0" t="inlineStr">
        <is>
          <t>LANE:99878A-YS</t>
        </is>
      </c>
      <c r="F6155" s="0" t="inlineStr">
        <is>
          <t>'000000000000</t>
        </is>
      </c>
      <c r="G6155" s="0" t="inlineStr">
        <is>
          <t>YOUTH</t>
        </is>
      </c>
      <c r="H6155" s="0" t="inlineStr">
        <is>
          <t>YS</t>
        </is>
      </c>
      <c r="I6155" s="0">
        <v>39.99</v>
      </c>
      <c r="J6155" s="0">
        <v>0</v>
      </c>
    </row>
    <row r="6156" spans="1:10" customHeight="0">
      <c r="A6156" s="0">
        <f>HYPERLINK("https://dl.dropboxusercontent.com/scl/fi/91tu6a4ken8u31y8f4ows/99878-af.jpg?rlkey=bijetedvvgj2edadk834tl2ow&amp;dl=0","Click to download Image")</f>
      </c>
      <c r="B6156" s="0">
        <f>HYPERLINK("https://dl.dropboxusercontent.com/scl/fi/1bet637jptrmhx1091k6g/graphic-update2022-youth.jpg?rlkey=givi8me365o3ntdp5xg5d255e&amp;dl=0","Click to download SizeChart")</f>
      </c>
      <c r="C6156" s="0" t="inlineStr">
        <is>
          <t>Lane Youth Hoodie</t>
        </is>
      </c>
      <c r="D6156" s="0" t="inlineStr">
        <is>
          <t>'99878</t>
        </is>
      </c>
      <c r="E6156" s="0" t="inlineStr">
        <is>
          <t>LANE:99878B-YM</t>
        </is>
      </c>
      <c r="F6156" s="0" t="inlineStr">
        <is>
          <t>'000000000000</t>
        </is>
      </c>
      <c r="G6156" s="0" t="inlineStr">
        <is>
          <t>YOUTH</t>
        </is>
      </c>
      <c r="H6156" s="0" t="inlineStr">
        <is>
          <t>YM</t>
        </is>
      </c>
      <c r="I6156" s="0">
        <v>39.99</v>
      </c>
      <c r="J6156" s="0">
        <v>0</v>
      </c>
    </row>
    <row r="6157" spans="1:10" customHeight="0">
      <c r="A6157" s="0">
        <f>HYPERLINK("https://dl.dropboxusercontent.com/scl/fi/91tu6a4ken8u31y8f4ows/99878-af.jpg?rlkey=bijetedvvgj2edadk834tl2ow&amp;dl=0","Click to download Image")</f>
      </c>
      <c r="B6157" s="0">
        <f>HYPERLINK("https://dl.dropboxusercontent.com/scl/fi/1bet637jptrmhx1091k6g/graphic-update2022-youth.jpg?rlkey=givi8me365o3ntdp5xg5d255e&amp;dl=0","Click to download SizeChart")</f>
      </c>
      <c r="C6157" s="0" t="inlineStr">
        <is>
          <t>Lane Youth Hoodie</t>
        </is>
      </c>
      <c r="D6157" s="0" t="inlineStr">
        <is>
          <t>'99878</t>
        </is>
      </c>
      <c r="E6157" s="0" t="inlineStr">
        <is>
          <t>LANE:99878C-YL</t>
        </is>
      </c>
      <c r="F6157" s="0" t="inlineStr">
        <is>
          <t>'000000000000</t>
        </is>
      </c>
      <c r="G6157" s="0" t="inlineStr">
        <is>
          <t>YOUTH</t>
        </is>
      </c>
      <c r="H6157" s="0" t="inlineStr">
        <is>
          <t>YL</t>
        </is>
      </c>
      <c r="I6157" s="0">
        <v>39.99</v>
      </c>
      <c r="J6157" s="0">
        <v>1</v>
      </c>
    </row>
    <row r="6158" spans="1:10" customHeight="0">
      <c r="A6158" s="0">
        <f>HYPERLINK("https://dl.dropboxusercontent.com/scl/fi/91tu6a4ken8u31y8f4ows/99878-af.jpg?rlkey=bijetedvvgj2edadk834tl2ow&amp;dl=0","Click to download Image")</f>
      </c>
      <c r="B6158" s="0">
        <f>HYPERLINK("https://dl.dropboxusercontent.com/scl/fi/1bet637jptrmhx1091k6g/graphic-update2022-youth.jpg?rlkey=givi8me365o3ntdp5xg5d255e&amp;dl=0","Click to download SizeChart")</f>
      </c>
      <c r="C6158" s="0" t="inlineStr">
        <is>
          <t>Lane Youth Hoodie</t>
        </is>
      </c>
      <c r="D6158" s="0" t="inlineStr">
        <is>
          <t>'99878</t>
        </is>
      </c>
      <c r="E6158" s="0" t="inlineStr">
        <is>
          <t>LANE:99878D-YXL</t>
        </is>
      </c>
      <c r="F6158" s="0" t="inlineStr">
        <is>
          <t>'000000000000</t>
        </is>
      </c>
      <c r="G6158" s="0" t="inlineStr">
        <is>
          <t>YOUTH</t>
        </is>
      </c>
      <c r="H6158" s="0" t="inlineStr">
        <is>
          <t>YXL</t>
        </is>
      </c>
      <c r="I6158" s="0">
        <v>39.99</v>
      </c>
      <c r="J6158" s="0">
        <v>12</v>
      </c>
    </row>
    <row r="6159" spans="1:10" customHeight="0">
      <c r="A6159" s="0">
        <f>HYPERLINK("https://dl.dropboxusercontent.com/scl/fi/vwol9d73zrp9tdt1v76z8/jjcrossover-0392487.jpg?rlkey=ai56gse6w6h8zffto8m817q7y&amp;dl=0","Click to download Image")</f>
      </c>
      <c r="B6159" s="0">
        <f>HYPERLINK("https://dl.dropboxusercontent.com/scl/fi/jwyt5o8ozlgy2v9p87cto/mens-t-shirt-size-charts-slate-cason-ss.jpg?rlkey=ki5v58097htj7tnkeljg5zhuu&amp;dl=0","Click to download SizeChart")</f>
      </c>
      <c r="C6159" s="0" t="inlineStr">
        <is>
          <t>Crossover at Kinnick 2023 Men's Slate T-Shirt</t>
        </is>
      </c>
      <c r="D6159" s="0" t="inlineStr">
        <is>
          <t>'144757</t>
        </is>
      </c>
      <c r="E6159" s="0" t="inlineStr">
        <is>
          <t>IOWA CROSS M BK:144757A-S</t>
        </is>
      </c>
      <c r="F6159" s="0" t="inlineStr">
        <is>
          <t>'800144757040</t>
        </is>
      </c>
      <c r="G6159" s="0" t="inlineStr">
        <is>
          <t>MENS</t>
        </is>
      </c>
      <c r="H6159" s="0" t="inlineStr">
        <is>
          <t>S</t>
        </is>
      </c>
      <c r="I6159" s="0">
        <v>21.99</v>
      </c>
      <c r="J6159" s="0">
        <v>22</v>
      </c>
    </row>
    <row r="6160" spans="1:10" customHeight="0">
      <c r="A6160" s="0">
        <f>HYPERLINK("https://dl.dropboxusercontent.com/scl/fi/vwol9d73zrp9tdt1v76z8/jjcrossover-0392487.jpg?rlkey=ai56gse6w6h8zffto8m817q7y&amp;dl=0","Click to download Image")</f>
      </c>
      <c r="B6160" s="0">
        <f>HYPERLINK("https://dl.dropboxusercontent.com/scl/fi/jwyt5o8ozlgy2v9p87cto/mens-t-shirt-size-charts-slate-cason-ss.jpg?rlkey=ki5v58097htj7tnkeljg5zhuu&amp;dl=0","Click to download SizeChart")</f>
      </c>
      <c r="C6160" s="0" t="inlineStr">
        <is>
          <t>Crossover at Kinnick 2023 Men's Slate T-Shirt</t>
        </is>
      </c>
      <c r="D6160" s="0" t="inlineStr">
        <is>
          <t>'144757</t>
        </is>
      </c>
      <c r="E6160" s="0" t="inlineStr">
        <is>
          <t>IOWA CROSS M BK:144757B-M</t>
        </is>
      </c>
      <c r="F6160" s="0" t="inlineStr">
        <is>
          <t>'800144757057</t>
        </is>
      </c>
      <c r="G6160" s="0" t="inlineStr">
        <is>
          <t>MENS</t>
        </is>
      </c>
      <c r="H6160" s="0" t="inlineStr">
        <is>
          <t>M</t>
        </is>
      </c>
      <c r="I6160" s="0">
        <v>21.99</v>
      </c>
      <c r="J6160" s="0">
        <v>18</v>
      </c>
    </row>
    <row r="6161" spans="1:10" customHeight="0">
      <c r="A6161" s="0">
        <f>HYPERLINK("https://dl.dropboxusercontent.com/scl/fi/vwol9d73zrp9tdt1v76z8/jjcrossover-0392487.jpg?rlkey=ai56gse6w6h8zffto8m817q7y&amp;dl=0","Click to download Image")</f>
      </c>
      <c r="B6161" s="0">
        <f>HYPERLINK("https://dl.dropboxusercontent.com/scl/fi/jwyt5o8ozlgy2v9p87cto/mens-t-shirt-size-charts-slate-cason-ss.jpg?rlkey=ki5v58097htj7tnkeljg5zhuu&amp;dl=0","Click to download SizeChart")</f>
      </c>
      <c r="C6161" s="0" t="inlineStr">
        <is>
          <t>Crossover at Kinnick 2023 Men's Slate T-Shirt</t>
        </is>
      </c>
      <c r="D6161" s="0" t="inlineStr">
        <is>
          <t>'144757</t>
        </is>
      </c>
      <c r="E6161" s="0" t="inlineStr">
        <is>
          <t>IOWA CROSS M BK:144757C-L</t>
        </is>
      </c>
      <c r="F6161" s="0" t="inlineStr">
        <is>
          <t>'800144757064</t>
        </is>
      </c>
      <c r="G6161" s="0" t="inlineStr">
        <is>
          <t>MENS</t>
        </is>
      </c>
      <c r="H6161" s="0" t="inlineStr">
        <is>
          <t>L</t>
        </is>
      </c>
      <c r="I6161" s="0">
        <v>21.99</v>
      </c>
      <c r="J6161" s="0">
        <v>72</v>
      </c>
    </row>
    <row r="6162" spans="1:10" customHeight="0">
      <c r="A6162" s="0">
        <f>HYPERLINK("https://dl.dropboxusercontent.com/scl/fi/vwol9d73zrp9tdt1v76z8/jjcrossover-0392487.jpg?rlkey=ai56gse6w6h8zffto8m817q7y&amp;dl=0","Click to download Image")</f>
      </c>
      <c r="B6162" s="0">
        <f>HYPERLINK("https://dl.dropboxusercontent.com/scl/fi/jwyt5o8ozlgy2v9p87cto/mens-t-shirt-size-charts-slate-cason-ss.jpg?rlkey=ki5v58097htj7tnkeljg5zhuu&amp;dl=0","Click to download SizeChart")</f>
      </c>
      <c r="C6162" s="0" t="inlineStr">
        <is>
          <t>Crossover at Kinnick 2023 Men's Slate T-Shirt</t>
        </is>
      </c>
      <c r="D6162" s="0" t="inlineStr">
        <is>
          <t>'144757</t>
        </is>
      </c>
      <c r="E6162" s="0" t="inlineStr">
        <is>
          <t>IOWA CROSS M BK:144757D-XL</t>
        </is>
      </c>
      <c r="F6162" s="0" t="inlineStr">
        <is>
          <t>'800144757071</t>
        </is>
      </c>
      <c r="G6162" s="0" t="inlineStr">
        <is>
          <t>MENS</t>
        </is>
      </c>
      <c r="H6162" s="0" t="inlineStr">
        <is>
          <t>XL</t>
        </is>
      </c>
      <c r="I6162" s="0">
        <v>21.99</v>
      </c>
      <c r="J6162" s="0">
        <v>142</v>
      </c>
    </row>
    <row r="6163" spans="1:10" customHeight="0">
      <c r="A6163" s="0">
        <f>HYPERLINK("https://dl.dropboxusercontent.com/scl/fi/vwol9d73zrp9tdt1v76z8/jjcrossover-0392487.jpg?rlkey=ai56gse6w6h8zffto8m817q7y&amp;dl=0","Click to download Image")</f>
      </c>
      <c r="B6163" s="0">
        <f>HYPERLINK("https://dl.dropboxusercontent.com/scl/fi/jwyt5o8ozlgy2v9p87cto/mens-t-shirt-size-charts-slate-cason-ss.jpg?rlkey=ki5v58097htj7tnkeljg5zhuu&amp;dl=0","Click to download SizeChart")</f>
      </c>
      <c r="C6163" s="0" t="inlineStr">
        <is>
          <t>Crossover at Kinnick 2023 Men's Slate T-Shirt</t>
        </is>
      </c>
      <c r="D6163" s="0" t="inlineStr">
        <is>
          <t>'144757</t>
        </is>
      </c>
      <c r="E6163" s="0" t="inlineStr">
        <is>
          <t>IOWA CROSS M BK:144757E-2XL</t>
        </is>
      </c>
      <c r="F6163" s="0" t="inlineStr">
        <is>
          <t>'800144757088</t>
        </is>
      </c>
      <c r="G6163" s="0" t="inlineStr">
        <is>
          <t>MENS</t>
        </is>
      </c>
      <c r="H6163" s="0" t="inlineStr">
        <is>
          <t>2XL</t>
        </is>
      </c>
      <c r="I6163" s="0">
        <v>23.99</v>
      </c>
      <c r="J6163" s="0">
        <v>66</v>
      </c>
    </row>
    <row r="6164" spans="1:10" customHeight="0">
      <c r="A6164" s="0">
        <f>HYPERLINK("https://dl.dropboxusercontent.com/scl/fi/vwol9d73zrp9tdt1v76z8/jjcrossover-0392487.jpg?rlkey=ai56gse6w6h8zffto8m817q7y&amp;dl=0","Click to download Image")</f>
      </c>
      <c r="B6164" s="0">
        <f>HYPERLINK("https://dl.dropboxusercontent.com/scl/fi/jwyt5o8ozlgy2v9p87cto/mens-t-shirt-size-charts-slate-cason-ss.jpg?rlkey=ki5v58097htj7tnkeljg5zhuu&amp;dl=0","Click to download SizeChart")</f>
      </c>
      <c r="C6164" s="0" t="inlineStr">
        <is>
          <t>Crossover at Kinnick 2023 Men's Slate T-Shirt</t>
        </is>
      </c>
      <c r="D6164" s="0" t="inlineStr">
        <is>
          <t>'144757</t>
        </is>
      </c>
      <c r="E6164" s="0" t="inlineStr">
        <is>
          <t>IOWA CROSS M BK:144757F-3XL</t>
        </is>
      </c>
      <c r="F6164" s="0" t="inlineStr">
        <is>
          <t>'800144757095</t>
        </is>
      </c>
      <c r="G6164" s="0" t="inlineStr">
        <is>
          <t>MENS</t>
        </is>
      </c>
      <c r="H6164" s="0" t="inlineStr">
        <is>
          <t>3XL</t>
        </is>
      </c>
      <c r="I6164" s="0">
        <v>23.99</v>
      </c>
      <c r="J6164" s="0">
        <v>31</v>
      </c>
    </row>
    <row r="6165" spans="1:10" customHeight="0">
      <c r="A6165" s="0">
        <f>HYPERLINK("https://dl.dropboxusercontent.com/scl/fi/mfcsipysc3yh2gu7p42v6/jjcrossover-0274749.jpg?rlkey=wcqnuk1k44y7mx7ozzmek267a&amp;dl=0","Click to download Image")</f>
      </c>
      <c r="B6165" s="0">
        <f>HYPERLINK("https://dl.dropboxusercontent.com/scl/fi/jwyt5o8ozlgy2v9p87cto/mens-t-shirt-size-charts-slate-cason-ss.jpg?rlkey=ki5v58097htj7tnkeljg5zhuu&amp;dl=0","Click to download SizeChart")</f>
      </c>
      <c r="C6165" s="0" t="inlineStr">
        <is>
          <t>Crossover at Kinnick 2023 Men's Slate T-Shirt</t>
        </is>
      </c>
      <c r="D6165" s="0" t="inlineStr">
        <is>
          <t>'144756</t>
        </is>
      </c>
      <c r="E6165" s="0" t="inlineStr">
        <is>
          <t>IOWA CROSS M GD:144756A-S</t>
        </is>
      </c>
      <c r="F6165" s="0" t="inlineStr">
        <is>
          <t>'800144756043</t>
        </is>
      </c>
      <c r="G6165" s="0" t="inlineStr">
        <is>
          <t>MENS</t>
        </is>
      </c>
      <c r="H6165" s="0" t="inlineStr">
        <is>
          <t>S</t>
        </is>
      </c>
      <c r="I6165" s="0">
        <v>21.99</v>
      </c>
      <c r="J6165" s="0">
        <v>2</v>
      </c>
    </row>
    <row r="6166" spans="1:10" customHeight="0">
      <c r="A6166" s="0">
        <f>HYPERLINK("https://dl.dropboxusercontent.com/scl/fi/mfcsipysc3yh2gu7p42v6/jjcrossover-0274749.jpg?rlkey=wcqnuk1k44y7mx7ozzmek267a&amp;dl=0","Click to download Image")</f>
      </c>
      <c r="B6166" s="0">
        <f>HYPERLINK("https://dl.dropboxusercontent.com/scl/fi/jwyt5o8ozlgy2v9p87cto/mens-t-shirt-size-charts-slate-cason-ss.jpg?rlkey=ki5v58097htj7tnkeljg5zhuu&amp;dl=0","Click to download SizeChart")</f>
      </c>
      <c r="C6166" s="0" t="inlineStr">
        <is>
          <t>Crossover at Kinnick 2023 Men's Slate T-Shirt</t>
        </is>
      </c>
      <c r="D6166" s="0" t="inlineStr">
        <is>
          <t>'144756</t>
        </is>
      </c>
      <c r="E6166" s="0" t="inlineStr">
        <is>
          <t>IOWA CROSS M GD:144756B-M</t>
        </is>
      </c>
      <c r="F6166" s="0" t="inlineStr">
        <is>
          <t>'800144756050</t>
        </is>
      </c>
      <c r="G6166" s="0" t="inlineStr">
        <is>
          <t>MENS</t>
        </is>
      </c>
      <c r="H6166" s="0" t="inlineStr">
        <is>
          <t>M</t>
        </is>
      </c>
      <c r="I6166" s="0">
        <v>21.99</v>
      </c>
      <c r="J6166" s="0">
        <v>4</v>
      </c>
    </row>
    <row r="6167" spans="1:10" customHeight="0">
      <c r="A6167" s="0">
        <f>HYPERLINK("https://dl.dropboxusercontent.com/scl/fi/mfcsipysc3yh2gu7p42v6/jjcrossover-0274749.jpg?rlkey=wcqnuk1k44y7mx7ozzmek267a&amp;dl=0","Click to download Image")</f>
      </c>
      <c r="B6167" s="0">
        <f>HYPERLINK("https://dl.dropboxusercontent.com/scl/fi/jwyt5o8ozlgy2v9p87cto/mens-t-shirt-size-charts-slate-cason-ss.jpg?rlkey=ki5v58097htj7tnkeljg5zhuu&amp;dl=0","Click to download SizeChart")</f>
      </c>
      <c r="C6167" s="0" t="inlineStr">
        <is>
          <t>Crossover at Kinnick 2023 Men's Slate T-Shirt</t>
        </is>
      </c>
      <c r="D6167" s="0" t="inlineStr">
        <is>
          <t>'144756</t>
        </is>
      </c>
      <c r="E6167" s="0" t="inlineStr">
        <is>
          <t>IOWA CROSS M GD:144756C-L</t>
        </is>
      </c>
      <c r="F6167" s="0" t="inlineStr">
        <is>
          <t>'800144756067</t>
        </is>
      </c>
      <c r="G6167" s="0" t="inlineStr">
        <is>
          <t>MENS</t>
        </is>
      </c>
      <c r="H6167" s="0" t="inlineStr">
        <is>
          <t>L</t>
        </is>
      </c>
      <c r="I6167" s="0">
        <v>21.99</v>
      </c>
      <c r="J6167" s="0">
        <v>2</v>
      </c>
    </row>
    <row r="6168" spans="1:10" customHeight="0">
      <c r="A6168" s="0">
        <f>HYPERLINK("https://dl.dropboxusercontent.com/scl/fi/mfcsipysc3yh2gu7p42v6/jjcrossover-0274749.jpg?rlkey=wcqnuk1k44y7mx7ozzmek267a&amp;dl=0","Click to download Image")</f>
      </c>
      <c r="B6168" s="0">
        <f>HYPERLINK("https://dl.dropboxusercontent.com/scl/fi/jwyt5o8ozlgy2v9p87cto/mens-t-shirt-size-charts-slate-cason-ss.jpg?rlkey=ki5v58097htj7tnkeljg5zhuu&amp;dl=0","Click to download SizeChart")</f>
      </c>
      <c r="C6168" s="0" t="inlineStr">
        <is>
          <t>Crossover at Kinnick 2023 Men's Slate T-Shirt</t>
        </is>
      </c>
      <c r="D6168" s="0" t="inlineStr">
        <is>
          <t>'144756</t>
        </is>
      </c>
      <c r="E6168" s="0" t="inlineStr">
        <is>
          <t>IOWA CROSS M GD:144756D-XL</t>
        </is>
      </c>
      <c r="F6168" s="0" t="inlineStr">
        <is>
          <t>'800144756074</t>
        </is>
      </c>
      <c r="G6168" s="0" t="inlineStr">
        <is>
          <t>MENS</t>
        </is>
      </c>
      <c r="H6168" s="0" t="inlineStr">
        <is>
          <t>XL</t>
        </is>
      </c>
      <c r="I6168" s="0">
        <v>21.99</v>
      </c>
      <c r="J6168" s="0">
        <v>9</v>
      </c>
    </row>
    <row r="6169" spans="1:10" customHeight="0">
      <c r="A6169" s="0">
        <f>HYPERLINK("https://dl.dropboxusercontent.com/scl/fi/mfcsipysc3yh2gu7p42v6/jjcrossover-0274749.jpg?rlkey=wcqnuk1k44y7mx7ozzmek267a&amp;dl=0","Click to download Image")</f>
      </c>
      <c r="B6169" s="0">
        <f>HYPERLINK("https://dl.dropboxusercontent.com/scl/fi/jwyt5o8ozlgy2v9p87cto/mens-t-shirt-size-charts-slate-cason-ss.jpg?rlkey=ki5v58097htj7tnkeljg5zhuu&amp;dl=0","Click to download SizeChart")</f>
      </c>
      <c r="C6169" s="0" t="inlineStr">
        <is>
          <t>Crossover at Kinnick 2023 Men's Slate T-Shirt</t>
        </is>
      </c>
      <c r="D6169" s="0" t="inlineStr">
        <is>
          <t>'144756</t>
        </is>
      </c>
      <c r="E6169" s="0" t="inlineStr">
        <is>
          <t>IOWA CROSS M GD:144756E-2XL</t>
        </is>
      </c>
      <c r="F6169" s="0" t="inlineStr">
        <is>
          <t>'800144756081</t>
        </is>
      </c>
      <c r="G6169" s="0" t="inlineStr">
        <is>
          <t>MENS</t>
        </is>
      </c>
      <c r="H6169" s="0" t="inlineStr">
        <is>
          <t>2XL</t>
        </is>
      </c>
      <c r="I6169" s="0">
        <v>23.99</v>
      </c>
      <c r="J6169" s="0">
        <v>2</v>
      </c>
    </row>
    <row r="6170" spans="1:10" customHeight="0">
      <c r="A6170" s="0">
        <f>HYPERLINK("https://dl.dropboxusercontent.com/scl/fi/mfcsipysc3yh2gu7p42v6/jjcrossover-0274749.jpg?rlkey=wcqnuk1k44y7mx7ozzmek267a&amp;dl=0","Click to download Image")</f>
      </c>
      <c r="B6170" s="0">
        <f>HYPERLINK("https://dl.dropboxusercontent.com/scl/fi/jwyt5o8ozlgy2v9p87cto/mens-t-shirt-size-charts-slate-cason-ss.jpg?rlkey=ki5v58097htj7tnkeljg5zhuu&amp;dl=0","Click to download SizeChart")</f>
      </c>
      <c r="C6170" s="0" t="inlineStr">
        <is>
          <t>Crossover at Kinnick 2023 Men's Slate T-Shirt</t>
        </is>
      </c>
      <c r="D6170" s="0" t="inlineStr">
        <is>
          <t>'144756</t>
        </is>
      </c>
      <c r="E6170" s="0" t="inlineStr">
        <is>
          <t>IOWA CROSS M GD:144756F-3XL</t>
        </is>
      </c>
      <c r="F6170" s="0" t="inlineStr">
        <is>
          <t>'800144756098</t>
        </is>
      </c>
      <c r="G6170" s="0" t="inlineStr">
        <is>
          <t>MENS</t>
        </is>
      </c>
      <c r="H6170" s="0" t="inlineStr">
        <is>
          <t>3XL</t>
        </is>
      </c>
      <c r="I6170" s="0">
        <v>23.99</v>
      </c>
      <c r="J6170" s="0">
        <v>2</v>
      </c>
    </row>
    <row r="6171" spans="1:10" customHeight="0">
      <c r="A6171" s="0">
        <f>HYPERLINK("https://dl.dropboxusercontent.com/scl/fi/d2uh2rixcxndn8jcf77w4/99983af.png?rlkey=7pgiszwo2n6mo33hdy4s73iwa&amp;dl=0","Click to download Image")</f>
      </c>
      <c r="B6171" s="0">
        <f>HYPERLINK("https://dl.dropboxusercontent.com/scl/fi/doqy0hzji1j9aimvfbbxc/size-charts-women-s-standard-relaxed-fit-2.jpg?rlkey=3m1qesy4118pbq1472shvters&amp;dl=0","Click to download SizeChart")</f>
      </c>
      <c r="C6171" s="0" t="inlineStr">
        <is>
          <t>Evelyn Women's T-Shirt</t>
        </is>
      </c>
      <c r="D6171" s="0" t="inlineStr">
        <is>
          <t>'99983</t>
        </is>
      </c>
      <c r="E6171" s="0" t="inlineStr">
        <is>
          <t>EVELYN:99983A-S</t>
        </is>
      </c>
      <c r="F6171" s="0" t="inlineStr">
        <is>
          <t>'000000000000</t>
        </is>
      </c>
      <c r="G6171" s="0" t="inlineStr">
        <is>
          <t>WOMENS</t>
        </is>
      </c>
      <c r="H6171" s="0" t="inlineStr">
        <is>
          <t>S</t>
        </is>
      </c>
      <c r="I6171" s="0">
        <v>39.99</v>
      </c>
      <c r="J6171" s="0">
        <v>29</v>
      </c>
    </row>
    <row r="6172" spans="1:10" customHeight="0">
      <c r="A6172" s="0">
        <f>HYPERLINK("https://dl.dropboxusercontent.com/scl/fi/d2uh2rixcxndn8jcf77w4/99983af.png?rlkey=7pgiszwo2n6mo33hdy4s73iwa&amp;dl=0","Click to download Image")</f>
      </c>
      <c r="B6172" s="0">
        <f>HYPERLINK("https://dl.dropboxusercontent.com/scl/fi/doqy0hzji1j9aimvfbbxc/size-charts-women-s-standard-relaxed-fit-2.jpg?rlkey=3m1qesy4118pbq1472shvters&amp;dl=0","Click to download SizeChart")</f>
      </c>
      <c r="C6172" s="0" t="inlineStr">
        <is>
          <t>Evelyn Women's T-Shirt</t>
        </is>
      </c>
      <c r="D6172" s="0" t="inlineStr">
        <is>
          <t>'99983</t>
        </is>
      </c>
      <c r="E6172" s="0" t="inlineStr">
        <is>
          <t>EVELYN:99983B-M</t>
        </is>
      </c>
      <c r="F6172" s="0" t="inlineStr">
        <is>
          <t>'000000000000</t>
        </is>
      </c>
      <c r="G6172" s="0" t="inlineStr">
        <is>
          <t>WOMENS</t>
        </is>
      </c>
      <c r="H6172" s="0" t="inlineStr">
        <is>
          <t>M</t>
        </is>
      </c>
      <c r="I6172" s="0">
        <v>39.99</v>
      </c>
      <c r="J6172" s="0">
        <v>34</v>
      </c>
    </row>
    <row r="6173" spans="1:10" customHeight="0">
      <c r="A6173" s="0">
        <f>HYPERLINK("https://dl.dropboxusercontent.com/scl/fi/d2uh2rixcxndn8jcf77w4/99983af.png?rlkey=7pgiszwo2n6mo33hdy4s73iwa&amp;dl=0","Click to download Image")</f>
      </c>
      <c r="B6173" s="0">
        <f>HYPERLINK("https://dl.dropboxusercontent.com/scl/fi/doqy0hzji1j9aimvfbbxc/size-charts-women-s-standard-relaxed-fit-2.jpg?rlkey=3m1qesy4118pbq1472shvters&amp;dl=0","Click to download SizeChart")</f>
      </c>
      <c r="C6173" s="0" t="inlineStr">
        <is>
          <t>Evelyn Women's T-Shirt</t>
        </is>
      </c>
      <c r="D6173" s="0" t="inlineStr">
        <is>
          <t>'99983</t>
        </is>
      </c>
      <c r="E6173" s="0" t="inlineStr">
        <is>
          <t>EVELYN:99983C-L</t>
        </is>
      </c>
      <c r="F6173" s="0" t="inlineStr">
        <is>
          <t>'000000000000</t>
        </is>
      </c>
      <c r="G6173" s="0" t="inlineStr">
        <is>
          <t>WOMENS</t>
        </is>
      </c>
      <c r="H6173" s="0" t="inlineStr">
        <is>
          <t>L</t>
        </is>
      </c>
      <c r="I6173" s="0">
        <v>39.99</v>
      </c>
      <c r="J6173" s="0">
        <v>38</v>
      </c>
    </row>
    <row r="6174" spans="1:10" customHeight="0">
      <c r="A6174" s="0">
        <f>HYPERLINK("https://dl.dropboxusercontent.com/scl/fi/d2uh2rixcxndn8jcf77w4/99983af.png?rlkey=7pgiszwo2n6mo33hdy4s73iwa&amp;dl=0","Click to download Image")</f>
      </c>
      <c r="B6174" s="0">
        <f>HYPERLINK("https://dl.dropboxusercontent.com/scl/fi/doqy0hzji1j9aimvfbbxc/size-charts-women-s-standard-relaxed-fit-2.jpg?rlkey=3m1qesy4118pbq1472shvters&amp;dl=0","Click to download SizeChart")</f>
      </c>
      <c r="C6174" s="0" t="inlineStr">
        <is>
          <t>Evelyn Women's T-Shirt</t>
        </is>
      </c>
      <c r="D6174" s="0" t="inlineStr">
        <is>
          <t>'99983</t>
        </is>
      </c>
      <c r="E6174" s="0" t="inlineStr">
        <is>
          <t>EVELYN:99983D-XL</t>
        </is>
      </c>
      <c r="F6174" s="0" t="inlineStr">
        <is>
          <t>'000000000000</t>
        </is>
      </c>
      <c r="G6174" s="0" t="inlineStr">
        <is>
          <t>WOMENS</t>
        </is>
      </c>
      <c r="H6174" s="0" t="inlineStr">
        <is>
          <t>XL</t>
        </is>
      </c>
      <c r="I6174" s="0">
        <v>39.99</v>
      </c>
      <c r="J6174" s="0">
        <v>37</v>
      </c>
    </row>
    <row r="6175" spans="1:10" customHeight="0">
      <c r="A6175" s="0">
        <f>HYPERLINK("https://dl.dropboxusercontent.com/scl/fi/d2uh2rixcxndn8jcf77w4/99983af.png?rlkey=7pgiszwo2n6mo33hdy4s73iwa&amp;dl=0","Click to download Image")</f>
      </c>
      <c r="B6175" s="0">
        <f>HYPERLINK("https://dl.dropboxusercontent.com/scl/fi/doqy0hzji1j9aimvfbbxc/size-charts-women-s-standard-relaxed-fit-2.jpg?rlkey=3m1qesy4118pbq1472shvters&amp;dl=0","Click to download SizeChart")</f>
      </c>
      <c r="C6175" s="0" t="inlineStr">
        <is>
          <t>Evelyn Women's T-Shirt</t>
        </is>
      </c>
      <c r="D6175" s="0" t="inlineStr">
        <is>
          <t>'99983</t>
        </is>
      </c>
      <c r="E6175" s="0" t="inlineStr">
        <is>
          <t>EVELYN:99983E-2XL</t>
        </is>
      </c>
      <c r="F6175" s="0" t="inlineStr">
        <is>
          <t>'000000000000</t>
        </is>
      </c>
      <c r="G6175" s="0" t="inlineStr">
        <is>
          <t>WOMENS</t>
        </is>
      </c>
      <c r="H6175" s="0" t="inlineStr">
        <is>
          <t>2XL</t>
        </is>
      </c>
      <c r="I6175" s="0">
        <v>41.99</v>
      </c>
      <c r="J6175" s="0">
        <v>27</v>
      </c>
    </row>
    <row r="6176" spans="1:10" customHeight="0">
      <c r="A6176" s="0">
        <f>HYPERLINK("https://dl.dropboxusercontent.com/scl/fi/d2uh2rixcxndn8jcf77w4/99983af.png?rlkey=7pgiszwo2n6mo33hdy4s73iwa&amp;dl=0","Click to download Image")</f>
      </c>
      <c r="B6176" s="0">
        <f>HYPERLINK("https://dl.dropboxusercontent.com/scl/fi/doqy0hzji1j9aimvfbbxc/size-charts-women-s-standard-relaxed-fit-2.jpg?rlkey=3m1qesy4118pbq1472shvters&amp;dl=0","Click to download SizeChart")</f>
      </c>
      <c r="C6176" s="0" t="inlineStr">
        <is>
          <t>Evelyn Women's T-Shirt</t>
        </is>
      </c>
      <c r="D6176" s="0" t="inlineStr">
        <is>
          <t>'99983</t>
        </is>
      </c>
      <c r="E6176" s="0" t="inlineStr">
        <is>
          <t>EVELYN:99983F-3XL</t>
        </is>
      </c>
      <c r="F6176" s="0" t="inlineStr">
        <is>
          <t>'000000000000</t>
        </is>
      </c>
      <c r="G6176" s="0" t="inlineStr">
        <is>
          <t>WOMENS</t>
        </is>
      </c>
      <c r="H6176" s="0" t="inlineStr">
        <is>
          <t>3XL</t>
        </is>
      </c>
      <c r="I6176" s="0">
        <v>41.99</v>
      </c>
      <c r="J6176" s="0">
        <v>23</v>
      </c>
    </row>
    <row r="6177" spans="1:10" customHeight="0">
      <c r="A6177" s="0">
        <f>HYPERLINK("https://dl.dropboxusercontent.com/scl/fi/pdeutlcg0zgr5iv48cc7e/99976af.png?rlkey=3ktgizc041uqcp403zpu0tvj7&amp;dl=0","Click to download Image")</f>
      </c>
      <c r="B6177" s="0">
        <f>HYPERLINK("https://dl.dropboxusercontent.com/scl/fi/doqy0hzji1j9aimvfbbxc/size-charts-women-s-standard-relaxed-fit-2.jpg?rlkey=3m1qesy4118pbq1472shvters&amp;dl=0","Click to download SizeChart")</f>
      </c>
      <c r="C6177" s="0" t="inlineStr">
        <is>
          <t>Evelyn Women's T-Shirt</t>
        </is>
      </c>
      <c r="D6177" s="0" t="inlineStr">
        <is>
          <t>'99976</t>
        </is>
      </c>
      <c r="E6177" s="0" t="inlineStr">
        <is>
          <t>EVELYN:99976A-S</t>
        </is>
      </c>
      <c r="F6177" s="0" t="inlineStr">
        <is>
          <t>'000000000000</t>
        </is>
      </c>
      <c r="G6177" s="0" t="inlineStr">
        <is>
          <t>WOMENS</t>
        </is>
      </c>
      <c r="H6177" s="0" t="inlineStr">
        <is>
          <t>S</t>
        </is>
      </c>
      <c r="I6177" s="0">
        <v>39.99</v>
      </c>
      <c r="J6177" s="0">
        <v>81</v>
      </c>
    </row>
    <row r="6178" spans="1:10" customHeight="0">
      <c r="A6178" s="0">
        <f>HYPERLINK("https://dl.dropboxusercontent.com/scl/fi/pdeutlcg0zgr5iv48cc7e/99976af.png?rlkey=3ktgizc041uqcp403zpu0tvj7&amp;dl=0","Click to download Image")</f>
      </c>
      <c r="B6178" s="0">
        <f>HYPERLINK("https://dl.dropboxusercontent.com/scl/fi/doqy0hzji1j9aimvfbbxc/size-charts-women-s-standard-relaxed-fit-2.jpg?rlkey=3m1qesy4118pbq1472shvters&amp;dl=0","Click to download SizeChart")</f>
      </c>
      <c r="C6178" s="0" t="inlineStr">
        <is>
          <t>Evelyn Women's T-Shirt</t>
        </is>
      </c>
      <c r="D6178" s="0" t="inlineStr">
        <is>
          <t>'99976</t>
        </is>
      </c>
      <c r="E6178" s="0" t="inlineStr">
        <is>
          <t>EVELYN:99976B-M</t>
        </is>
      </c>
      <c r="F6178" s="0" t="inlineStr">
        <is>
          <t>'000000000000</t>
        </is>
      </c>
      <c r="G6178" s="0" t="inlineStr">
        <is>
          <t>WOMENS</t>
        </is>
      </c>
      <c r="H6178" s="0" t="inlineStr">
        <is>
          <t>M</t>
        </is>
      </c>
      <c r="I6178" s="0">
        <v>39.99</v>
      </c>
      <c r="J6178" s="0">
        <v>99</v>
      </c>
    </row>
    <row r="6179" spans="1:10" customHeight="0">
      <c r="A6179" s="0">
        <f>HYPERLINK("https://dl.dropboxusercontent.com/scl/fi/pdeutlcg0zgr5iv48cc7e/99976af.png?rlkey=3ktgizc041uqcp403zpu0tvj7&amp;dl=0","Click to download Image")</f>
      </c>
      <c r="B6179" s="0">
        <f>HYPERLINK("https://dl.dropboxusercontent.com/scl/fi/doqy0hzji1j9aimvfbbxc/size-charts-women-s-standard-relaxed-fit-2.jpg?rlkey=3m1qesy4118pbq1472shvters&amp;dl=0","Click to download SizeChart")</f>
      </c>
      <c r="C6179" s="0" t="inlineStr">
        <is>
          <t>Evelyn Women's T-Shirt</t>
        </is>
      </c>
      <c r="D6179" s="0" t="inlineStr">
        <is>
          <t>'99976</t>
        </is>
      </c>
      <c r="E6179" s="0" t="inlineStr">
        <is>
          <t>EVELYN:99976C-L</t>
        </is>
      </c>
      <c r="F6179" s="0" t="inlineStr">
        <is>
          <t>'000000000000</t>
        </is>
      </c>
      <c r="G6179" s="0" t="inlineStr">
        <is>
          <t>WOMENS</t>
        </is>
      </c>
      <c r="H6179" s="0" t="inlineStr">
        <is>
          <t>L</t>
        </is>
      </c>
      <c r="I6179" s="0">
        <v>39.99</v>
      </c>
      <c r="J6179" s="0">
        <v>96</v>
      </c>
    </row>
    <row r="6180" spans="1:10" customHeight="0">
      <c r="A6180" s="0">
        <f>HYPERLINK("https://dl.dropboxusercontent.com/scl/fi/pdeutlcg0zgr5iv48cc7e/99976af.png?rlkey=3ktgizc041uqcp403zpu0tvj7&amp;dl=0","Click to download Image")</f>
      </c>
      <c r="B6180" s="0">
        <f>HYPERLINK("https://dl.dropboxusercontent.com/scl/fi/doqy0hzji1j9aimvfbbxc/size-charts-women-s-standard-relaxed-fit-2.jpg?rlkey=3m1qesy4118pbq1472shvters&amp;dl=0","Click to download SizeChart")</f>
      </c>
      <c r="C6180" s="0" t="inlineStr">
        <is>
          <t>Evelyn Women's T-Shirt</t>
        </is>
      </c>
      <c r="D6180" s="0" t="inlineStr">
        <is>
          <t>'99976</t>
        </is>
      </c>
      <c r="E6180" s="0" t="inlineStr">
        <is>
          <t>EVELYN:99976D-XL</t>
        </is>
      </c>
      <c r="F6180" s="0" t="inlineStr">
        <is>
          <t>'000000000000</t>
        </is>
      </c>
      <c r="G6180" s="0" t="inlineStr">
        <is>
          <t>WOMENS</t>
        </is>
      </c>
      <c r="H6180" s="0" t="inlineStr">
        <is>
          <t>XL</t>
        </is>
      </c>
      <c r="I6180" s="0">
        <v>39.99</v>
      </c>
      <c r="J6180" s="0">
        <v>71</v>
      </c>
    </row>
    <row r="6181" spans="1:10" customHeight="0">
      <c r="A6181" s="0">
        <f>HYPERLINK("https://dl.dropboxusercontent.com/scl/fi/pdeutlcg0zgr5iv48cc7e/99976af.png?rlkey=3ktgizc041uqcp403zpu0tvj7&amp;dl=0","Click to download Image")</f>
      </c>
      <c r="B6181" s="0">
        <f>HYPERLINK("https://dl.dropboxusercontent.com/scl/fi/doqy0hzji1j9aimvfbbxc/size-charts-women-s-standard-relaxed-fit-2.jpg?rlkey=3m1qesy4118pbq1472shvters&amp;dl=0","Click to download SizeChart")</f>
      </c>
      <c r="C6181" s="0" t="inlineStr">
        <is>
          <t>Evelyn Women's T-Shirt</t>
        </is>
      </c>
      <c r="D6181" s="0" t="inlineStr">
        <is>
          <t>'99976</t>
        </is>
      </c>
      <c r="E6181" s="0" t="inlineStr">
        <is>
          <t>EVELYN:99976E-2XL</t>
        </is>
      </c>
      <c r="F6181" s="0" t="inlineStr">
        <is>
          <t>'000000000000</t>
        </is>
      </c>
      <c r="G6181" s="0" t="inlineStr">
        <is>
          <t>WOMENS</t>
        </is>
      </c>
      <c r="H6181" s="0" t="inlineStr">
        <is>
          <t>2XL</t>
        </is>
      </c>
      <c r="I6181" s="0">
        <v>41.99</v>
      </c>
      <c r="J6181" s="0">
        <v>75</v>
      </c>
    </row>
    <row r="6182" spans="1:10" customHeight="0">
      <c r="A6182" s="0">
        <f>HYPERLINK("https://dl.dropboxusercontent.com/scl/fi/pdeutlcg0zgr5iv48cc7e/99976af.png?rlkey=3ktgizc041uqcp403zpu0tvj7&amp;dl=0","Click to download Image")</f>
      </c>
      <c r="B6182" s="0">
        <f>HYPERLINK("https://dl.dropboxusercontent.com/scl/fi/doqy0hzji1j9aimvfbbxc/size-charts-women-s-standard-relaxed-fit-2.jpg?rlkey=3m1qesy4118pbq1472shvters&amp;dl=0","Click to download SizeChart")</f>
      </c>
      <c r="C6182" s="0" t="inlineStr">
        <is>
          <t>Evelyn Women's T-Shirt</t>
        </is>
      </c>
      <c r="D6182" s="0" t="inlineStr">
        <is>
          <t>'99976</t>
        </is>
      </c>
      <c r="E6182" s="0" t="inlineStr">
        <is>
          <t>EVELYN:99976F-3XL</t>
        </is>
      </c>
      <c r="F6182" s="0" t="inlineStr">
        <is>
          <t>'000000000000</t>
        </is>
      </c>
      <c r="G6182" s="0" t="inlineStr">
        <is>
          <t>WOMENS</t>
        </is>
      </c>
      <c r="H6182" s="0" t="inlineStr">
        <is>
          <t>3XL</t>
        </is>
      </c>
      <c r="I6182" s="0">
        <v>41.99</v>
      </c>
      <c r="J6182" s="0">
        <v>17</v>
      </c>
    </row>
    <row r="6183" spans="1:10" customHeight="0">
      <c r="A6183" s="0">
        <f>HYPERLINK("https://dl.dropboxusercontent.com/scl/fi/qvopih6rr892jenk8bf79/98642af60151.jpg?rlkey=zldosdf3z6m7rf92tydp6f2u5&amp;dl=0","Click to download Image")</f>
      </c>
      <c r="C6183" s="0" t="inlineStr">
        <is>
          <t>Emerson Youth Beanie</t>
        </is>
      </c>
      <c r="D6183" s="0" t="inlineStr">
        <is>
          <t>'98642</t>
        </is>
      </c>
      <c r="E6183" s="0" t="inlineStr">
        <is>
          <t>EMERSON:98642</t>
        </is>
      </c>
      <c r="F6183" s="0" t="inlineStr">
        <is>
          <t>'000000000000</t>
        </is>
      </c>
      <c r="G6183" s="0" t="inlineStr">
        <is>
          <t>YOUTH</t>
        </is>
      </c>
      <c r="H6183" s="0" t="inlineStr">
        <is>
          <t>YOUTH</t>
        </is>
      </c>
      <c r="I6183" s="0">
        <v>24.99</v>
      </c>
      <c r="J6183" s="0">
        <v>153</v>
      </c>
    </row>
    <row r="6184" spans="1:10" customHeight="0">
      <c r="A6184" s="0">
        <f>HYPERLINK("https://dl.dropboxusercontent.com/scl/fi/1cay63nxp9su0e20aepx0/jacobt.jpg?rlkey=14nj9z4xd6bf2s6536wui6ioo&amp;dl=0","Click to download Image")</f>
      </c>
      <c r="C6184" s="0" t="inlineStr">
        <is>
          <t>Jacob Toddler Long Sleeve</t>
        </is>
      </c>
      <c r="D6184" s="0" t="inlineStr">
        <is>
          <t>'95716</t>
        </is>
      </c>
      <c r="E6184" s="0" t="inlineStr">
        <is>
          <t>JACOB:95716A-2T</t>
        </is>
      </c>
      <c r="F6184" s="0" t="inlineStr">
        <is>
          <t>'000000000000</t>
        </is>
      </c>
      <c r="G6184" s="0" t="inlineStr">
        <is>
          <t>TODDLER</t>
        </is>
      </c>
      <c r="H6184" s="0" t="inlineStr">
        <is>
          <t>2T</t>
        </is>
      </c>
      <c r="I6184" s="0">
        <v>24.99</v>
      </c>
      <c r="J6184" s="0">
        <v>51</v>
      </c>
    </row>
    <row r="6185" spans="1:10" customHeight="0">
      <c r="A6185" s="0">
        <f>HYPERLINK("https://dl.dropboxusercontent.com/scl/fi/1cay63nxp9su0e20aepx0/jacobt.jpg?rlkey=14nj9z4xd6bf2s6536wui6ioo&amp;dl=0","Click to download Image")</f>
      </c>
      <c r="C6185" s="0" t="inlineStr">
        <is>
          <t>Jacob Toddler Long Sleeve</t>
        </is>
      </c>
      <c r="D6185" s="0" t="inlineStr">
        <is>
          <t>'95716</t>
        </is>
      </c>
      <c r="E6185" s="0" t="inlineStr">
        <is>
          <t>JACOB:95716B-3T</t>
        </is>
      </c>
      <c r="F6185" s="0" t="inlineStr">
        <is>
          <t>'000000000000</t>
        </is>
      </c>
      <c r="G6185" s="0" t="inlineStr">
        <is>
          <t>TODDLER</t>
        </is>
      </c>
      <c r="H6185" s="0" t="inlineStr">
        <is>
          <t>3T</t>
        </is>
      </c>
      <c r="I6185" s="0">
        <v>24.99</v>
      </c>
      <c r="J6185" s="0">
        <v>54</v>
      </c>
    </row>
    <row r="6186" spans="1:10" customHeight="0">
      <c r="A6186" s="0">
        <f>HYPERLINK("https://dl.dropboxusercontent.com/scl/fi/1cay63nxp9su0e20aepx0/jacobt.jpg?rlkey=14nj9z4xd6bf2s6536wui6ioo&amp;dl=0","Click to download Image")</f>
      </c>
      <c r="C6186" s="0" t="inlineStr">
        <is>
          <t>Jacob Toddler Long Sleeve</t>
        </is>
      </c>
      <c r="D6186" s="0" t="inlineStr">
        <is>
          <t>'95716</t>
        </is>
      </c>
      <c r="E6186" s="0" t="inlineStr">
        <is>
          <t>JACOB:95716C-4T</t>
        </is>
      </c>
      <c r="F6186" s="0" t="inlineStr">
        <is>
          <t>'000000000000</t>
        </is>
      </c>
      <c r="G6186" s="0" t="inlineStr">
        <is>
          <t>TODDLER</t>
        </is>
      </c>
      <c r="H6186" s="0" t="inlineStr">
        <is>
          <t>4T</t>
        </is>
      </c>
      <c r="I6186" s="0">
        <v>24.99</v>
      </c>
      <c r="J6186" s="0">
        <v>55</v>
      </c>
    </row>
    <row r="6187" spans="1:10" customHeight="0">
      <c r="A6187" s="0">
        <f>HYPERLINK("https://dl.dropboxusercontent.com/scl/fi/1cay63nxp9su0e20aepx0/jacobt.jpg?rlkey=14nj9z4xd6bf2s6536wui6ioo&amp;dl=0","Click to download Image")</f>
      </c>
      <c r="C6187" s="0" t="inlineStr">
        <is>
          <t>Jacob Toddler Long Sleeve</t>
        </is>
      </c>
      <c r="D6187" s="0" t="inlineStr">
        <is>
          <t>'95716</t>
        </is>
      </c>
      <c r="E6187" s="0" t="inlineStr">
        <is>
          <t>JACOB:95716D-5T</t>
        </is>
      </c>
      <c r="F6187" s="0" t="inlineStr">
        <is>
          <t>'000000000000</t>
        </is>
      </c>
      <c r="G6187" s="0" t="inlineStr">
        <is>
          <t>TODDLER</t>
        </is>
      </c>
      <c r="H6187" s="0" t="inlineStr">
        <is>
          <t>5T</t>
        </is>
      </c>
      <c r="I6187" s="0">
        <v>24.99</v>
      </c>
      <c r="J6187" s="0">
        <v>63</v>
      </c>
    </row>
    <row r="6188" spans="1:10" customHeight="0">
      <c r="A6188" s="0">
        <f>HYPERLINK("https://dl.dropboxusercontent.com/scl/fi/djm4advlf79cmavf1e78f/99575af.jpg?rlkey=4p5q47duu8i0bk2p6f2027iup&amp;dl=0","Click to download Image")</f>
      </c>
      <c r="B6188" s="0">
        <f>HYPERLINK("https://dl.dropboxusercontent.com/scl/fi/totsrrzqb2i2y4ozoyf0j/graphic-update2022-youth.jpg?rlkey=0zf4z9wp1p6qeqtyv9fy02ler&amp;dl=0","Click to download SizeChart")</f>
      </c>
      <c r="C6188" s="0" t="inlineStr">
        <is>
          <t>Blair Youth T-Shirt</t>
        </is>
      </c>
      <c r="D6188" s="0" t="inlineStr">
        <is>
          <t>'99575</t>
        </is>
      </c>
      <c r="E6188" s="0" t="inlineStr">
        <is>
          <t>BLAIR:99575A-S</t>
        </is>
      </c>
      <c r="F6188" s="0" t="inlineStr">
        <is>
          <t>'000000000000</t>
        </is>
      </c>
      <c r="G6188" s="0" t="inlineStr">
        <is>
          <t>YOUTH</t>
        </is>
      </c>
      <c r="H6188" s="0" t="inlineStr">
        <is>
          <t>YS</t>
        </is>
      </c>
      <c r="I6188" s="0">
        <v>24.99</v>
      </c>
      <c r="J6188" s="0">
        <v>0</v>
      </c>
    </row>
    <row r="6189" spans="1:10" customHeight="0">
      <c r="A6189" s="0">
        <f>HYPERLINK("https://dl.dropboxusercontent.com/scl/fi/djm4advlf79cmavf1e78f/99575af.jpg?rlkey=4p5q47duu8i0bk2p6f2027iup&amp;dl=0","Click to download Image")</f>
      </c>
      <c r="B6189" s="0">
        <f>HYPERLINK("https://dl.dropboxusercontent.com/scl/fi/totsrrzqb2i2y4ozoyf0j/graphic-update2022-youth.jpg?rlkey=0zf4z9wp1p6qeqtyv9fy02ler&amp;dl=0","Click to download SizeChart")</f>
      </c>
      <c r="C6189" s="0" t="inlineStr">
        <is>
          <t>Blair Youth T-Shirt</t>
        </is>
      </c>
      <c r="D6189" s="0" t="inlineStr">
        <is>
          <t>'99575</t>
        </is>
      </c>
      <c r="E6189" s="0" t="inlineStr">
        <is>
          <t>BLAIR:99575B-M</t>
        </is>
      </c>
      <c r="F6189" s="0" t="inlineStr">
        <is>
          <t>'000000000000</t>
        </is>
      </c>
      <c r="G6189" s="0" t="inlineStr">
        <is>
          <t>YOUTH</t>
        </is>
      </c>
      <c r="H6189" s="0" t="inlineStr">
        <is>
          <t>YM</t>
        </is>
      </c>
      <c r="I6189" s="0">
        <v>24.99</v>
      </c>
      <c r="J6189" s="0">
        <v>0</v>
      </c>
    </row>
    <row r="6190" spans="1:10" customHeight="0">
      <c r="A6190" s="0">
        <f>HYPERLINK("https://dl.dropboxusercontent.com/scl/fi/djm4advlf79cmavf1e78f/99575af.jpg?rlkey=4p5q47duu8i0bk2p6f2027iup&amp;dl=0","Click to download Image")</f>
      </c>
      <c r="B6190" s="0">
        <f>HYPERLINK("https://dl.dropboxusercontent.com/scl/fi/totsrrzqb2i2y4ozoyf0j/graphic-update2022-youth.jpg?rlkey=0zf4z9wp1p6qeqtyv9fy02ler&amp;dl=0","Click to download SizeChart")</f>
      </c>
      <c r="C6190" s="0" t="inlineStr">
        <is>
          <t>Blair Youth T-Shirt</t>
        </is>
      </c>
      <c r="D6190" s="0" t="inlineStr">
        <is>
          <t>'99575</t>
        </is>
      </c>
      <c r="E6190" s="0" t="inlineStr">
        <is>
          <t>BLAIR:99575C-L</t>
        </is>
      </c>
      <c r="F6190" s="0" t="inlineStr">
        <is>
          <t>'000000000000</t>
        </is>
      </c>
      <c r="G6190" s="0" t="inlineStr">
        <is>
          <t>YOUTH</t>
        </is>
      </c>
      <c r="H6190" s="0" t="inlineStr">
        <is>
          <t>YL</t>
        </is>
      </c>
      <c r="I6190" s="0">
        <v>24.99</v>
      </c>
      <c r="J6190" s="0">
        <v>9</v>
      </c>
    </row>
    <row r="6191" spans="1:10" customHeight="0">
      <c r="A6191" s="0">
        <f>HYPERLINK("https://dl.dropboxusercontent.com/scl/fi/djm4advlf79cmavf1e78f/99575af.jpg?rlkey=4p5q47duu8i0bk2p6f2027iup&amp;dl=0","Click to download Image")</f>
      </c>
      <c r="B6191" s="0">
        <f>HYPERLINK("https://dl.dropboxusercontent.com/scl/fi/totsrrzqb2i2y4ozoyf0j/graphic-update2022-youth.jpg?rlkey=0zf4z9wp1p6qeqtyv9fy02ler&amp;dl=0","Click to download SizeChart")</f>
      </c>
      <c r="C6191" s="0" t="inlineStr">
        <is>
          <t>Blair Youth T-Shirt</t>
        </is>
      </c>
      <c r="D6191" s="0" t="inlineStr">
        <is>
          <t>'99575</t>
        </is>
      </c>
      <c r="E6191" s="0" t="inlineStr">
        <is>
          <t>BLAIR:99575D-XL</t>
        </is>
      </c>
      <c r="F6191" s="0" t="inlineStr">
        <is>
          <t>'000000000000</t>
        </is>
      </c>
      <c r="G6191" s="0" t="inlineStr">
        <is>
          <t>YOUTH</t>
        </is>
      </c>
      <c r="H6191" s="0" t="inlineStr">
        <is>
          <t>YXL</t>
        </is>
      </c>
      <c r="I6191" s="0">
        <v>24.99</v>
      </c>
      <c r="J6191" s="0">
        <v>27</v>
      </c>
    </row>
    <row r="6192" spans="1:10" customHeight="0">
      <c r="A6192" s="0">
        <f>HYPERLINK("https://dl.dropboxusercontent.com/scl/fi/4p95ableatd0p9xzcahwv/99883af.jpg?rlkey=6uvjylvaxr2r6at2mxnzo503m&amp;dl=0","Click to download Image")</f>
      </c>
      <c r="B6192" s="0">
        <f>HYPERLINK("https://dl.dropboxusercontent.com/scl/fi/totsrrzqb2i2y4ozoyf0j/graphic-update2022-youth.jpg?rlkey=0zf4z9wp1p6qeqtyv9fy02ler&amp;dl=0","Click to download SizeChart")</f>
      </c>
      <c r="C6192" s="0" t="inlineStr">
        <is>
          <t>Blair Youth T-Shirt</t>
        </is>
      </c>
      <c r="D6192" s="0" t="inlineStr">
        <is>
          <t>'99883</t>
        </is>
      </c>
      <c r="E6192" s="0" t="inlineStr">
        <is>
          <t>BLAIR:99883A-S</t>
        </is>
      </c>
      <c r="F6192" s="0" t="inlineStr">
        <is>
          <t>'000000000000</t>
        </is>
      </c>
      <c r="G6192" s="0" t="inlineStr">
        <is>
          <t>YOUTH</t>
        </is>
      </c>
      <c r="H6192" s="0" t="inlineStr">
        <is>
          <t>YS</t>
        </is>
      </c>
      <c r="I6192" s="0">
        <v>24.99</v>
      </c>
      <c r="J6192" s="0">
        <v>33</v>
      </c>
    </row>
    <row r="6193" spans="1:10" customHeight="0">
      <c r="A6193" s="0">
        <f>HYPERLINK("https://dl.dropboxusercontent.com/scl/fi/4p95ableatd0p9xzcahwv/99883af.jpg?rlkey=6uvjylvaxr2r6at2mxnzo503m&amp;dl=0","Click to download Image")</f>
      </c>
      <c r="B6193" s="0">
        <f>HYPERLINK("https://dl.dropboxusercontent.com/scl/fi/totsrrzqb2i2y4ozoyf0j/graphic-update2022-youth.jpg?rlkey=0zf4z9wp1p6qeqtyv9fy02ler&amp;dl=0","Click to download SizeChart")</f>
      </c>
      <c r="C6193" s="0" t="inlineStr">
        <is>
          <t>Blair Youth T-Shirt</t>
        </is>
      </c>
      <c r="D6193" s="0" t="inlineStr">
        <is>
          <t>'99883</t>
        </is>
      </c>
      <c r="E6193" s="0" t="inlineStr">
        <is>
          <t>BLAIR:99883B-M</t>
        </is>
      </c>
      <c r="F6193" s="0" t="inlineStr">
        <is>
          <t>'000000000000</t>
        </is>
      </c>
      <c r="G6193" s="0" t="inlineStr">
        <is>
          <t>YOUTH</t>
        </is>
      </c>
      <c r="H6193" s="0" t="inlineStr">
        <is>
          <t>YM</t>
        </is>
      </c>
      <c r="I6193" s="0">
        <v>24.99</v>
      </c>
      <c r="J6193" s="0">
        <v>28</v>
      </c>
    </row>
    <row r="6194" spans="1:10" customHeight="0">
      <c r="A6194" s="0">
        <f>HYPERLINK("https://dl.dropboxusercontent.com/scl/fi/4p95ableatd0p9xzcahwv/99883af.jpg?rlkey=6uvjylvaxr2r6at2mxnzo503m&amp;dl=0","Click to download Image")</f>
      </c>
      <c r="B6194" s="0">
        <f>HYPERLINK("https://dl.dropboxusercontent.com/scl/fi/totsrrzqb2i2y4ozoyf0j/graphic-update2022-youth.jpg?rlkey=0zf4z9wp1p6qeqtyv9fy02ler&amp;dl=0","Click to download SizeChart")</f>
      </c>
      <c r="C6194" s="0" t="inlineStr">
        <is>
          <t>Blair Youth T-Shirt</t>
        </is>
      </c>
      <c r="D6194" s="0" t="inlineStr">
        <is>
          <t>'99883</t>
        </is>
      </c>
      <c r="E6194" s="0" t="inlineStr">
        <is>
          <t>BLAIR:99883C-L</t>
        </is>
      </c>
      <c r="F6194" s="0" t="inlineStr">
        <is>
          <t>'000000000000</t>
        </is>
      </c>
      <c r="G6194" s="0" t="inlineStr">
        <is>
          <t>YOUTH</t>
        </is>
      </c>
      <c r="H6194" s="0" t="inlineStr">
        <is>
          <t>YL</t>
        </is>
      </c>
      <c r="I6194" s="0">
        <v>24.99</v>
      </c>
      <c r="J6194" s="0">
        <v>29</v>
      </c>
    </row>
    <row r="6195" spans="1:10" customHeight="0">
      <c r="A6195" s="0">
        <f>HYPERLINK("https://dl.dropboxusercontent.com/scl/fi/4p95ableatd0p9xzcahwv/99883af.jpg?rlkey=6uvjylvaxr2r6at2mxnzo503m&amp;dl=0","Click to download Image")</f>
      </c>
      <c r="B6195" s="0">
        <f>HYPERLINK("https://dl.dropboxusercontent.com/scl/fi/totsrrzqb2i2y4ozoyf0j/graphic-update2022-youth.jpg?rlkey=0zf4z9wp1p6qeqtyv9fy02ler&amp;dl=0","Click to download SizeChart")</f>
      </c>
      <c r="C6195" s="0" t="inlineStr">
        <is>
          <t>Blair Youth T-Shirt</t>
        </is>
      </c>
      <c r="D6195" s="0" t="inlineStr">
        <is>
          <t>'99883</t>
        </is>
      </c>
      <c r="E6195" s="0" t="inlineStr">
        <is>
          <t>BLAIR:99883D-XL</t>
        </is>
      </c>
      <c r="F6195" s="0" t="inlineStr">
        <is>
          <t>'000000000000</t>
        </is>
      </c>
      <c r="G6195" s="0" t="inlineStr">
        <is>
          <t>YOUTH</t>
        </is>
      </c>
      <c r="H6195" s="0" t="inlineStr">
        <is>
          <t>YXL</t>
        </is>
      </c>
      <c r="I6195" s="0">
        <v>24.99</v>
      </c>
      <c r="J6195" s="0">
        <v>34</v>
      </c>
    </row>
    <row r="6196" spans="1:10" customHeight="0">
      <c r="A6196" s="0">
        <f>HYPERLINK("https://dl.dropboxusercontent.com/scl/fi/2z3g3h742sf2q8rtd2spo/99883af.jpg?rlkey=0074a2ti56u5uehvacu5qviwm&amp;dl=0","Click to download Image")</f>
      </c>
      <c r="B6196" s="0">
        <f>HYPERLINK("https://dl.dropboxusercontent.com/scl/fi/jk4uj59knwhw8kjxde2qd/graphic-update2022-toddler.jpg?rlkey=mq3yo34pq0ghfbuh8y8byfd1j&amp;dl=0","Click to download SizeChart")</f>
      </c>
      <c r="C6196" s="0" t="inlineStr">
        <is>
          <t>Blair Toddler T-Shirt</t>
        </is>
      </c>
      <c r="D6196" s="0" t="inlineStr">
        <is>
          <t>'100678</t>
        </is>
      </c>
      <c r="E6196" s="0" t="inlineStr">
        <is>
          <t>BLAIR:100678A-2T</t>
        </is>
      </c>
      <c r="F6196" s="0" t="inlineStr">
        <is>
          <t>'000000000000</t>
        </is>
      </c>
      <c r="G6196" s="0" t="inlineStr">
        <is>
          <t>TODDLER</t>
        </is>
      </c>
      <c r="H6196" s="0" t="inlineStr">
        <is>
          <t>2T</t>
        </is>
      </c>
      <c r="I6196" s="0">
        <v>24.99</v>
      </c>
      <c r="J6196" s="0">
        <v>33</v>
      </c>
    </row>
    <row r="6197" spans="1:10" customHeight="0">
      <c r="A6197" s="0">
        <f>HYPERLINK("https://dl.dropboxusercontent.com/scl/fi/2z3g3h742sf2q8rtd2spo/99883af.jpg?rlkey=0074a2ti56u5uehvacu5qviwm&amp;dl=0","Click to download Image")</f>
      </c>
      <c r="B6197" s="0">
        <f>HYPERLINK("https://dl.dropboxusercontent.com/scl/fi/jk4uj59knwhw8kjxde2qd/graphic-update2022-toddler.jpg?rlkey=mq3yo34pq0ghfbuh8y8byfd1j&amp;dl=0","Click to download SizeChart")</f>
      </c>
      <c r="C6197" s="0" t="inlineStr">
        <is>
          <t>Blair Toddler T-Shirt</t>
        </is>
      </c>
      <c r="D6197" s="0" t="inlineStr">
        <is>
          <t>'100678</t>
        </is>
      </c>
      <c r="E6197" s="0" t="inlineStr">
        <is>
          <t>BLAIR:100678B-3T</t>
        </is>
      </c>
      <c r="F6197" s="0" t="inlineStr">
        <is>
          <t>'000000000000</t>
        </is>
      </c>
      <c r="G6197" s="0" t="inlineStr">
        <is>
          <t>TODDLER</t>
        </is>
      </c>
      <c r="H6197" s="0" t="inlineStr">
        <is>
          <t>3T</t>
        </is>
      </c>
      <c r="I6197" s="0">
        <v>24.99</v>
      </c>
      <c r="J6197" s="0">
        <v>38</v>
      </c>
    </row>
    <row r="6198" spans="1:10" customHeight="0">
      <c r="A6198" s="0">
        <f>HYPERLINK("https://dl.dropboxusercontent.com/scl/fi/2z3g3h742sf2q8rtd2spo/99883af.jpg?rlkey=0074a2ti56u5uehvacu5qviwm&amp;dl=0","Click to download Image")</f>
      </c>
      <c r="B6198" s="0">
        <f>HYPERLINK("https://dl.dropboxusercontent.com/scl/fi/jk4uj59knwhw8kjxde2qd/graphic-update2022-toddler.jpg?rlkey=mq3yo34pq0ghfbuh8y8byfd1j&amp;dl=0","Click to download SizeChart")</f>
      </c>
      <c r="C6198" s="0" t="inlineStr">
        <is>
          <t>Blair Toddler T-Shirt</t>
        </is>
      </c>
      <c r="D6198" s="0" t="inlineStr">
        <is>
          <t>'100678</t>
        </is>
      </c>
      <c r="E6198" s="0" t="inlineStr">
        <is>
          <t>BLAIR:100678C-4T</t>
        </is>
      </c>
      <c r="F6198" s="0" t="inlineStr">
        <is>
          <t>'000000000000</t>
        </is>
      </c>
      <c r="G6198" s="0" t="inlineStr">
        <is>
          <t>TODDLER</t>
        </is>
      </c>
      <c r="H6198" s="0" t="inlineStr">
        <is>
          <t>4T</t>
        </is>
      </c>
      <c r="I6198" s="0">
        <v>24.99</v>
      </c>
      <c r="J6198" s="0">
        <v>35</v>
      </c>
    </row>
    <row r="6199" spans="1:10" customHeight="0">
      <c r="A6199" s="0">
        <f>HYPERLINK("https://dl.dropboxusercontent.com/scl/fi/2z3g3h742sf2q8rtd2spo/99883af.jpg?rlkey=0074a2ti56u5uehvacu5qviwm&amp;dl=0","Click to download Image")</f>
      </c>
      <c r="B6199" s="0">
        <f>HYPERLINK("https://dl.dropboxusercontent.com/scl/fi/jk4uj59knwhw8kjxde2qd/graphic-update2022-toddler.jpg?rlkey=mq3yo34pq0ghfbuh8y8byfd1j&amp;dl=0","Click to download SizeChart")</f>
      </c>
      <c r="C6199" s="0" t="inlineStr">
        <is>
          <t>Blair Toddler T-Shirt</t>
        </is>
      </c>
      <c r="D6199" s="0" t="inlineStr">
        <is>
          <t>'100678</t>
        </is>
      </c>
      <c r="E6199" s="0" t="inlineStr">
        <is>
          <t>BLAIR:100678D-5T</t>
        </is>
      </c>
      <c r="F6199" s="0" t="inlineStr">
        <is>
          <t>'000000000000</t>
        </is>
      </c>
      <c r="G6199" s="0" t="inlineStr">
        <is>
          <t>TODDLER</t>
        </is>
      </c>
      <c r="H6199" s="0" t="inlineStr">
        <is>
          <t>5T</t>
        </is>
      </c>
      <c r="I6199" s="0">
        <v>24.99</v>
      </c>
      <c r="J6199" s="0">
        <v>35</v>
      </c>
    </row>
    <row r="6200" spans="1:10" customHeight="0">
      <c r="A6200" s="0">
        <f>HYPERLINK("https://dl.dropboxusercontent.com/scl/fi/etf9xwaz8hgt7tbtt356q/afton-t.jpg?rlkey=4p66o2j4020o94p38051kpeck&amp;dl=0","Click to download Image")</f>
      </c>
      <c r="B6200" s="0">
        <f>HYPERLINK("https://dl.dropboxusercontent.com/scl/fi/wev0jiq8ueme1riz00kid/size-charts-youth-standard-shirt.jpg?rlkey=eb6bus7b03d0gkft8x12jyh7u&amp;dl=0","Click to download SizeChart")</f>
      </c>
      <c r="C6200" s="0" t="inlineStr">
        <is>
          <t>Afton Youth T-Shirt</t>
        </is>
      </c>
      <c r="D6200" s="0" t="inlineStr">
        <is>
          <t>'101464</t>
        </is>
      </c>
      <c r="E6200" s="0" t="inlineStr">
        <is>
          <t>AFTON:101464A-YS</t>
        </is>
      </c>
      <c r="F6200" s="0" t="inlineStr">
        <is>
          <t>'000000000000</t>
        </is>
      </c>
      <c r="G6200" s="0" t="inlineStr">
        <is>
          <t>YOUTH</t>
        </is>
      </c>
      <c r="H6200" s="0" t="inlineStr">
        <is>
          <t>YS</t>
        </is>
      </c>
      <c r="I6200" s="0">
        <v>25.99</v>
      </c>
      <c r="J6200" s="0">
        <v>48</v>
      </c>
    </row>
    <row r="6201" spans="1:10" customHeight="0">
      <c r="A6201" s="0">
        <f>HYPERLINK("https://dl.dropboxusercontent.com/scl/fi/etf9xwaz8hgt7tbtt356q/afton-t.jpg?rlkey=4p66o2j4020o94p38051kpeck&amp;dl=0","Click to download Image")</f>
      </c>
      <c r="B6201" s="0">
        <f>HYPERLINK("https://dl.dropboxusercontent.com/scl/fi/wev0jiq8ueme1riz00kid/size-charts-youth-standard-shirt.jpg?rlkey=eb6bus7b03d0gkft8x12jyh7u&amp;dl=0","Click to download SizeChart")</f>
      </c>
      <c r="C6201" s="0" t="inlineStr">
        <is>
          <t>Afton Youth T-Shirt</t>
        </is>
      </c>
      <c r="D6201" s="0" t="inlineStr">
        <is>
          <t>'101464</t>
        </is>
      </c>
      <c r="E6201" s="0" t="inlineStr">
        <is>
          <t>AFTON:101464B-YM</t>
        </is>
      </c>
      <c r="F6201" s="0" t="inlineStr">
        <is>
          <t>'000000000000</t>
        </is>
      </c>
      <c r="G6201" s="0" t="inlineStr">
        <is>
          <t>YOUTH</t>
        </is>
      </c>
      <c r="H6201" s="0" t="inlineStr">
        <is>
          <t>YM</t>
        </is>
      </c>
      <c r="I6201" s="0">
        <v>25.99</v>
      </c>
      <c r="J6201" s="0">
        <v>39</v>
      </c>
    </row>
    <row r="6202" spans="1:10" customHeight="0">
      <c r="A6202" s="0">
        <f>HYPERLINK("https://dl.dropboxusercontent.com/scl/fi/etf9xwaz8hgt7tbtt356q/afton-t.jpg?rlkey=4p66o2j4020o94p38051kpeck&amp;dl=0","Click to download Image")</f>
      </c>
      <c r="B6202" s="0">
        <f>HYPERLINK("https://dl.dropboxusercontent.com/scl/fi/wev0jiq8ueme1riz00kid/size-charts-youth-standard-shirt.jpg?rlkey=eb6bus7b03d0gkft8x12jyh7u&amp;dl=0","Click to download SizeChart")</f>
      </c>
      <c r="C6202" s="0" t="inlineStr">
        <is>
          <t>Afton Youth T-Shirt</t>
        </is>
      </c>
      <c r="D6202" s="0" t="inlineStr">
        <is>
          <t>'101464</t>
        </is>
      </c>
      <c r="E6202" s="0" t="inlineStr">
        <is>
          <t>AFTON:101464C-YL</t>
        </is>
      </c>
      <c r="F6202" s="0" t="inlineStr">
        <is>
          <t>'000000000000</t>
        </is>
      </c>
      <c r="G6202" s="0" t="inlineStr">
        <is>
          <t>YOUTH</t>
        </is>
      </c>
      <c r="H6202" s="0" t="inlineStr">
        <is>
          <t>YL</t>
        </is>
      </c>
      <c r="I6202" s="0">
        <v>25.99</v>
      </c>
      <c r="J6202" s="0">
        <v>53</v>
      </c>
    </row>
    <row r="6203" spans="1:10" customHeight="0">
      <c r="A6203" s="0">
        <f>HYPERLINK("https://dl.dropboxusercontent.com/scl/fi/etf9xwaz8hgt7tbtt356q/afton-t.jpg?rlkey=4p66o2j4020o94p38051kpeck&amp;dl=0","Click to download Image")</f>
      </c>
      <c r="B6203" s="0">
        <f>HYPERLINK("https://dl.dropboxusercontent.com/scl/fi/wev0jiq8ueme1riz00kid/size-charts-youth-standard-shirt.jpg?rlkey=eb6bus7b03d0gkft8x12jyh7u&amp;dl=0","Click to download SizeChart")</f>
      </c>
      <c r="C6203" s="0" t="inlineStr">
        <is>
          <t>Afton Youth T-Shirt</t>
        </is>
      </c>
      <c r="D6203" s="0" t="inlineStr">
        <is>
          <t>'101464</t>
        </is>
      </c>
      <c r="E6203" s="0" t="inlineStr">
        <is>
          <t>AFTON:101464D-YXL</t>
        </is>
      </c>
      <c r="F6203" s="0" t="inlineStr">
        <is>
          <t>'000000000000</t>
        </is>
      </c>
      <c r="G6203" s="0" t="inlineStr">
        <is>
          <t>YOUTH</t>
        </is>
      </c>
      <c r="H6203" s="0" t="inlineStr">
        <is>
          <t>YXL</t>
        </is>
      </c>
      <c r="I6203" s="0">
        <v>25.99</v>
      </c>
      <c r="J6203" s="0">
        <v>71</v>
      </c>
    </row>
    <row r="6204" spans="1:10" customHeight="0">
      <c r="A6204" s="0">
        <f>HYPERLINK("https://dl.dropboxusercontent.com/scl/fi/fxztreftbzx36sg7wznd3/99676af.jpg?rlkey=swkfsg1nvqrlv5ac1ztd6sgqu&amp;dl=0","Click to download Image")</f>
      </c>
      <c r="C6204" s="0" t="inlineStr">
        <is>
          <t>Bailey Women's Shorts</t>
        </is>
      </c>
      <c r="D6204" s="0" t="inlineStr">
        <is>
          <t>'99676</t>
        </is>
      </c>
      <c r="E6204" s="0" t="inlineStr">
        <is>
          <t>BAILEY:99676A-S</t>
        </is>
      </c>
      <c r="F6204" s="0" t="inlineStr">
        <is>
          <t>'000000000000</t>
        </is>
      </c>
      <c r="G6204" s="0" t="inlineStr">
        <is>
          <t>WOMENS</t>
        </is>
      </c>
      <c r="H6204" s="0" t="inlineStr">
        <is>
          <t>S</t>
        </is>
      </c>
      <c r="I6204" s="0">
        <v>39.99</v>
      </c>
      <c r="J6204" s="0">
        <v>40</v>
      </c>
    </row>
    <row r="6205" spans="1:10" customHeight="0">
      <c r="A6205" s="0">
        <f>HYPERLINK("https://dl.dropboxusercontent.com/scl/fi/fxztreftbzx36sg7wznd3/99676af.jpg?rlkey=swkfsg1nvqrlv5ac1ztd6sgqu&amp;dl=0","Click to download Image")</f>
      </c>
      <c r="C6205" s="0" t="inlineStr">
        <is>
          <t>Bailey Women's Shorts</t>
        </is>
      </c>
      <c r="D6205" s="0" t="inlineStr">
        <is>
          <t>'99676</t>
        </is>
      </c>
      <c r="E6205" s="0" t="inlineStr">
        <is>
          <t>BAILEY:99676B-M</t>
        </is>
      </c>
      <c r="F6205" s="0" t="inlineStr">
        <is>
          <t>'000000000000</t>
        </is>
      </c>
      <c r="G6205" s="0" t="inlineStr">
        <is>
          <t>WOMENS</t>
        </is>
      </c>
      <c r="H6205" s="0" t="inlineStr">
        <is>
          <t>M</t>
        </is>
      </c>
      <c r="I6205" s="0">
        <v>39.99</v>
      </c>
      <c r="J6205" s="0">
        <v>58</v>
      </c>
    </row>
    <row r="6206" spans="1:10" customHeight="0">
      <c r="A6206" s="0">
        <f>HYPERLINK("https://dl.dropboxusercontent.com/scl/fi/fxztreftbzx36sg7wznd3/99676af.jpg?rlkey=swkfsg1nvqrlv5ac1ztd6sgqu&amp;dl=0","Click to download Image")</f>
      </c>
      <c r="C6206" s="0" t="inlineStr">
        <is>
          <t>Bailey Women's Shorts</t>
        </is>
      </c>
      <c r="D6206" s="0" t="inlineStr">
        <is>
          <t>'99676</t>
        </is>
      </c>
      <c r="E6206" s="0" t="inlineStr">
        <is>
          <t>BAILEY:99676C-L</t>
        </is>
      </c>
      <c r="F6206" s="0" t="inlineStr">
        <is>
          <t>'000000000000</t>
        </is>
      </c>
      <c r="G6206" s="0" t="inlineStr">
        <is>
          <t>WOMENS</t>
        </is>
      </c>
      <c r="H6206" s="0" t="inlineStr">
        <is>
          <t>L</t>
        </is>
      </c>
      <c r="I6206" s="0">
        <v>39.99</v>
      </c>
      <c r="J6206" s="0">
        <v>112</v>
      </c>
    </row>
    <row r="6207" spans="1:10" customHeight="0">
      <c r="A6207" s="0">
        <f>HYPERLINK("https://dl.dropboxusercontent.com/scl/fi/fxztreftbzx36sg7wznd3/99676af.jpg?rlkey=swkfsg1nvqrlv5ac1ztd6sgqu&amp;dl=0","Click to download Image")</f>
      </c>
      <c r="C6207" s="0" t="inlineStr">
        <is>
          <t>Bailey Women's Shorts</t>
        </is>
      </c>
      <c r="D6207" s="0" t="inlineStr">
        <is>
          <t>'99676</t>
        </is>
      </c>
      <c r="E6207" s="0" t="inlineStr">
        <is>
          <t>BAILEY:99676D-XL</t>
        </is>
      </c>
      <c r="F6207" s="0" t="inlineStr">
        <is>
          <t>'000000000000</t>
        </is>
      </c>
      <c r="G6207" s="0" t="inlineStr">
        <is>
          <t>WOMENS</t>
        </is>
      </c>
      <c r="H6207" s="0" t="inlineStr">
        <is>
          <t>XL</t>
        </is>
      </c>
      <c r="I6207" s="0">
        <v>39.99</v>
      </c>
      <c r="J6207" s="0">
        <v>142</v>
      </c>
    </row>
    <row r="6208" spans="1:10" customHeight="0">
      <c r="A6208" s="0">
        <f>HYPERLINK("https://dl.dropboxusercontent.com/scl/fi/fxztreftbzx36sg7wznd3/99676af.jpg?rlkey=swkfsg1nvqrlv5ac1ztd6sgqu&amp;dl=0","Click to download Image")</f>
      </c>
      <c r="C6208" s="0" t="inlineStr">
        <is>
          <t>Bailey Women's Shorts</t>
        </is>
      </c>
      <c r="D6208" s="0" t="inlineStr">
        <is>
          <t>'99676</t>
        </is>
      </c>
      <c r="E6208" s="0" t="inlineStr">
        <is>
          <t>BAILEY:99676E-2XL</t>
        </is>
      </c>
      <c r="F6208" s="0" t="inlineStr">
        <is>
          <t>'000000000000</t>
        </is>
      </c>
      <c r="G6208" s="0" t="inlineStr">
        <is>
          <t>WOMENS</t>
        </is>
      </c>
      <c r="H6208" s="0" t="inlineStr">
        <is>
          <t>2XL</t>
        </is>
      </c>
      <c r="I6208" s="0">
        <v>41.99</v>
      </c>
      <c r="J6208" s="0">
        <v>47</v>
      </c>
    </row>
    <row r="6209" spans="1:10" customHeight="0">
      <c r="A6209" s="0">
        <f>HYPERLINK("https://dl.dropboxusercontent.com/scl/fi/2yfe085ojs5o3utjg1uou/love-02.jpg?rlkey=apdl5hs1x3ojvj6r79qdwqynn&amp;dl=0","Click to download Image")</f>
      </c>
      <c r="C6209" s="0" t="inlineStr">
        <is>
          <t>Lynn Love Infant Overall Dress</t>
        </is>
      </c>
      <c r="D6209" s="0" t="inlineStr">
        <is>
          <t>'109413</t>
        </is>
      </c>
      <c r="E6209" s="0" t="inlineStr">
        <is>
          <t>LYNN OVERALL INFANT:109413A - 0-3M</t>
        </is>
      </c>
      <c r="F6209" s="0" t="inlineStr">
        <is>
          <t>'000000000000</t>
        </is>
      </c>
      <c r="G6209" s="0" t="inlineStr">
        <is>
          <t>INFANT</t>
        </is>
      </c>
      <c r="H6209" s="0" t="inlineStr">
        <is>
          <t>0-3M</t>
        </is>
      </c>
      <c r="I6209" s="0">
        <v>29.99</v>
      </c>
      <c r="J6209" s="0">
        <v>59</v>
      </c>
    </row>
    <row r="6210" spans="1:10" customHeight="0">
      <c r="A6210" s="0">
        <f>HYPERLINK("https://dl.dropboxusercontent.com/scl/fi/2yfe085ojs5o3utjg1uou/love-02.jpg?rlkey=apdl5hs1x3ojvj6r79qdwqynn&amp;dl=0","Click to download Image")</f>
      </c>
      <c r="C6210" s="0" t="inlineStr">
        <is>
          <t>Lynn Love Infant Overall Dress</t>
        </is>
      </c>
      <c r="D6210" s="0" t="inlineStr">
        <is>
          <t>'109413</t>
        </is>
      </c>
      <c r="E6210" s="0" t="inlineStr">
        <is>
          <t>LYNN OVERALL INFANT:109413B - 3-6M</t>
        </is>
      </c>
      <c r="F6210" s="0" t="inlineStr">
        <is>
          <t>'000000000000</t>
        </is>
      </c>
      <c r="G6210" s="0" t="inlineStr">
        <is>
          <t>INFANT</t>
        </is>
      </c>
      <c r="H6210" s="0" t="inlineStr">
        <is>
          <t>3-6M</t>
        </is>
      </c>
      <c r="I6210" s="0">
        <v>29.99</v>
      </c>
      <c r="J6210" s="0">
        <v>58</v>
      </c>
    </row>
    <row r="6211" spans="1:10" customHeight="0">
      <c r="A6211" s="0">
        <f>HYPERLINK("https://dl.dropboxusercontent.com/scl/fi/2yfe085ojs5o3utjg1uou/love-02.jpg?rlkey=apdl5hs1x3ojvj6r79qdwqynn&amp;dl=0","Click to download Image")</f>
      </c>
      <c r="C6211" s="0" t="inlineStr">
        <is>
          <t>Lynn Love Infant Overall Dress</t>
        </is>
      </c>
      <c r="D6211" s="0" t="inlineStr">
        <is>
          <t>'109413</t>
        </is>
      </c>
      <c r="E6211" s="0" t="inlineStr">
        <is>
          <t>LYNN OVERALL INFANT:109413C - 6-9M</t>
        </is>
      </c>
      <c r="F6211" s="0" t="inlineStr">
        <is>
          <t>'000000000000</t>
        </is>
      </c>
      <c r="G6211" s="0" t="inlineStr">
        <is>
          <t>INFANT</t>
        </is>
      </c>
      <c r="H6211" s="0" t="inlineStr">
        <is>
          <t>6-9M</t>
        </is>
      </c>
      <c r="I6211" s="0">
        <v>29.99</v>
      </c>
      <c r="J6211" s="0">
        <v>59</v>
      </c>
    </row>
    <row r="6212" spans="1:10" customHeight="0">
      <c r="A6212" s="0">
        <f>HYPERLINK("https://dl.dropboxusercontent.com/scl/fi/2yfe085ojs5o3utjg1uou/love-02.jpg?rlkey=apdl5hs1x3ojvj6r79qdwqynn&amp;dl=0","Click to download Image")</f>
      </c>
      <c r="C6212" s="0" t="inlineStr">
        <is>
          <t>Lynn Love Infant Overall Dress</t>
        </is>
      </c>
      <c r="D6212" s="0" t="inlineStr">
        <is>
          <t>'109413</t>
        </is>
      </c>
      <c r="E6212" s="0" t="inlineStr">
        <is>
          <t>LYNN OVERALL INFANT:109413F - 12M</t>
        </is>
      </c>
      <c r="F6212" s="0" t="inlineStr">
        <is>
          <t>'000000000000</t>
        </is>
      </c>
      <c r="G6212" s="0" t="inlineStr">
        <is>
          <t>INFANT</t>
        </is>
      </c>
      <c r="H6212" s="0" t="inlineStr">
        <is>
          <t>12M</t>
        </is>
      </c>
      <c r="I6212" s="0">
        <v>29.99</v>
      </c>
      <c r="J6212" s="0">
        <v>56</v>
      </c>
    </row>
    <row r="6213" spans="1:10" customHeight="0">
      <c r="A6213" s="0">
        <f>HYPERLINK("https://dl.dropboxusercontent.com/scl/fi/zlzgw36qgnkn2sekidwxv/99677f.jpg?rlkey=mt6jz8ws1zbiyf3x6n7wag22r&amp;dl=0","Click to download Image")</f>
      </c>
      <c r="B6213" s="0">
        <f>HYPERLINK("https://dl.dropboxusercontent.com/scl/fi/s2br28jcod36tlsai3udw/size-chartladies-c.jpg?rlkey=56dxonzl3lthcy2z55xgssk1b&amp;dl=0","Click to download SizeChart")</f>
      </c>
      <c r="C6213" s="0" t="inlineStr">
        <is>
          <t>Josie Women's Tank</t>
        </is>
      </c>
      <c r="D6213" s="0" t="inlineStr">
        <is>
          <t>'99677</t>
        </is>
      </c>
      <c r="E6213" s="0" t="inlineStr">
        <is>
          <t>JOSIE:99677A-S</t>
        </is>
      </c>
      <c r="F6213" s="0" t="inlineStr">
        <is>
          <t>'000000000000</t>
        </is>
      </c>
      <c r="G6213" s="0" t="inlineStr">
        <is>
          <t>WOMENS</t>
        </is>
      </c>
      <c r="H6213" s="0" t="inlineStr">
        <is>
          <t>S</t>
        </is>
      </c>
      <c r="I6213" s="0">
        <v>39.99</v>
      </c>
      <c r="J6213" s="0">
        <v>50</v>
      </c>
    </row>
    <row r="6214" spans="1:10" customHeight="0">
      <c r="A6214" s="0">
        <f>HYPERLINK("https://dl.dropboxusercontent.com/scl/fi/zlzgw36qgnkn2sekidwxv/99677f.jpg?rlkey=mt6jz8ws1zbiyf3x6n7wag22r&amp;dl=0","Click to download Image")</f>
      </c>
      <c r="B6214" s="0">
        <f>HYPERLINK("https://dl.dropboxusercontent.com/scl/fi/s2br28jcod36tlsai3udw/size-chartladies-c.jpg?rlkey=56dxonzl3lthcy2z55xgssk1b&amp;dl=0","Click to download SizeChart")</f>
      </c>
      <c r="C6214" s="0" t="inlineStr">
        <is>
          <t>Josie Women's Tank</t>
        </is>
      </c>
      <c r="D6214" s="0" t="inlineStr">
        <is>
          <t>'99677</t>
        </is>
      </c>
      <c r="E6214" s="0" t="inlineStr">
        <is>
          <t>JOSIE:99677B-M</t>
        </is>
      </c>
      <c r="F6214" s="0" t="inlineStr">
        <is>
          <t>'000000000000</t>
        </is>
      </c>
      <c r="G6214" s="0" t="inlineStr">
        <is>
          <t>WOMENS</t>
        </is>
      </c>
      <c r="H6214" s="0" t="inlineStr">
        <is>
          <t>M</t>
        </is>
      </c>
      <c r="I6214" s="0">
        <v>39.99</v>
      </c>
      <c r="J6214" s="0">
        <v>69</v>
      </c>
    </row>
    <row r="6215" spans="1:10" customHeight="0">
      <c r="A6215" s="0">
        <f>HYPERLINK("https://dl.dropboxusercontent.com/scl/fi/zlzgw36qgnkn2sekidwxv/99677f.jpg?rlkey=mt6jz8ws1zbiyf3x6n7wag22r&amp;dl=0","Click to download Image")</f>
      </c>
      <c r="B6215" s="0">
        <f>HYPERLINK("https://dl.dropboxusercontent.com/scl/fi/s2br28jcod36tlsai3udw/size-chartladies-c.jpg?rlkey=56dxonzl3lthcy2z55xgssk1b&amp;dl=0","Click to download SizeChart")</f>
      </c>
      <c r="C6215" s="0" t="inlineStr">
        <is>
          <t>Josie Women's Tank</t>
        </is>
      </c>
      <c r="D6215" s="0" t="inlineStr">
        <is>
          <t>'99677</t>
        </is>
      </c>
      <c r="E6215" s="0" t="inlineStr">
        <is>
          <t>JOSIE:99677C-L</t>
        </is>
      </c>
      <c r="F6215" s="0" t="inlineStr">
        <is>
          <t>'000000000000</t>
        </is>
      </c>
      <c r="G6215" s="0" t="inlineStr">
        <is>
          <t>WOMENS</t>
        </is>
      </c>
      <c r="H6215" s="0" t="inlineStr">
        <is>
          <t>L</t>
        </is>
      </c>
      <c r="I6215" s="0">
        <v>39.99</v>
      </c>
      <c r="J6215" s="0">
        <v>101</v>
      </c>
    </row>
    <row r="6216" spans="1:10" customHeight="0">
      <c r="A6216" s="0">
        <f>HYPERLINK("https://dl.dropboxusercontent.com/scl/fi/zlzgw36qgnkn2sekidwxv/99677f.jpg?rlkey=mt6jz8ws1zbiyf3x6n7wag22r&amp;dl=0","Click to download Image")</f>
      </c>
      <c r="B6216" s="0">
        <f>HYPERLINK("https://dl.dropboxusercontent.com/scl/fi/s2br28jcod36tlsai3udw/size-chartladies-c.jpg?rlkey=56dxonzl3lthcy2z55xgssk1b&amp;dl=0","Click to download SizeChart")</f>
      </c>
      <c r="C6216" s="0" t="inlineStr">
        <is>
          <t>Josie Women's Tank</t>
        </is>
      </c>
      <c r="D6216" s="0" t="inlineStr">
        <is>
          <t>'99677</t>
        </is>
      </c>
      <c r="E6216" s="0" t="inlineStr">
        <is>
          <t>JOSIE:99677D-XL</t>
        </is>
      </c>
      <c r="F6216" s="0" t="inlineStr">
        <is>
          <t>'000000000000</t>
        </is>
      </c>
      <c r="G6216" s="0" t="inlineStr">
        <is>
          <t>WOMENS</t>
        </is>
      </c>
      <c r="H6216" s="0" t="inlineStr">
        <is>
          <t>XL</t>
        </is>
      </c>
      <c r="I6216" s="0">
        <v>39.99</v>
      </c>
      <c r="J6216" s="0">
        <v>105</v>
      </c>
    </row>
    <row r="6217" spans="1:10" customHeight="0">
      <c r="A6217" s="0">
        <f>HYPERLINK("https://dl.dropboxusercontent.com/scl/fi/zlzgw36qgnkn2sekidwxv/99677f.jpg?rlkey=mt6jz8ws1zbiyf3x6n7wag22r&amp;dl=0","Click to download Image")</f>
      </c>
      <c r="B6217" s="0">
        <f>HYPERLINK("https://dl.dropboxusercontent.com/scl/fi/s2br28jcod36tlsai3udw/size-chartladies-c.jpg?rlkey=56dxonzl3lthcy2z55xgssk1b&amp;dl=0","Click to download SizeChart")</f>
      </c>
      <c r="C6217" s="0" t="inlineStr">
        <is>
          <t>Josie Women's Tank</t>
        </is>
      </c>
      <c r="D6217" s="0" t="inlineStr">
        <is>
          <t>'99677</t>
        </is>
      </c>
      <c r="E6217" s="0" t="inlineStr">
        <is>
          <t>JOSIE:99677E-2XL</t>
        </is>
      </c>
      <c r="F6217" s="0" t="inlineStr">
        <is>
          <t>'000000000000</t>
        </is>
      </c>
      <c r="G6217" s="0" t="inlineStr">
        <is>
          <t>WOMENS</t>
        </is>
      </c>
      <c r="H6217" s="0" t="inlineStr">
        <is>
          <t>2XL</t>
        </is>
      </c>
      <c r="I6217" s="0">
        <v>41.99</v>
      </c>
      <c r="J6217" s="0">
        <v>44</v>
      </c>
    </row>
    <row r="6218" spans="1:10" customHeight="0">
      <c r="A6218" s="0">
        <f>HYPERLINK("https://dl.dropboxusercontent.com/scl/fi/7wfrov3cwbd22oh6xtwz5/98852af.jpg?rlkey=lupyh4jvl4kihanrgxtf989s0&amp;dl=0","Click to download Image")</f>
      </c>
      <c r="B6218" s="0">
        <f>HYPERLINK("https://dl.dropboxusercontent.com/scl/fi/5f4awadno9b9xfpw3g09u/mens-jackets-size-chartsfinn.jpg?rlkey=gqxm8sbhkf7pfxw41k2apm90r&amp;dl=0","Click to download SizeChart")</f>
      </c>
      <c r="C6218" s="0" t="inlineStr">
        <is>
          <t>Finn Men's Jacket</t>
        </is>
      </c>
      <c r="D6218" s="0" t="inlineStr">
        <is>
          <t>'98852</t>
        </is>
      </c>
      <c r="E6218" s="0" t="inlineStr">
        <is>
          <t>FINN:98852A-S</t>
        </is>
      </c>
      <c r="F6218" s="0" t="inlineStr">
        <is>
          <t>'000000000000</t>
        </is>
      </c>
      <c r="G6218" s="0" t="inlineStr">
        <is>
          <t>MENS</t>
        </is>
      </c>
      <c r="H6218" s="0" t="inlineStr">
        <is>
          <t>S</t>
        </is>
      </c>
      <c r="I6218" s="0">
        <v>79.99</v>
      </c>
      <c r="J6218" s="0">
        <v>5</v>
      </c>
    </row>
    <row r="6219" spans="1:10" customHeight="0">
      <c r="A6219" s="0">
        <f>HYPERLINK("https://dl.dropboxusercontent.com/scl/fi/7wfrov3cwbd22oh6xtwz5/98852af.jpg?rlkey=lupyh4jvl4kihanrgxtf989s0&amp;dl=0","Click to download Image")</f>
      </c>
      <c r="B6219" s="0">
        <f>HYPERLINK("https://dl.dropboxusercontent.com/scl/fi/5f4awadno9b9xfpw3g09u/mens-jackets-size-chartsfinn.jpg?rlkey=gqxm8sbhkf7pfxw41k2apm90r&amp;dl=0","Click to download SizeChart")</f>
      </c>
      <c r="C6219" s="0" t="inlineStr">
        <is>
          <t>Finn Men's Jacket</t>
        </is>
      </c>
      <c r="D6219" s="0" t="inlineStr">
        <is>
          <t>'98852</t>
        </is>
      </c>
      <c r="E6219" s="0" t="inlineStr">
        <is>
          <t>FINN:98852B-M</t>
        </is>
      </c>
      <c r="F6219" s="0" t="inlineStr">
        <is>
          <t>'000000000000</t>
        </is>
      </c>
      <c r="G6219" s="0" t="inlineStr">
        <is>
          <t>MENS</t>
        </is>
      </c>
      <c r="H6219" s="0" t="inlineStr">
        <is>
          <t>M</t>
        </is>
      </c>
      <c r="I6219" s="0">
        <v>79.99</v>
      </c>
      <c r="J6219" s="0">
        <v>0</v>
      </c>
    </row>
    <row r="6220" spans="1:10" customHeight="0">
      <c r="A6220" s="0">
        <f>HYPERLINK("https://dl.dropboxusercontent.com/scl/fi/7wfrov3cwbd22oh6xtwz5/98852af.jpg?rlkey=lupyh4jvl4kihanrgxtf989s0&amp;dl=0","Click to download Image")</f>
      </c>
      <c r="B6220" s="0">
        <f>HYPERLINK("https://dl.dropboxusercontent.com/scl/fi/5f4awadno9b9xfpw3g09u/mens-jackets-size-chartsfinn.jpg?rlkey=gqxm8sbhkf7pfxw41k2apm90r&amp;dl=0","Click to download SizeChart")</f>
      </c>
      <c r="C6220" s="0" t="inlineStr">
        <is>
          <t>Finn Men's Jacket</t>
        </is>
      </c>
      <c r="D6220" s="0" t="inlineStr">
        <is>
          <t>'98852</t>
        </is>
      </c>
      <c r="E6220" s="0" t="inlineStr">
        <is>
          <t>FINN:98852C-L</t>
        </is>
      </c>
      <c r="F6220" s="0" t="inlineStr">
        <is>
          <t>'000000000000</t>
        </is>
      </c>
      <c r="G6220" s="0" t="inlineStr">
        <is>
          <t>MENS</t>
        </is>
      </c>
      <c r="H6220" s="0" t="inlineStr">
        <is>
          <t>L</t>
        </is>
      </c>
      <c r="I6220" s="0">
        <v>79.99</v>
      </c>
      <c r="J6220" s="0">
        <v>8</v>
      </c>
    </row>
    <row r="6221" spans="1:10" customHeight="0">
      <c r="A6221" s="0">
        <f>HYPERLINK("https://dl.dropboxusercontent.com/scl/fi/7wfrov3cwbd22oh6xtwz5/98852af.jpg?rlkey=lupyh4jvl4kihanrgxtf989s0&amp;dl=0","Click to download Image")</f>
      </c>
      <c r="B6221" s="0">
        <f>HYPERLINK("https://dl.dropboxusercontent.com/scl/fi/5f4awadno9b9xfpw3g09u/mens-jackets-size-chartsfinn.jpg?rlkey=gqxm8sbhkf7pfxw41k2apm90r&amp;dl=0","Click to download SizeChart")</f>
      </c>
      <c r="C6221" s="0" t="inlineStr">
        <is>
          <t>Finn Men's Jacket</t>
        </is>
      </c>
      <c r="D6221" s="0" t="inlineStr">
        <is>
          <t>'98852</t>
        </is>
      </c>
      <c r="E6221" s="0" t="inlineStr">
        <is>
          <t>FINN:98852D-XL</t>
        </is>
      </c>
      <c r="F6221" s="0" t="inlineStr">
        <is>
          <t>'000000000000</t>
        </is>
      </c>
      <c r="G6221" s="0" t="inlineStr">
        <is>
          <t>MENS</t>
        </is>
      </c>
      <c r="H6221" s="0" t="inlineStr">
        <is>
          <t>XL</t>
        </is>
      </c>
      <c r="I6221" s="0">
        <v>79.99</v>
      </c>
      <c r="J6221" s="0">
        <v>15</v>
      </c>
    </row>
    <row r="6222" spans="1:10" customHeight="0">
      <c r="A6222" s="0">
        <f>HYPERLINK("https://dl.dropboxusercontent.com/scl/fi/7wfrov3cwbd22oh6xtwz5/98852af.jpg?rlkey=lupyh4jvl4kihanrgxtf989s0&amp;dl=0","Click to download Image")</f>
      </c>
      <c r="B6222" s="0">
        <f>HYPERLINK("https://dl.dropboxusercontent.com/scl/fi/5f4awadno9b9xfpw3g09u/mens-jackets-size-chartsfinn.jpg?rlkey=gqxm8sbhkf7pfxw41k2apm90r&amp;dl=0","Click to download SizeChart")</f>
      </c>
      <c r="C6222" s="0" t="inlineStr">
        <is>
          <t>Finn Men's Jacket</t>
        </is>
      </c>
      <c r="D6222" s="0" t="inlineStr">
        <is>
          <t>'98852</t>
        </is>
      </c>
      <c r="E6222" s="0" t="inlineStr">
        <is>
          <t>FINN:98852E-2XL</t>
        </is>
      </c>
      <c r="F6222" s="0" t="inlineStr">
        <is>
          <t>'000000000000</t>
        </is>
      </c>
      <c r="G6222" s="0" t="inlineStr">
        <is>
          <t>MENS</t>
        </is>
      </c>
      <c r="H6222" s="0" t="inlineStr">
        <is>
          <t>2XL</t>
        </is>
      </c>
      <c r="I6222" s="0">
        <v>81.99</v>
      </c>
      <c r="J6222" s="0">
        <v>2</v>
      </c>
    </row>
    <row r="6223" spans="1:10" customHeight="0">
      <c r="A6223" s="0">
        <f>HYPERLINK("https://dl.dropboxusercontent.com/scl/fi/7wfrov3cwbd22oh6xtwz5/98852af.jpg?rlkey=lupyh4jvl4kihanrgxtf989s0&amp;dl=0","Click to download Image")</f>
      </c>
      <c r="B6223" s="0">
        <f>HYPERLINK("https://dl.dropboxusercontent.com/scl/fi/5f4awadno9b9xfpw3g09u/mens-jackets-size-chartsfinn.jpg?rlkey=gqxm8sbhkf7pfxw41k2apm90r&amp;dl=0","Click to download SizeChart")</f>
      </c>
      <c r="C6223" s="0" t="inlineStr">
        <is>
          <t>Finn Men's Jacket</t>
        </is>
      </c>
      <c r="D6223" s="0" t="inlineStr">
        <is>
          <t>'98852</t>
        </is>
      </c>
      <c r="E6223" s="0" t="inlineStr">
        <is>
          <t>FINN:98852F-3XL</t>
        </is>
      </c>
      <c r="F6223" s="0" t="inlineStr">
        <is>
          <t>'000000000000</t>
        </is>
      </c>
      <c r="G6223" s="0" t="inlineStr">
        <is>
          <t>MENS</t>
        </is>
      </c>
      <c r="H6223" s="0" t="inlineStr">
        <is>
          <t>3XL</t>
        </is>
      </c>
      <c r="I6223" s="0">
        <v>81.99</v>
      </c>
      <c r="J6223" s="0">
        <v>9</v>
      </c>
    </row>
    <row r="6224" spans="1:10" customHeight="0">
      <c r="A6224" s="0">
        <f>HYPERLINK("https://dl.dropboxusercontent.com/scl/fi/20udzlubrqjlp14rd4pxs/98860af.jpg?rlkey=42l17xmykmazaez04a353o71a&amp;dl=0","Click to download Image")</f>
      </c>
      <c r="B6224" s="0">
        <f>HYPERLINK("https://dl.dropboxusercontent.com/scl/fi/5f4awadno9b9xfpw3g09u/mens-jackets-size-chartsfinn.jpg?rlkey=gqxm8sbhkf7pfxw41k2apm90r&amp;dl=0","Click to download SizeChart")</f>
      </c>
      <c r="C6224" s="0" t="inlineStr">
        <is>
          <t>Finn Men's Jacket</t>
        </is>
      </c>
      <c r="D6224" s="0" t="inlineStr">
        <is>
          <t>'98860</t>
        </is>
      </c>
      <c r="E6224" s="0" t="inlineStr">
        <is>
          <t>FINN:98860A-S</t>
        </is>
      </c>
      <c r="F6224" s="0" t="inlineStr">
        <is>
          <t>'000000000000</t>
        </is>
      </c>
      <c r="G6224" s="0" t="inlineStr">
        <is>
          <t>MENS</t>
        </is>
      </c>
      <c r="H6224" s="0" t="inlineStr">
        <is>
          <t>S</t>
        </is>
      </c>
      <c r="I6224" s="0">
        <v>79.99</v>
      </c>
      <c r="J6224" s="0">
        <v>20</v>
      </c>
    </row>
    <row r="6225" spans="1:10" customHeight="0">
      <c r="A6225" s="0">
        <f>HYPERLINK("https://dl.dropboxusercontent.com/scl/fi/20udzlubrqjlp14rd4pxs/98860af.jpg?rlkey=42l17xmykmazaez04a353o71a&amp;dl=0","Click to download Image")</f>
      </c>
      <c r="B6225" s="0">
        <f>HYPERLINK("https://dl.dropboxusercontent.com/scl/fi/5f4awadno9b9xfpw3g09u/mens-jackets-size-chartsfinn.jpg?rlkey=gqxm8sbhkf7pfxw41k2apm90r&amp;dl=0","Click to download SizeChart")</f>
      </c>
      <c r="C6225" s="0" t="inlineStr">
        <is>
          <t>Finn Men's Jacket</t>
        </is>
      </c>
      <c r="D6225" s="0" t="inlineStr">
        <is>
          <t>'98860</t>
        </is>
      </c>
      <c r="E6225" s="0" t="inlineStr">
        <is>
          <t>FINN:98860B-M</t>
        </is>
      </c>
      <c r="F6225" s="0" t="inlineStr">
        <is>
          <t>'000000000000</t>
        </is>
      </c>
      <c r="G6225" s="0" t="inlineStr">
        <is>
          <t>MENS</t>
        </is>
      </c>
      <c r="H6225" s="0" t="inlineStr">
        <is>
          <t>M</t>
        </is>
      </c>
      <c r="I6225" s="0">
        <v>79.99</v>
      </c>
      <c r="J6225" s="0">
        <v>25</v>
      </c>
    </row>
    <row r="6226" spans="1:10" customHeight="0">
      <c r="A6226" s="0">
        <f>HYPERLINK("https://dl.dropboxusercontent.com/scl/fi/20udzlubrqjlp14rd4pxs/98860af.jpg?rlkey=42l17xmykmazaez04a353o71a&amp;dl=0","Click to download Image")</f>
      </c>
      <c r="B6226" s="0">
        <f>HYPERLINK("https://dl.dropboxusercontent.com/scl/fi/5f4awadno9b9xfpw3g09u/mens-jackets-size-chartsfinn.jpg?rlkey=gqxm8sbhkf7pfxw41k2apm90r&amp;dl=0","Click to download SizeChart")</f>
      </c>
      <c r="C6226" s="0" t="inlineStr">
        <is>
          <t>Finn Men's Jacket</t>
        </is>
      </c>
      <c r="D6226" s="0" t="inlineStr">
        <is>
          <t>'98860</t>
        </is>
      </c>
      <c r="E6226" s="0" t="inlineStr">
        <is>
          <t>FINN:98860C-L</t>
        </is>
      </c>
      <c r="F6226" s="0" t="inlineStr">
        <is>
          <t>'000000000000</t>
        </is>
      </c>
      <c r="G6226" s="0" t="inlineStr">
        <is>
          <t>MENS</t>
        </is>
      </c>
      <c r="H6226" s="0" t="inlineStr">
        <is>
          <t>L</t>
        </is>
      </c>
      <c r="I6226" s="0">
        <v>79.99</v>
      </c>
      <c r="J6226" s="0">
        <v>24</v>
      </c>
    </row>
    <row r="6227" spans="1:10" customHeight="0">
      <c r="A6227" s="0">
        <f>HYPERLINK("https://dl.dropboxusercontent.com/scl/fi/20udzlubrqjlp14rd4pxs/98860af.jpg?rlkey=42l17xmykmazaez04a353o71a&amp;dl=0","Click to download Image")</f>
      </c>
      <c r="B6227" s="0">
        <f>HYPERLINK("https://dl.dropboxusercontent.com/scl/fi/5f4awadno9b9xfpw3g09u/mens-jackets-size-chartsfinn.jpg?rlkey=gqxm8sbhkf7pfxw41k2apm90r&amp;dl=0","Click to download SizeChart")</f>
      </c>
      <c r="C6227" s="0" t="inlineStr">
        <is>
          <t>Finn Men's Jacket</t>
        </is>
      </c>
      <c r="D6227" s="0" t="inlineStr">
        <is>
          <t>'98860</t>
        </is>
      </c>
      <c r="E6227" s="0" t="inlineStr">
        <is>
          <t>FINN:98860D-XL</t>
        </is>
      </c>
      <c r="F6227" s="0" t="inlineStr">
        <is>
          <t>'000000000000</t>
        </is>
      </c>
      <c r="G6227" s="0" t="inlineStr">
        <is>
          <t>MENS</t>
        </is>
      </c>
      <c r="H6227" s="0" t="inlineStr">
        <is>
          <t>XL</t>
        </is>
      </c>
      <c r="I6227" s="0">
        <v>79.99</v>
      </c>
      <c r="J6227" s="0">
        <v>22</v>
      </c>
    </row>
    <row r="6228" spans="1:10" customHeight="0">
      <c r="A6228" s="0">
        <f>HYPERLINK("https://dl.dropboxusercontent.com/scl/fi/20udzlubrqjlp14rd4pxs/98860af.jpg?rlkey=42l17xmykmazaez04a353o71a&amp;dl=0","Click to download Image")</f>
      </c>
      <c r="B6228" s="0">
        <f>HYPERLINK("https://dl.dropboxusercontent.com/scl/fi/5f4awadno9b9xfpw3g09u/mens-jackets-size-chartsfinn.jpg?rlkey=gqxm8sbhkf7pfxw41k2apm90r&amp;dl=0","Click to download SizeChart")</f>
      </c>
      <c r="C6228" s="0" t="inlineStr">
        <is>
          <t>Finn Men's Jacket</t>
        </is>
      </c>
      <c r="D6228" s="0" t="inlineStr">
        <is>
          <t>'98860</t>
        </is>
      </c>
      <c r="E6228" s="0" t="inlineStr">
        <is>
          <t>FINN:98860E-2XL</t>
        </is>
      </c>
      <c r="F6228" s="0" t="inlineStr">
        <is>
          <t>'000000000000</t>
        </is>
      </c>
      <c r="G6228" s="0" t="inlineStr">
        <is>
          <t>MENS</t>
        </is>
      </c>
      <c r="H6228" s="0" t="inlineStr">
        <is>
          <t>2XL</t>
        </is>
      </c>
      <c r="I6228" s="0">
        <v>81.99</v>
      </c>
      <c r="J6228" s="0">
        <v>20</v>
      </c>
    </row>
    <row r="6229" spans="1:10" customHeight="0">
      <c r="A6229" s="0">
        <f>HYPERLINK("https://dl.dropboxusercontent.com/scl/fi/20udzlubrqjlp14rd4pxs/98860af.jpg?rlkey=42l17xmykmazaez04a353o71a&amp;dl=0","Click to download Image")</f>
      </c>
      <c r="B6229" s="0">
        <f>HYPERLINK("https://dl.dropboxusercontent.com/scl/fi/5f4awadno9b9xfpw3g09u/mens-jackets-size-chartsfinn.jpg?rlkey=gqxm8sbhkf7pfxw41k2apm90r&amp;dl=0","Click to download SizeChart")</f>
      </c>
      <c r="C6229" s="0" t="inlineStr">
        <is>
          <t>Finn Men's Jacket</t>
        </is>
      </c>
      <c r="D6229" s="0" t="inlineStr">
        <is>
          <t>'98860</t>
        </is>
      </c>
      <c r="E6229" s="0" t="inlineStr">
        <is>
          <t>FINN:98860F-3XL</t>
        </is>
      </c>
      <c r="F6229" s="0" t="inlineStr">
        <is>
          <t>'000000000000</t>
        </is>
      </c>
      <c r="G6229" s="0" t="inlineStr">
        <is>
          <t>MENS</t>
        </is>
      </c>
      <c r="H6229" s="0" t="inlineStr">
        <is>
          <t>3XL</t>
        </is>
      </c>
      <c r="I6229" s="0">
        <v>81.99</v>
      </c>
      <c r="J6229" s="0">
        <v>16</v>
      </c>
    </row>
    <row r="6230" spans="1:10" customHeight="0">
      <c r="A6230" s="0">
        <f>HYPERLINK("https://dl.dropboxusercontent.com/scl/fi/ftnb4ezwkqzrqys1qblte/98192-af.jpg?rlkey=s4f0n7s5dli779uie5trlropv&amp;dl=0","Click to download Image")</f>
      </c>
      <c r="B6230" s="0">
        <f>HYPERLINK("https://dl.dropboxusercontent.com/scl/fi/5f4awadno9b9xfpw3g09u/mens-jackets-size-chartsfinn.jpg?rlkey=gqxm8sbhkf7pfxw41k2apm90r&amp;dl=0","Click to download SizeChart")</f>
      </c>
      <c r="C6230" s="0" t="inlineStr">
        <is>
          <t>Finn Men's Jacket</t>
        </is>
      </c>
      <c r="D6230" s="0" t="inlineStr">
        <is>
          <t>'98192</t>
        </is>
      </c>
      <c r="E6230" s="0" t="inlineStr">
        <is>
          <t>FINN:98192A-S</t>
        </is>
      </c>
      <c r="F6230" s="0" t="inlineStr">
        <is>
          <t>'000000000000</t>
        </is>
      </c>
      <c r="G6230" s="0" t="inlineStr">
        <is>
          <t>MENS</t>
        </is>
      </c>
      <c r="H6230" s="0" t="inlineStr">
        <is>
          <t>S</t>
        </is>
      </c>
      <c r="I6230" s="0">
        <v>79.99</v>
      </c>
      <c r="J6230" s="0">
        <v>37</v>
      </c>
    </row>
    <row r="6231" spans="1:10" customHeight="0">
      <c r="A6231" s="0">
        <f>HYPERLINK("https://dl.dropboxusercontent.com/scl/fi/ftnb4ezwkqzrqys1qblte/98192-af.jpg?rlkey=s4f0n7s5dli779uie5trlropv&amp;dl=0","Click to download Image")</f>
      </c>
      <c r="B6231" s="0">
        <f>HYPERLINK("https://dl.dropboxusercontent.com/scl/fi/5f4awadno9b9xfpw3g09u/mens-jackets-size-chartsfinn.jpg?rlkey=gqxm8sbhkf7pfxw41k2apm90r&amp;dl=0","Click to download SizeChart")</f>
      </c>
      <c r="C6231" s="0" t="inlineStr">
        <is>
          <t>Finn Men's Jacket</t>
        </is>
      </c>
      <c r="D6231" s="0" t="inlineStr">
        <is>
          <t>'98192</t>
        </is>
      </c>
      <c r="E6231" s="0" t="inlineStr">
        <is>
          <t>FINN:98192B-M</t>
        </is>
      </c>
      <c r="F6231" s="0" t="inlineStr">
        <is>
          <t>'000000000000</t>
        </is>
      </c>
      <c r="G6231" s="0" t="inlineStr">
        <is>
          <t>MENS</t>
        </is>
      </c>
      <c r="H6231" s="0" t="inlineStr">
        <is>
          <t>M</t>
        </is>
      </c>
      <c r="I6231" s="0">
        <v>79.99</v>
      </c>
      <c r="J6231" s="0">
        <v>33</v>
      </c>
    </row>
    <row r="6232" spans="1:10" customHeight="0">
      <c r="A6232" s="0">
        <f>HYPERLINK("https://dl.dropboxusercontent.com/scl/fi/ftnb4ezwkqzrqys1qblte/98192-af.jpg?rlkey=s4f0n7s5dli779uie5trlropv&amp;dl=0","Click to download Image")</f>
      </c>
      <c r="B6232" s="0">
        <f>HYPERLINK("https://dl.dropboxusercontent.com/scl/fi/5f4awadno9b9xfpw3g09u/mens-jackets-size-chartsfinn.jpg?rlkey=gqxm8sbhkf7pfxw41k2apm90r&amp;dl=0","Click to download SizeChart")</f>
      </c>
      <c r="C6232" s="0" t="inlineStr">
        <is>
          <t>Finn Men's Jacket</t>
        </is>
      </c>
      <c r="D6232" s="0" t="inlineStr">
        <is>
          <t>'98192</t>
        </is>
      </c>
      <c r="E6232" s="0" t="inlineStr">
        <is>
          <t>FINN:98192C-L</t>
        </is>
      </c>
      <c r="F6232" s="0" t="inlineStr">
        <is>
          <t>'000000000000</t>
        </is>
      </c>
      <c r="G6232" s="0" t="inlineStr">
        <is>
          <t>MENS</t>
        </is>
      </c>
      <c r="H6232" s="0" t="inlineStr">
        <is>
          <t>L</t>
        </is>
      </c>
      <c r="I6232" s="0">
        <v>79.99</v>
      </c>
      <c r="J6232" s="0">
        <v>13</v>
      </c>
    </row>
    <row r="6233" spans="1:10" customHeight="0">
      <c r="A6233" s="0">
        <f>HYPERLINK("https://dl.dropboxusercontent.com/scl/fi/ftnb4ezwkqzrqys1qblte/98192-af.jpg?rlkey=s4f0n7s5dli779uie5trlropv&amp;dl=0","Click to download Image")</f>
      </c>
      <c r="B6233" s="0">
        <f>HYPERLINK("https://dl.dropboxusercontent.com/scl/fi/5f4awadno9b9xfpw3g09u/mens-jackets-size-chartsfinn.jpg?rlkey=gqxm8sbhkf7pfxw41k2apm90r&amp;dl=0","Click to download SizeChart")</f>
      </c>
      <c r="C6233" s="0" t="inlineStr">
        <is>
          <t>Finn Men's Jacket</t>
        </is>
      </c>
      <c r="D6233" s="0" t="inlineStr">
        <is>
          <t>'98192</t>
        </is>
      </c>
      <c r="E6233" s="0" t="inlineStr">
        <is>
          <t>FINN:98192D-XL</t>
        </is>
      </c>
      <c r="F6233" s="0" t="inlineStr">
        <is>
          <t>'000000000000</t>
        </is>
      </c>
      <c r="G6233" s="0" t="inlineStr">
        <is>
          <t>MENS</t>
        </is>
      </c>
      <c r="H6233" s="0" t="inlineStr">
        <is>
          <t>XL</t>
        </is>
      </c>
      <c r="I6233" s="0">
        <v>79.99</v>
      </c>
      <c r="J6233" s="0">
        <v>0</v>
      </c>
    </row>
    <row r="6234" spans="1:10" customHeight="0">
      <c r="A6234" s="0">
        <f>HYPERLINK("https://dl.dropboxusercontent.com/scl/fi/ftnb4ezwkqzrqys1qblte/98192-af.jpg?rlkey=s4f0n7s5dli779uie5trlropv&amp;dl=0","Click to download Image")</f>
      </c>
      <c r="B6234" s="0">
        <f>HYPERLINK("https://dl.dropboxusercontent.com/scl/fi/5f4awadno9b9xfpw3g09u/mens-jackets-size-chartsfinn.jpg?rlkey=gqxm8sbhkf7pfxw41k2apm90r&amp;dl=0","Click to download SizeChart")</f>
      </c>
      <c r="C6234" s="0" t="inlineStr">
        <is>
          <t>Finn Men's Jacket</t>
        </is>
      </c>
      <c r="D6234" s="0" t="inlineStr">
        <is>
          <t>'98192</t>
        </is>
      </c>
      <c r="E6234" s="0" t="inlineStr">
        <is>
          <t>FINN:98192E-2XL</t>
        </is>
      </c>
      <c r="F6234" s="0" t="inlineStr">
        <is>
          <t>'000000000000</t>
        </is>
      </c>
      <c r="G6234" s="0" t="inlineStr">
        <is>
          <t>MENS</t>
        </is>
      </c>
      <c r="H6234" s="0" t="inlineStr">
        <is>
          <t>2XL</t>
        </is>
      </c>
      <c r="I6234" s="0">
        <v>81.99</v>
      </c>
      <c r="J6234" s="0">
        <v>0</v>
      </c>
    </row>
    <row r="6235" spans="1:10" customHeight="0">
      <c r="A6235" s="0">
        <f>HYPERLINK("https://dl.dropboxusercontent.com/scl/fi/ftnb4ezwkqzrqys1qblte/98192-af.jpg?rlkey=s4f0n7s5dli779uie5trlropv&amp;dl=0","Click to download Image")</f>
      </c>
      <c r="B6235" s="0">
        <f>HYPERLINK("https://dl.dropboxusercontent.com/scl/fi/5f4awadno9b9xfpw3g09u/mens-jackets-size-chartsfinn.jpg?rlkey=gqxm8sbhkf7pfxw41k2apm90r&amp;dl=0","Click to download SizeChart")</f>
      </c>
      <c r="C6235" s="0" t="inlineStr">
        <is>
          <t>Finn Men's Jacket</t>
        </is>
      </c>
      <c r="D6235" s="0" t="inlineStr">
        <is>
          <t>'98192</t>
        </is>
      </c>
      <c r="E6235" s="0" t="inlineStr">
        <is>
          <t>FINN:98192F-3XL</t>
        </is>
      </c>
      <c r="F6235" s="0" t="inlineStr">
        <is>
          <t>'000000000000</t>
        </is>
      </c>
      <c r="G6235" s="0" t="inlineStr">
        <is>
          <t>MENS</t>
        </is>
      </c>
      <c r="H6235" s="0" t="inlineStr">
        <is>
          <t>3XL</t>
        </is>
      </c>
      <c r="I6235" s="0">
        <v>81.99</v>
      </c>
      <c r="J6235" s="0">
        <v>0</v>
      </c>
    </row>
    <row r="6236" spans="1:10" customHeight="0">
      <c r="A6236" s="0">
        <f>HYPERLINK("https://dl.dropboxusercontent.com/scl/fi/h0s98tt45egettt1i0z3d/98193af.jpg?rlkey=nwi6pc4n5tqg1b133e5trxemg&amp;dl=0","Click to download Image")</f>
      </c>
      <c r="B6236" s="0">
        <f>HYPERLINK("https://dl.dropboxusercontent.com/scl/fi/5f4awadno9b9xfpw3g09u/mens-jackets-size-chartsfinn.jpg?rlkey=gqxm8sbhkf7pfxw41k2apm90r&amp;dl=0","Click to download SizeChart")</f>
      </c>
      <c r="C6236" s="0" t="inlineStr">
        <is>
          <t>Finn Men's Jacket</t>
        </is>
      </c>
      <c r="D6236" s="0" t="inlineStr">
        <is>
          <t>'98193</t>
        </is>
      </c>
      <c r="E6236" s="0" t="inlineStr">
        <is>
          <t>FINN:98193A-S</t>
        </is>
      </c>
      <c r="F6236" s="0" t="inlineStr">
        <is>
          <t>'000000000000</t>
        </is>
      </c>
      <c r="G6236" s="0" t="inlineStr">
        <is>
          <t>MENS</t>
        </is>
      </c>
      <c r="H6236" s="0" t="inlineStr">
        <is>
          <t>S</t>
        </is>
      </c>
      <c r="I6236" s="0">
        <v>79.99</v>
      </c>
      <c r="J6236" s="0">
        <v>60</v>
      </c>
    </row>
    <row r="6237" spans="1:10" customHeight="0">
      <c r="A6237" s="0">
        <f>HYPERLINK("https://dl.dropboxusercontent.com/scl/fi/h0s98tt45egettt1i0z3d/98193af.jpg?rlkey=nwi6pc4n5tqg1b133e5trxemg&amp;dl=0","Click to download Image")</f>
      </c>
      <c r="B6237" s="0">
        <f>HYPERLINK("https://dl.dropboxusercontent.com/scl/fi/5f4awadno9b9xfpw3g09u/mens-jackets-size-chartsfinn.jpg?rlkey=gqxm8sbhkf7pfxw41k2apm90r&amp;dl=0","Click to download SizeChart")</f>
      </c>
      <c r="C6237" s="0" t="inlineStr">
        <is>
          <t>Finn Men's Jacket</t>
        </is>
      </c>
      <c r="D6237" s="0" t="inlineStr">
        <is>
          <t>'98193</t>
        </is>
      </c>
      <c r="E6237" s="0" t="inlineStr">
        <is>
          <t>FINN:98193B-M</t>
        </is>
      </c>
      <c r="F6237" s="0" t="inlineStr">
        <is>
          <t>'000000000000</t>
        </is>
      </c>
      <c r="G6237" s="0" t="inlineStr">
        <is>
          <t>MENS</t>
        </is>
      </c>
      <c r="H6237" s="0" t="inlineStr">
        <is>
          <t>M</t>
        </is>
      </c>
      <c r="I6237" s="0">
        <v>79.99</v>
      </c>
      <c r="J6237" s="0">
        <v>75</v>
      </c>
    </row>
    <row r="6238" spans="1:10" customHeight="0">
      <c r="A6238" s="0">
        <f>HYPERLINK("https://dl.dropboxusercontent.com/scl/fi/h0s98tt45egettt1i0z3d/98193af.jpg?rlkey=nwi6pc4n5tqg1b133e5trxemg&amp;dl=0","Click to download Image")</f>
      </c>
      <c r="B6238" s="0">
        <f>HYPERLINK("https://dl.dropboxusercontent.com/scl/fi/5f4awadno9b9xfpw3g09u/mens-jackets-size-chartsfinn.jpg?rlkey=gqxm8sbhkf7pfxw41k2apm90r&amp;dl=0","Click to download SizeChart")</f>
      </c>
      <c r="C6238" s="0" t="inlineStr">
        <is>
          <t>Finn Men's Jacket</t>
        </is>
      </c>
      <c r="D6238" s="0" t="inlineStr">
        <is>
          <t>'98193</t>
        </is>
      </c>
      <c r="E6238" s="0" t="inlineStr">
        <is>
          <t>FINN:98193C-L</t>
        </is>
      </c>
      <c r="F6238" s="0" t="inlineStr">
        <is>
          <t>'000000000000</t>
        </is>
      </c>
      <c r="G6238" s="0" t="inlineStr">
        <is>
          <t>MENS</t>
        </is>
      </c>
      <c r="H6238" s="0" t="inlineStr">
        <is>
          <t>L</t>
        </is>
      </c>
      <c r="I6238" s="0">
        <v>79.99</v>
      </c>
      <c r="J6238" s="0">
        <v>71</v>
      </c>
    </row>
    <row r="6239" spans="1:10" customHeight="0">
      <c r="A6239" s="0">
        <f>HYPERLINK("https://dl.dropboxusercontent.com/scl/fi/h0s98tt45egettt1i0z3d/98193af.jpg?rlkey=nwi6pc4n5tqg1b133e5trxemg&amp;dl=0","Click to download Image")</f>
      </c>
      <c r="B6239" s="0">
        <f>HYPERLINK("https://dl.dropboxusercontent.com/scl/fi/5f4awadno9b9xfpw3g09u/mens-jackets-size-chartsfinn.jpg?rlkey=gqxm8sbhkf7pfxw41k2apm90r&amp;dl=0","Click to download SizeChart")</f>
      </c>
      <c r="C6239" s="0" t="inlineStr">
        <is>
          <t>Finn Men's Jacket</t>
        </is>
      </c>
      <c r="D6239" s="0" t="inlineStr">
        <is>
          <t>'98193</t>
        </is>
      </c>
      <c r="E6239" s="0" t="inlineStr">
        <is>
          <t>FINN:98193D-XL</t>
        </is>
      </c>
      <c r="F6239" s="0" t="inlineStr">
        <is>
          <t>'000000000000</t>
        </is>
      </c>
      <c r="G6239" s="0" t="inlineStr">
        <is>
          <t>MENS</t>
        </is>
      </c>
      <c r="H6239" s="0" t="inlineStr">
        <is>
          <t>XL</t>
        </is>
      </c>
      <c r="I6239" s="0">
        <v>79.99</v>
      </c>
      <c r="J6239" s="0">
        <v>77</v>
      </c>
    </row>
    <row r="6240" spans="1:10" customHeight="0">
      <c r="A6240" s="0">
        <f>HYPERLINK("https://dl.dropboxusercontent.com/scl/fi/h0s98tt45egettt1i0z3d/98193af.jpg?rlkey=nwi6pc4n5tqg1b133e5trxemg&amp;dl=0","Click to download Image")</f>
      </c>
      <c r="B6240" s="0">
        <f>HYPERLINK("https://dl.dropboxusercontent.com/scl/fi/5f4awadno9b9xfpw3g09u/mens-jackets-size-chartsfinn.jpg?rlkey=gqxm8sbhkf7pfxw41k2apm90r&amp;dl=0","Click to download SizeChart")</f>
      </c>
      <c r="C6240" s="0" t="inlineStr">
        <is>
          <t>Finn Men's Jacket</t>
        </is>
      </c>
      <c r="D6240" s="0" t="inlineStr">
        <is>
          <t>'98193</t>
        </is>
      </c>
      <c r="E6240" s="0" t="inlineStr">
        <is>
          <t>FINN:98193E-2XL</t>
        </is>
      </c>
      <c r="F6240" s="0" t="inlineStr">
        <is>
          <t>'000000000000</t>
        </is>
      </c>
      <c r="G6240" s="0" t="inlineStr">
        <is>
          <t>MENS</t>
        </is>
      </c>
      <c r="H6240" s="0" t="inlineStr">
        <is>
          <t>2XL</t>
        </is>
      </c>
      <c r="I6240" s="0">
        <v>81.99</v>
      </c>
      <c r="J6240" s="0">
        <v>62</v>
      </c>
    </row>
    <row r="6241" spans="1:10" customHeight="0">
      <c r="A6241" s="0">
        <f>HYPERLINK("https://dl.dropboxusercontent.com/scl/fi/h0s98tt45egettt1i0z3d/98193af.jpg?rlkey=nwi6pc4n5tqg1b133e5trxemg&amp;dl=0","Click to download Image")</f>
      </c>
      <c r="B6241" s="0">
        <f>HYPERLINK("https://dl.dropboxusercontent.com/scl/fi/5f4awadno9b9xfpw3g09u/mens-jackets-size-chartsfinn.jpg?rlkey=gqxm8sbhkf7pfxw41k2apm90r&amp;dl=0","Click to download SizeChart")</f>
      </c>
      <c r="C6241" s="0" t="inlineStr">
        <is>
          <t>Finn Men's Jacket</t>
        </is>
      </c>
      <c r="D6241" s="0" t="inlineStr">
        <is>
          <t>'98193</t>
        </is>
      </c>
      <c r="E6241" s="0" t="inlineStr">
        <is>
          <t>FINN:98193F-3XL</t>
        </is>
      </c>
      <c r="F6241" s="0" t="inlineStr">
        <is>
          <t>'000000000000</t>
        </is>
      </c>
      <c r="G6241" s="0" t="inlineStr">
        <is>
          <t>MENS</t>
        </is>
      </c>
      <c r="H6241" s="0" t="inlineStr">
        <is>
          <t>3XL</t>
        </is>
      </c>
      <c r="I6241" s="0">
        <v>81.99</v>
      </c>
      <c r="J6241" s="0">
        <v>22</v>
      </c>
    </row>
    <row r="6242" spans="1:10" customHeight="0">
      <c r="A6242" s="0">
        <f>HYPERLINK("https://dl.dropboxusercontent.com/scl/fi/ac411fix4n911zx15jcmv/98566-af.jpg?rlkey=2ipn1mfkpndkfxxkov72bdsm9&amp;dl=0","Click to download Image")</f>
      </c>
      <c r="B6242" s="0">
        <f>HYPERLINK("https://dl.dropboxusercontent.com/scl/fi/rg7g4zxgyn02hzagfly4m/graphic-update2022-mens.jpg?rlkey=qlmkvz9ba72ffky9jy5xzpvpq&amp;dl=0","Click to download SizeChart")</f>
      </c>
      <c r="C6242" s="0" t="inlineStr">
        <is>
          <t>Deklan Men's Sweatpants</t>
        </is>
      </c>
      <c r="D6242" s="0" t="inlineStr">
        <is>
          <t>'98566</t>
        </is>
      </c>
      <c r="E6242" s="0" t="inlineStr">
        <is>
          <t>DEKLAN:98566A-S</t>
        </is>
      </c>
      <c r="F6242" s="0" t="inlineStr">
        <is>
          <t>'000000000000</t>
        </is>
      </c>
      <c r="G6242" s="0" t="inlineStr">
        <is>
          <t>MENS</t>
        </is>
      </c>
      <c r="H6242" s="0" t="inlineStr">
        <is>
          <t>S</t>
        </is>
      </c>
      <c r="I6242" s="0">
        <v>39.99</v>
      </c>
      <c r="J6242" s="0">
        <v>8</v>
      </c>
    </row>
    <row r="6243" spans="1:10" customHeight="0">
      <c r="A6243" s="0">
        <f>HYPERLINK("https://dl.dropboxusercontent.com/scl/fi/ac411fix4n911zx15jcmv/98566-af.jpg?rlkey=2ipn1mfkpndkfxxkov72bdsm9&amp;dl=0","Click to download Image")</f>
      </c>
      <c r="B6243" s="0">
        <f>HYPERLINK("https://dl.dropboxusercontent.com/scl/fi/rg7g4zxgyn02hzagfly4m/graphic-update2022-mens.jpg?rlkey=qlmkvz9ba72ffky9jy5xzpvpq&amp;dl=0","Click to download SizeChart")</f>
      </c>
      <c r="C6243" s="0" t="inlineStr">
        <is>
          <t>Deklan Men's Sweatpants</t>
        </is>
      </c>
      <c r="D6243" s="0" t="inlineStr">
        <is>
          <t>'98566</t>
        </is>
      </c>
      <c r="E6243" s="0" t="inlineStr">
        <is>
          <t>DEKLAN:98566B-M</t>
        </is>
      </c>
      <c r="F6243" s="0" t="inlineStr">
        <is>
          <t>'000000000000</t>
        </is>
      </c>
      <c r="G6243" s="0" t="inlineStr">
        <is>
          <t>MENS</t>
        </is>
      </c>
      <c r="H6243" s="0" t="inlineStr">
        <is>
          <t>M</t>
        </is>
      </c>
      <c r="I6243" s="0">
        <v>39.99</v>
      </c>
      <c r="J6243" s="0">
        <v>1</v>
      </c>
    </row>
    <row r="6244" spans="1:10" customHeight="0">
      <c r="A6244" s="0">
        <f>HYPERLINK("https://dl.dropboxusercontent.com/scl/fi/ac411fix4n911zx15jcmv/98566-af.jpg?rlkey=2ipn1mfkpndkfxxkov72bdsm9&amp;dl=0","Click to download Image")</f>
      </c>
      <c r="B6244" s="0">
        <f>HYPERLINK("https://dl.dropboxusercontent.com/scl/fi/rg7g4zxgyn02hzagfly4m/graphic-update2022-mens.jpg?rlkey=qlmkvz9ba72ffky9jy5xzpvpq&amp;dl=0","Click to download SizeChart")</f>
      </c>
      <c r="C6244" s="0" t="inlineStr">
        <is>
          <t>Deklan Men's Sweatpants</t>
        </is>
      </c>
      <c r="D6244" s="0" t="inlineStr">
        <is>
          <t>'98566</t>
        </is>
      </c>
      <c r="E6244" s="0" t="inlineStr">
        <is>
          <t>DEKLAN:98566C-L</t>
        </is>
      </c>
      <c r="F6244" s="0" t="inlineStr">
        <is>
          <t>'000000000000</t>
        </is>
      </c>
      <c r="G6244" s="0" t="inlineStr">
        <is>
          <t>MENS</t>
        </is>
      </c>
      <c r="H6244" s="0" t="inlineStr">
        <is>
          <t>L</t>
        </is>
      </c>
      <c r="I6244" s="0">
        <v>39.99</v>
      </c>
      <c r="J6244" s="0">
        <v>4</v>
      </c>
    </row>
    <row r="6245" spans="1:10" customHeight="0">
      <c r="A6245" s="0">
        <f>HYPERLINK("https://dl.dropboxusercontent.com/scl/fi/ac411fix4n911zx15jcmv/98566-af.jpg?rlkey=2ipn1mfkpndkfxxkov72bdsm9&amp;dl=0","Click to download Image")</f>
      </c>
      <c r="B6245" s="0">
        <f>HYPERLINK("https://dl.dropboxusercontent.com/scl/fi/rg7g4zxgyn02hzagfly4m/graphic-update2022-mens.jpg?rlkey=qlmkvz9ba72ffky9jy5xzpvpq&amp;dl=0","Click to download SizeChart")</f>
      </c>
      <c r="C6245" s="0" t="inlineStr">
        <is>
          <t>Deklan Men's Sweatpants</t>
        </is>
      </c>
      <c r="D6245" s="0" t="inlineStr">
        <is>
          <t>'98566</t>
        </is>
      </c>
      <c r="E6245" s="0" t="inlineStr">
        <is>
          <t>DEKLAN:98566D-XL</t>
        </is>
      </c>
      <c r="F6245" s="0" t="inlineStr">
        <is>
          <t>'000000000000</t>
        </is>
      </c>
      <c r="G6245" s="0" t="inlineStr">
        <is>
          <t>MENS</t>
        </is>
      </c>
      <c r="H6245" s="0" t="inlineStr">
        <is>
          <t>XL</t>
        </is>
      </c>
      <c r="I6245" s="0">
        <v>39.99</v>
      </c>
      <c r="J6245" s="0">
        <v>0</v>
      </c>
    </row>
    <row r="6246" spans="1:10" customHeight="0">
      <c r="A6246" s="0">
        <f>HYPERLINK("https://dl.dropboxusercontent.com/scl/fi/ac411fix4n911zx15jcmv/98566-af.jpg?rlkey=2ipn1mfkpndkfxxkov72bdsm9&amp;dl=0","Click to download Image")</f>
      </c>
      <c r="B6246" s="0">
        <f>HYPERLINK("https://dl.dropboxusercontent.com/scl/fi/rg7g4zxgyn02hzagfly4m/graphic-update2022-mens.jpg?rlkey=qlmkvz9ba72ffky9jy5xzpvpq&amp;dl=0","Click to download SizeChart")</f>
      </c>
      <c r="C6246" s="0" t="inlineStr">
        <is>
          <t>Deklan Men's Sweatpants</t>
        </is>
      </c>
      <c r="D6246" s="0" t="inlineStr">
        <is>
          <t>'98566</t>
        </is>
      </c>
      <c r="E6246" s="0" t="inlineStr">
        <is>
          <t>DEKLAN:98566E-2XL</t>
        </is>
      </c>
      <c r="F6246" s="0" t="inlineStr">
        <is>
          <t>'000000000000</t>
        </is>
      </c>
      <c r="G6246" s="0" t="inlineStr">
        <is>
          <t>MENS</t>
        </is>
      </c>
      <c r="H6246" s="0" t="inlineStr">
        <is>
          <t>2XL</t>
        </is>
      </c>
      <c r="I6246" s="0">
        <v>41.99</v>
      </c>
      <c r="J6246" s="0">
        <v>12</v>
      </c>
    </row>
    <row r="6247" spans="1:10" customHeight="0">
      <c r="A6247" s="0">
        <f>HYPERLINK("https://dl.dropboxusercontent.com/scl/fi/ac411fix4n911zx15jcmv/98566-af.jpg?rlkey=2ipn1mfkpndkfxxkov72bdsm9&amp;dl=0","Click to download Image")</f>
      </c>
      <c r="B6247" s="0">
        <f>HYPERLINK("https://dl.dropboxusercontent.com/scl/fi/rg7g4zxgyn02hzagfly4m/graphic-update2022-mens.jpg?rlkey=qlmkvz9ba72ffky9jy5xzpvpq&amp;dl=0","Click to download SizeChart")</f>
      </c>
      <c r="C6247" s="0" t="inlineStr">
        <is>
          <t>Deklan Men's Sweatpants</t>
        </is>
      </c>
      <c r="D6247" s="0" t="inlineStr">
        <is>
          <t>'98566</t>
        </is>
      </c>
      <c r="E6247" s="0" t="inlineStr">
        <is>
          <t>DEKLAN:98566F-3XL</t>
        </is>
      </c>
      <c r="F6247" s="0" t="inlineStr">
        <is>
          <t>'000000000000</t>
        </is>
      </c>
      <c r="G6247" s="0" t="inlineStr">
        <is>
          <t>MENS</t>
        </is>
      </c>
      <c r="H6247" s="0" t="inlineStr">
        <is>
          <t>3XL</t>
        </is>
      </c>
      <c r="I6247" s="0">
        <v>41.99</v>
      </c>
      <c r="J6247" s="0">
        <v>2</v>
      </c>
    </row>
    <row r="6248" spans="1:10" customHeight="0">
      <c r="A6248" s="0">
        <f>HYPERLINK("https://dl.dropboxusercontent.com/scl/fi/ksadl7aaa8lgr1t3hux0t/98854-afl.jpg?rlkey=r2pm6q36yus5kuc4tya4neavg&amp;dl=0","Click to download Image")</f>
      </c>
      <c r="B6248" s="0">
        <f>HYPERLINK("https://dl.dropboxusercontent.com/scl/fi/rg7g4zxgyn02hzagfly4m/graphic-update2022-mens.jpg?rlkey=qlmkvz9ba72ffky9jy5xzpvpq&amp;dl=0","Click to download SizeChart")</f>
      </c>
      <c r="C6248" s="0" t="inlineStr">
        <is>
          <t>Deklan Men's Sweatpants</t>
        </is>
      </c>
      <c r="D6248" s="0" t="inlineStr">
        <is>
          <t>'98854</t>
        </is>
      </c>
      <c r="E6248" s="0" t="inlineStr">
        <is>
          <t>DEKLAN:98854A-S</t>
        </is>
      </c>
      <c r="F6248" s="0" t="inlineStr">
        <is>
          <t>'000000000000</t>
        </is>
      </c>
      <c r="G6248" s="0" t="inlineStr">
        <is>
          <t>MENS</t>
        </is>
      </c>
      <c r="H6248" s="0" t="inlineStr">
        <is>
          <t>S</t>
        </is>
      </c>
      <c r="I6248" s="0">
        <v>39.99</v>
      </c>
      <c r="J6248" s="0">
        <v>16</v>
      </c>
    </row>
    <row r="6249" spans="1:10" customHeight="0">
      <c r="A6249" s="0">
        <f>HYPERLINK("https://dl.dropboxusercontent.com/scl/fi/ksadl7aaa8lgr1t3hux0t/98854-afl.jpg?rlkey=r2pm6q36yus5kuc4tya4neavg&amp;dl=0","Click to download Image")</f>
      </c>
      <c r="B6249" s="0">
        <f>HYPERLINK("https://dl.dropboxusercontent.com/scl/fi/rg7g4zxgyn02hzagfly4m/graphic-update2022-mens.jpg?rlkey=qlmkvz9ba72ffky9jy5xzpvpq&amp;dl=0","Click to download SizeChart")</f>
      </c>
      <c r="C6249" s="0" t="inlineStr">
        <is>
          <t>Deklan Men's Sweatpants</t>
        </is>
      </c>
      <c r="D6249" s="0" t="inlineStr">
        <is>
          <t>'98854</t>
        </is>
      </c>
      <c r="E6249" s="0" t="inlineStr">
        <is>
          <t>DEKLAN:98854B-M</t>
        </is>
      </c>
      <c r="F6249" s="0" t="inlineStr">
        <is>
          <t>'000000000000</t>
        </is>
      </c>
      <c r="G6249" s="0" t="inlineStr">
        <is>
          <t>MENS</t>
        </is>
      </c>
      <c r="H6249" s="0" t="inlineStr">
        <is>
          <t>M</t>
        </is>
      </c>
      <c r="I6249" s="0">
        <v>39.99</v>
      </c>
      <c r="J6249" s="0">
        <v>4</v>
      </c>
    </row>
    <row r="6250" spans="1:10" customHeight="0">
      <c r="A6250" s="0">
        <f>HYPERLINK("https://dl.dropboxusercontent.com/scl/fi/ksadl7aaa8lgr1t3hux0t/98854-afl.jpg?rlkey=r2pm6q36yus5kuc4tya4neavg&amp;dl=0","Click to download Image")</f>
      </c>
      <c r="B6250" s="0">
        <f>HYPERLINK("https://dl.dropboxusercontent.com/scl/fi/rg7g4zxgyn02hzagfly4m/graphic-update2022-mens.jpg?rlkey=qlmkvz9ba72ffky9jy5xzpvpq&amp;dl=0","Click to download SizeChart")</f>
      </c>
      <c r="C6250" s="0" t="inlineStr">
        <is>
          <t>Deklan Men's Sweatpants</t>
        </is>
      </c>
      <c r="D6250" s="0" t="inlineStr">
        <is>
          <t>'98854</t>
        </is>
      </c>
      <c r="E6250" s="0" t="inlineStr">
        <is>
          <t>DEKLAN:98854C-L</t>
        </is>
      </c>
      <c r="F6250" s="0" t="inlineStr">
        <is>
          <t>'000000000000</t>
        </is>
      </c>
      <c r="G6250" s="0" t="inlineStr">
        <is>
          <t>MENS</t>
        </is>
      </c>
      <c r="H6250" s="0" t="inlineStr">
        <is>
          <t>L</t>
        </is>
      </c>
      <c r="I6250" s="0">
        <v>39.99</v>
      </c>
      <c r="J6250" s="0">
        <v>0</v>
      </c>
    </row>
    <row r="6251" spans="1:10" customHeight="0">
      <c r="A6251" s="0">
        <f>HYPERLINK("https://dl.dropboxusercontent.com/scl/fi/ksadl7aaa8lgr1t3hux0t/98854-afl.jpg?rlkey=r2pm6q36yus5kuc4tya4neavg&amp;dl=0","Click to download Image")</f>
      </c>
      <c r="B6251" s="0">
        <f>HYPERLINK("https://dl.dropboxusercontent.com/scl/fi/rg7g4zxgyn02hzagfly4m/graphic-update2022-mens.jpg?rlkey=qlmkvz9ba72ffky9jy5xzpvpq&amp;dl=0","Click to download SizeChart")</f>
      </c>
      <c r="C6251" s="0" t="inlineStr">
        <is>
          <t>Deklan Men's Sweatpants</t>
        </is>
      </c>
      <c r="D6251" s="0" t="inlineStr">
        <is>
          <t>'98854</t>
        </is>
      </c>
      <c r="E6251" s="0" t="inlineStr">
        <is>
          <t>DEKLAN:98854D-XL</t>
        </is>
      </c>
      <c r="F6251" s="0" t="inlineStr">
        <is>
          <t>'000000000000</t>
        </is>
      </c>
      <c r="G6251" s="0" t="inlineStr">
        <is>
          <t>MENS</t>
        </is>
      </c>
      <c r="H6251" s="0" t="inlineStr">
        <is>
          <t>XL</t>
        </is>
      </c>
      <c r="I6251" s="0">
        <v>39.99</v>
      </c>
      <c r="J6251" s="0">
        <v>1</v>
      </c>
    </row>
    <row r="6252" spans="1:10" customHeight="0">
      <c r="A6252" s="0">
        <f>HYPERLINK("https://dl.dropboxusercontent.com/scl/fi/ksadl7aaa8lgr1t3hux0t/98854-afl.jpg?rlkey=r2pm6q36yus5kuc4tya4neavg&amp;dl=0","Click to download Image")</f>
      </c>
      <c r="B6252" s="0">
        <f>HYPERLINK("https://dl.dropboxusercontent.com/scl/fi/rg7g4zxgyn02hzagfly4m/graphic-update2022-mens.jpg?rlkey=qlmkvz9ba72ffky9jy5xzpvpq&amp;dl=0","Click to download SizeChart")</f>
      </c>
      <c r="C6252" s="0" t="inlineStr">
        <is>
          <t>Deklan Men's Sweatpants</t>
        </is>
      </c>
      <c r="D6252" s="0" t="inlineStr">
        <is>
          <t>'98854</t>
        </is>
      </c>
      <c r="E6252" s="0" t="inlineStr">
        <is>
          <t>DEKLAN:98854E-2XL</t>
        </is>
      </c>
      <c r="F6252" s="0" t="inlineStr">
        <is>
          <t>'000000000000</t>
        </is>
      </c>
      <c r="G6252" s="0" t="inlineStr">
        <is>
          <t>MENS</t>
        </is>
      </c>
      <c r="H6252" s="0" t="inlineStr">
        <is>
          <t>2XL</t>
        </is>
      </c>
      <c r="I6252" s="0">
        <v>41.99</v>
      </c>
      <c r="J6252" s="0">
        <v>13</v>
      </c>
    </row>
    <row r="6253" spans="1:10" customHeight="0">
      <c r="A6253" s="0">
        <f>HYPERLINK("https://dl.dropboxusercontent.com/scl/fi/ksadl7aaa8lgr1t3hux0t/98854-afl.jpg?rlkey=r2pm6q36yus5kuc4tya4neavg&amp;dl=0","Click to download Image")</f>
      </c>
      <c r="B6253" s="0">
        <f>HYPERLINK("https://dl.dropboxusercontent.com/scl/fi/rg7g4zxgyn02hzagfly4m/graphic-update2022-mens.jpg?rlkey=qlmkvz9ba72ffky9jy5xzpvpq&amp;dl=0","Click to download SizeChart")</f>
      </c>
      <c r="C6253" s="0" t="inlineStr">
        <is>
          <t>Deklan Men's Sweatpants</t>
        </is>
      </c>
      <c r="D6253" s="0" t="inlineStr">
        <is>
          <t>'98854</t>
        </is>
      </c>
      <c r="E6253" s="0" t="inlineStr">
        <is>
          <t>DEKLAN:98854F-3XL</t>
        </is>
      </c>
      <c r="F6253" s="0" t="inlineStr">
        <is>
          <t>'000000000000</t>
        </is>
      </c>
      <c r="G6253" s="0" t="inlineStr">
        <is>
          <t>MENS</t>
        </is>
      </c>
      <c r="H6253" s="0" t="inlineStr">
        <is>
          <t>3XL</t>
        </is>
      </c>
      <c r="I6253" s="0">
        <v>41.99</v>
      </c>
      <c r="J6253" s="0">
        <v>18</v>
      </c>
    </row>
    <row r="6254" spans="1:10" customHeight="0">
      <c r="A6254" s="0">
        <f>HYPERLINK("https://dl.dropboxusercontent.com/scl/fi/xp4z6sfz9zj6pw1azaucv/96427af.jpg?rlkey=1zyyw31swa91v1uxfaxqaryxq&amp;dl=0","Click to download Image")</f>
      </c>
      <c r="C6254" s="0" t="inlineStr">
        <is>
          <t>Aaron Men's Board Shorts</t>
        </is>
      </c>
      <c r="D6254" s="0" t="inlineStr">
        <is>
          <t>'96427</t>
        </is>
      </c>
      <c r="E6254" s="0" t="inlineStr">
        <is>
          <t>AARON:96427-30</t>
        </is>
      </c>
      <c r="F6254" s="0" t="inlineStr">
        <is>
          <t>'000000000000</t>
        </is>
      </c>
      <c r="G6254" s="0" t="inlineStr">
        <is>
          <t>MENS</t>
        </is>
      </c>
      <c r="H6254" s="0" t="inlineStr">
        <is>
          <t>30</t>
        </is>
      </c>
      <c r="I6254" s="0">
        <v>44.99</v>
      </c>
      <c r="J6254" s="0">
        <v>18</v>
      </c>
    </row>
    <row r="6255" spans="1:10" customHeight="0">
      <c r="A6255" s="0">
        <f>HYPERLINK("https://dl.dropboxusercontent.com/scl/fi/xp4z6sfz9zj6pw1azaucv/96427af.jpg?rlkey=1zyyw31swa91v1uxfaxqaryxq&amp;dl=0","Click to download Image")</f>
      </c>
      <c r="C6255" s="0" t="inlineStr">
        <is>
          <t>Aaron Men's Board Shorts</t>
        </is>
      </c>
      <c r="D6255" s="0" t="inlineStr">
        <is>
          <t>'96427</t>
        </is>
      </c>
      <c r="E6255" s="0" t="inlineStr">
        <is>
          <t>AARON:96427-32</t>
        </is>
      </c>
      <c r="F6255" s="0" t="inlineStr">
        <is>
          <t>'000000000000</t>
        </is>
      </c>
      <c r="G6255" s="0" t="inlineStr">
        <is>
          <t>MENS</t>
        </is>
      </c>
      <c r="H6255" s="0" t="inlineStr">
        <is>
          <t>32</t>
        </is>
      </c>
      <c r="I6255" s="0">
        <v>44.99</v>
      </c>
      <c r="J6255" s="0">
        <v>27</v>
      </c>
    </row>
    <row r="6256" spans="1:10" customHeight="0">
      <c r="A6256" s="0">
        <f>HYPERLINK("https://dl.dropboxusercontent.com/scl/fi/xp4z6sfz9zj6pw1azaucv/96427af.jpg?rlkey=1zyyw31swa91v1uxfaxqaryxq&amp;dl=0","Click to download Image")</f>
      </c>
      <c r="C6256" s="0" t="inlineStr">
        <is>
          <t>Aaron Men's Board Shorts</t>
        </is>
      </c>
      <c r="D6256" s="0" t="inlineStr">
        <is>
          <t>'96427</t>
        </is>
      </c>
      <c r="E6256" s="0" t="inlineStr">
        <is>
          <t>AARON:96427-34</t>
        </is>
      </c>
      <c r="F6256" s="0" t="inlineStr">
        <is>
          <t>'000000000000</t>
        </is>
      </c>
      <c r="G6256" s="0" t="inlineStr">
        <is>
          <t>MENS</t>
        </is>
      </c>
      <c r="H6256" s="0" t="inlineStr">
        <is>
          <t>34</t>
        </is>
      </c>
      <c r="I6256" s="0">
        <v>44.99</v>
      </c>
      <c r="J6256" s="0">
        <v>39</v>
      </c>
    </row>
    <row r="6257" spans="1:10" customHeight="0">
      <c r="A6257" s="0">
        <f>HYPERLINK("https://dl.dropboxusercontent.com/scl/fi/xp4z6sfz9zj6pw1azaucv/96427af.jpg?rlkey=1zyyw31swa91v1uxfaxqaryxq&amp;dl=0","Click to download Image")</f>
      </c>
      <c r="C6257" s="0" t="inlineStr">
        <is>
          <t>Aaron Men's Board Shorts</t>
        </is>
      </c>
      <c r="D6257" s="0" t="inlineStr">
        <is>
          <t>'96427</t>
        </is>
      </c>
      <c r="E6257" s="0" t="inlineStr">
        <is>
          <t>AARON:96427-36</t>
        </is>
      </c>
      <c r="F6257" s="0" t="inlineStr">
        <is>
          <t>'000000000000</t>
        </is>
      </c>
      <c r="G6257" s="0" t="inlineStr">
        <is>
          <t>MENS</t>
        </is>
      </c>
      <c r="H6257" s="0" t="inlineStr">
        <is>
          <t>36</t>
        </is>
      </c>
      <c r="I6257" s="0">
        <v>44.99</v>
      </c>
      <c r="J6257" s="0">
        <v>35</v>
      </c>
    </row>
    <row r="6258" spans="1:10" customHeight="0">
      <c r="A6258" s="0">
        <f>HYPERLINK("https://dl.dropboxusercontent.com/scl/fi/xp4z6sfz9zj6pw1azaucv/96427af.jpg?rlkey=1zyyw31swa91v1uxfaxqaryxq&amp;dl=0","Click to download Image")</f>
      </c>
      <c r="C6258" s="0" t="inlineStr">
        <is>
          <t>Aaron Men's Board Shorts</t>
        </is>
      </c>
      <c r="D6258" s="0" t="inlineStr">
        <is>
          <t>'96427</t>
        </is>
      </c>
      <c r="E6258" s="0" t="inlineStr">
        <is>
          <t>AARON:96427-38</t>
        </is>
      </c>
      <c r="F6258" s="0" t="inlineStr">
        <is>
          <t>'000000000000</t>
        </is>
      </c>
      <c r="G6258" s="0" t="inlineStr">
        <is>
          <t>MENS</t>
        </is>
      </c>
      <c r="H6258" s="0" t="inlineStr">
        <is>
          <t>38</t>
        </is>
      </c>
      <c r="I6258" s="0">
        <v>44.99</v>
      </c>
      <c r="J6258" s="0">
        <v>56</v>
      </c>
    </row>
    <row r="6259" spans="1:10" customHeight="0">
      <c r="A6259" s="0">
        <f>HYPERLINK("https://dl.dropboxusercontent.com/scl/fi/xp4z6sfz9zj6pw1azaucv/96427af.jpg?rlkey=1zyyw31swa91v1uxfaxqaryxq&amp;dl=0","Click to download Image")</f>
      </c>
      <c r="C6259" s="0" t="inlineStr">
        <is>
          <t>Aaron Men's Board Shorts</t>
        </is>
      </c>
      <c r="D6259" s="0" t="inlineStr">
        <is>
          <t>'96427</t>
        </is>
      </c>
      <c r="E6259" s="0" t="inlineStr">
        <is>
          <t>AARON:96427-40</t>
        </is>
      </c>
      <c r="F6259" s="0" t="inlineStr">
        <is>
          <t>'000000000000</t>
        </is>
      </c>
      <c r="G6259" s="0" t="inlineStr">
        <is>
          <t>MENS</t>
        </is>
      </c>
      <c r="H6259" s="0" t="inlineStr">
        <is>
          <t>40</t>
        </is>
      </c>
      <c r="I6259" s="0">
        <v>44.99</v>
      </c>
      <c r="J6259" s="0">
        <v>35</v>
      </c>
    </row>
    <row r="6260" spans="1:10" customHeight="0">
      <c r="A6260" s="0">
        <f>HYPERLINK("https://dl.dropboxusercontent.com/scl/fi/xp4z6sfz9zj6pw1azaucv/96427af.jpg?rlkey=1zyyw31swa91v1uxfaxqaryxq&amp;dl=0","Click to download Image")</f>
      </c>
      <c r="C6260" s="0" t="inlineStr">
        <is>
          <t>Aaron Men's Board Shorts</t>
        </is>
      </c>
      <c r="D6260" s="0" t="inlineStr">
        <is>
          <t>'96427</t>
        </is>
      </c>
      <c r="E6260" s="0" t="inlineStr">
        <is>
          <t>AARON:96427-42</t>
        </is>
      </c>
      <c r="F6260" s="0" t="inlineStr">
        <is>
          <t>'000000000000</t>
        </is>
      </c>
      <c r="G6260" s="0" t="inlineStr">
        <is>
          <t>MENS</t>
        </is>
      </c>
      <c r="H6260" s="0" t="inlineStr">
        <is>
          <t>42</t>
        </is>
      </c>
      <c r="I6260" s="0">
        <v>44.99</v>
      </c>
      <c r="J6260" s="0">
        <v>19</v>
      </c>
    </row>
    <row r="6261" spans="1:10" customHeight="0">
      <c r="A6261" s="0">
        <f>HYPERLINK("https://dl.dropboxusercontent.com/scl/fi/wz3z5ua1afv8wrbb5ccjo/95963af.jpg?rlkey=0xtcqyrfmrkpdrhmhfmnxwg42&amp;dl=0","Click to download Image")</f>
      </c>
      <c r="C6261" s="0" t="inlineStr">
        <is>
          <t>Huey Baby Carrier</t>
        </is>
      </c>
      <c r="D6261" s="0" t="inlineStr">
        <is>
          <t>'95963</t>
        </is>
      </c>
      <c r="E6261" s="0" t="inlineStr">
        <is>
          <t>HUEY:95963</t>
        </is>
      </c>
      <c r="F6261" s="0" t="inlineStr">
        <is>
          <t>'000000000000</t>
        </is>
      </c>
      <c r="I6261" s="0">
        <v>59.99</v>
      </c>
      <c r="J6261" s="0">
        <v>477</v>
      </c>
    </row>
    <row r="6262" spans="1:10" customHeight="0">
      <c r="A6262" s="0">
        <f>HYPERLINK("https://dl.dropboxusercontent.com/scl/fi/q0ycjnt9qzi9qfsijy0xg/lucy.jpg?rlkey=q1hs3f0dht2kb46p8a27xljra&amp;dl=0","Click to download Image")</f>
      </c>
      <c r="B6262" s="0">
        <f>HYPERLINK("https://dl.dropboxusercontent.com/scl/fi/xbiwzx69png0afihpi4gz/ladies-b.jpg?rlkey=7ssiqkafxk1qiti6wtwerovro&amp;dl=0","Click to download SizeChart")</f>
      </c>
      <c r="C6262" s="0" t="inlineStr">
        <is>
          <t>Lucy Women's Jacket</t>
        </is>
      </c>
      <c r="D6262" s="0" t="inlineStr">
        <is>
          <t>'98119</t>
        </is>
      </c>
      <c r="E6262" s="0" t="inlineStr">
        <is>
          <t>LUCY:98119A-S</t>
        </is>
      </c>
      <c r="F6262" s="0" t="inlineStr">
        <is>
          <t>'000000000000</t>
        </is>
      </c>
      <c r="G6262" s="0" t="inlineStr">
        <is>
          <t>WOMENS</t>
        </is>
      </c>
      <c r="H6262" s="0" t="inlineStr">
        <is>
          <t>S</t>
        </is>
      </c>
      <c r="I6262" s="0">
        <v>69.99</v>
      </c>
      <c r="J6262" s="0">
        <v>25</v>
      </c>
    </row>
    <row r="6263" spans="1:10" customHeight="0">
      <c r="A6263" s="0">
        <f>HYPERLINK("https://dl.dropboxusercontent.com/scl/fi/q0ycjnt9qzi9qfsijy0xg/lucy.jpg?rlkey=q1hs3f0dht2kb46p8a27xljra&amp;dl=0","Click to download Image")</f>
      </c>
      <c r="B6263" s="0">
        <f>HYPERLINK("https://dl.dropboxusercontent.com/scl/fi/xbiwzx69png0afihpi4gz/ladies-b.jpg?rlkey=7ssiqkafxk1qiti6wtwerovro&amp;dl=0","Click to download SizeChart")</f>
      </c>
      <c r="C6263" s="0" t="inlineStr">
        <is>
          <t>Lucy Women's Jacket</t>
        </is>
      </c>
      <c r="D6263" s="0" t="inlineStr">
        <is>
          <t>'98119</t>
        </is>
      </c>
      <c r="E6263" s="0" t="inlineStr">
        <is>
          <t>LUCY:98119B-M</t>
        </is>
      </c>
      <c r="F6263" s="0" t="inlineStr">
        <is>
          <t>'000000000000</t>
        </is>
      </c>
      <c r="G6263" s="0" t="inlineStr">
        <is>
          <t>WOMENS</t>
        </is>
      </c>
      <c r="H6263" s="0" t="inlineStr">
        <is>
          <t>M</t>
        </is>
      </c>
      <c r="I6263" s="0">
        <v>69.99</v>
      </c>
      <c r="J6263" s="0">
        <v>9</v>
      </c>
    </row>
    <row r="6264" spans="1:10" customHeight="0">
      <c r="A6264" s="0">
        <f>HYPERLINK("https://dl.dropboxusercontent.com/scl/fi/q0ycjnt9qzi9qfsijy0xg/lucy.jpg?rlkey=q1hs3f0dht2kb46p8a27xljra&amp;dl=0","Click to download Image")</f>
      </c>
      <c r="B6264" s="0">
        <f>HYPERLINK("https://dl.dropboxusercontent.com/scl/fi/xbiwzx69png0afihpi4gz/ladies-b.jpg?rlkey=7ssiqkafxk1qiti6wtwerovro&amp;dl=0","Click to download SizeChart")</f>
      </c>
      <c r="C6264" s="0" t="inlineStr">
        <is>
          <t>Lucy Women's Jacket</t>
        </is>
      </c>
      <c r="D6264" s="0" t="inlineStr">
        <is>
          <t>'98119</t>
        </is>
      </c>
      <c r="E6264" s="0" t="inlineStr">
        <is>
          <t>LUCY:98119D-XL</t>
        </is>
      </c>
      <c r="F6264" s="0" t="inlineStr">
        <is>
          <t>'000000000000</t>
        </is>
      </c>
      <c r="G6264" s="0" t="inlineStr">
        <is>
          <t>WOMENS</t>
        </is>
      </c>
      <c r="H6264" s="0" t="inlineStr">
        <is>
          <t>XL</t>
        </is>
      </c>
      <c r="I6264" s="0">
        <v>69.99</v>
      </c>
      <c r="J6264" s="0">
        <v>0</v>
      </c>
    </row>
    <row r="6265" spans="1:10" customHeight="0">
      <c r="A6265" s="0">
        <f>HYPERLINK("https://dl.dropboxusercontent.com/scl/fi/q0ycjnt9qzi9qfsijy0xg/lucy.jpg?rlkey=q1hs3f0dht2kb46p8a27xljra&amp;dl=0","Click to download Image")</f>
      </c>
      <c r="B6265" s="0">
        <f>HYPERLINK("https://dl.dropboxusercontent.com/scl/fi/xbiwzx69png0afihpi4gz/ladies-b.jpg?rlkey=7ssiqkafxk1qiti6wtwerovro&amp;dl=0","Click to download SizeChart")</f>
      </c>
      <c r="C6265" s="0" t="inlineStr">
        <is>
          <t>Lucy Women's Jacket</t>
        </is>
      </c>
      <c r="D6265" s="0" t="inlineStr">
        <is>
          <t>'98119</t>
        </is>
      </c>
      <c r="E6265" s="0" t="inlineStr">
        <is>
          <t>LUCY:98119E-2XL</t>
        </is>
      </c>
      <c r="F6265" s="0" t="inlineStr">
        <is>
          <t>'000000000000</t>
        </is>
      </c>
      <c r="G6265" s="0" t="inlineStr">
        <is>
          <t>WOMENS</t>
        </is>
      </c>
      <c r="H6265" s="0" t="inlineStr">
        <is>
          <t>2XL</t>
        </is>
      </c>
      <c r="I6265" s="0">
        <v>71.99</v>
      </c>
      <c r="J6265" s="0">
        <v>16</v>
      </c>
    </row>
    <row r="6266" spans="1:10" customHeight="0">
      <c r="A6266" s="0">
        <f>HYPERLINK("https://dl.dropboxusercontent.com/scl/fi/vypwdt3jrmrgkpdaz8ndn/ia-libby-f.jpg?rlkey=j061u1y8nb9mca9lxvqpwscfj&amp;dl=0","Click to download Image")</f>
      </c>
      <c r="B6266" s="0">
        <f>HYPERLINK("https://dl.dropboxusercontent.com/scl/fi/05vu224blct9wueh1efd6/size-chartladies-j.jpg?rlkey=43d6w40k0jnst35wjj5aalw5o&amp;dl=0","Click to download SizeChart")</f>
      </c>
      <c r="C6266" s="0" t="inlineStr">
        <is>
          <t>Libby Women's French Terry Joggers</t>
        </is>
      </c>
      <c r="D6266" s="0" t="inlineStr">
        <is>
          <t>'95480</t>
        </is>
      </c>
      <c r="E6266" s="0" t="inlineStr">
        <is>
          <t>LIBBY:95480A-S</t>
        </is>
      </c>
      <c r="F6266" s="0" t="inlineStr">
        <is>
          <t>'000000000000</t>
        </is>
      </c>
      <c r="G6266" s="0" t="inlineStr">
        <is>
          <t>WOMENS</t>
        </is>
      </c>
      <c r="H6266" s="0" t="inlineStr">
        <is>
          <t>S</t>
        </is>
      </c>
      <c r="I6266" s="0">
        <v>49.99</v>
      </c>
      <c r="J6266" s="0">
        <v>48</v>
      </c>
    </row>
    <row r="6267" spans="1:10" customHeight="0">
      <c r="A6267" s="0">
        <f>HYPERLINK("https://dl.dropboxusercontent.com/scl/fi/vypwdt3jrmrgkpdaz8ndn/ia-libby-f.jpg?rlkey=j061u1y8nb9mca9lxvqpwscfj&amp;dl=0","Click to download Image")</f>
      </c>
      <c r="B6267" s="0">
        <f>HYPERLINK("https://dl.dropboxusercontent.com/scl/fi/05vu224blct9wueh1efd6/size-chartladies-j.jpg?rlkey=43d6w40k0jnst35wjj5aalw5o&amp;dl=0","Click to download SizeChart")</f>
      </c>
      <c r="C6267" s="0" t="inlineStr">
        <is>
          <t>Libby Women's French Terry Joggers</t>
        </is>
      </c>
      <c r="D6267" s="0" t="inlineStr">
        <is>
          <t>'95480</t>
        </is>
      </c>
      <c r="E6267" s="0" t="inlineStr">
        <is>
          <t>LIBBY:95480B-M</t>
        </is>
      </c>
      <c r="F6267" s="0" t="inlineStr">
        <is>
          <t>'000000000000</t>
        </is>
      </c>
      <c r="G6267" s="0" t="inlineStr">
        <is>
          <t>WOMENS</t>
        </is>
      </c>
      <c r="H6267" s="0" t="inlineStr">
        <is>
          <t>M</t>
        </is>
      </c>
      <c r="I6267" s="0">
        <v>49.99</v>
      </c>
      <c r="J6267" s="0">
        <v>64</v>
      </c>
    </row>
    <row r="6268" spans="1:10" customHeight="0">
      <c r="A6268" s="0">
        <f>HYPERLINK("https://dl.dropboxusercontent.com/scl/fi/vypwdt3jrmrgkpdaz8ndn/ia-libby-f.jpg?rlkey=j061u1y8nb9mca9lxvqpwscfj&amp;dl=0","Click to download Image")</f>
      </c>
      <c r="B6268" s="0">
        <f>HYPERLINK("https://dl.dropboxusercontent.com/scl/fi/05vu224blct9wueh1efd6/size-chartladies-j.jpg?rlkey=43d6w40k0jnst35wjj5aalw5o&amp;dl=0","Click to download SizeChart")</f>
      </c>
      <c r="C6268" s="0" t="inlineStr">
        <is>
          <t>Libby Women's French Terry Joggers</t>
        </is>
      </c>
      <c r="D6268" s="0" t="inlineStr">
        <is>
          <t>'95480</t>
        </is>
      </c>
      <c r="E6268" s="0" t="inlineStr">
        <is>
          <t>LIBBY:95480C-L</t>
        </is>
      </c>
      <c r="F6268" s="0" t="inlineStr">
        <is>
          <t>'000000000000</t>
        </is>
      </c>
      <c r="G6268" s="0" t="inlineStr">
        <is>
          <t>WOMENS</t>
        </is>
      </c>
      <c r="H6268" s="0" t="inlineStr">
        <is>
          <t>L</t>
        </is>
      </c>
      <c r="I6268" s="0">
        <v>49.99</v>
      </c>
      <c r="J6268" s="0">
        <v>129</v>
      </c>
    </row>
    <row r="6269" spans="1:10" customHeight="0">
      <c r="A6269" s="0">
        <f>HYPERLINK("https://dl.dropboxusercontent.com/scl/fi/vypwdt3jrmrgkpdaz8ndn/ia-libby-f.jpg?rlkey=j061u1y8nb9mca9lxvqpwscfj&amp;dl=0","Click to download Image")</f>
      </c>
      <c r="B6269" s="0">
        <f>HYPERLINK("https://dl.dropboxusercontent.com/scl/fi/05vu224blct9wueh1efd6/size-chartladies-j.jpg?rlkey=43d6w40k0jnst35wjj5aalw5o&amp;dl=0","Click to download SizeChart")</f>
      </c>
      <c r="C6269" s="0" t="inlineStr">
        <is>
          <t>Libby Women's French Terry Joggers</t>
        </is>
      </c>
      <c r="D6269" s="0" t="inlineStr">
        <is>
          <t>'95480</t>
        </is>
      </c>
      <c r="E6269" s="0" t="inlineStr">
        <is>
          <t>LIBBY:95480D-XL</t>
        </is>
      </c>
      <c r="F6269" s="0" t="inlineStr">
        <is>
          <t>'000000000000</t>
        </is>
      </c>
      <c r="G6269" s="0" t="inlineStr">
        <is>
          <t>WOMENS</t>
        </is>
      </c>
      <c r="H6269" s="0" t="inlineStr">
        <is>
          <t>XL</t>
        </is>
      </c>
      <c r="I6269" s="0">
        <v>49.99</v>
      </c>
      <c r="J6269" s="0">
        <v>133</v>
      </c>
    </row>
    <row r="6270" spans="1:10" customHeight="0">
      <c r="A6270" s="0">
        <f>HYPERLINK("https://dl.dropboxusercontent.com/scl/fi/vypwdt3jrmrgkpdaz8ndn/ia-libby-f.jpg?rlkey=j061u1y8nb9mca9lxvqpwscfj&amp;dl=0","Click to download Image")</f>
      </c>
      <c r="B6270" s="0">
        <f>HYPERLINK("https://dl.dropboxusercontent.com/scl/fi/05vu224blct9wueh1efd6/size-chartladies-j.jpg?rlkey=43d6w40k0jnst35wjj5aalw5o&amp;dl=0","Click to download SizeChart")</f>
      </c>
      <c r="C6270" s="0" t="inlineStr">
        <is>
          <t>Libby Women's French Terry Joggers</t>
        </is>
      </c>
      <c r="D6270" s="0" t="inlineStr">
        <is>
          <t>'95480</t>
        </is>
      </c>
      <c r="E6270" s="0" t="inlineStr">
        <is>
          <t>LIBBY:95480E-2X</t>
        </is>
      </c>
      <c r="F6270" s="0" t="inlineStr">
        <is>
          <t>'000000000000</t>
        </is>
      </c>
      <c r="G6270" s="0" t="inlineStr">
        <is>
          <t>WOMENS</t>
        </is>
      </c>
      <c r="H6270" s="0" t="inlineStr">
        <is>
          <t>2XL</t>
        </is>
      </c>
      <c r="I6270" s="0">
        <v>51.99</v>
      </c>
      <c r="J6270" s="0">
        <v>46</v>
      </c>
    </row>
    <row r="6271" spans="1:10" customHeight="0">
      <c r="A6271" s="0">
        <f>HYPERLINK("https://dl.dropboxusercontent.com/scl/fi/yfqtt006g5udkner7u6co/lennon.jpg?rlkey=n5tk6wx64ur5m6tuup5nw8b2c&amp;dl=0","Click to download Image")</f>
      </c>
      <c r="B6271" s="0">
        <f>HYPERLINK("https://dl.dropboxusercontent.com/scl/fi/n125smqshgp5hb8o6p1sq/size-chartladies-h.jpg?rlkey=4uwrnyrqe6u6en31kgtehvc6d&amp;dl=0","Click to download SizeChart")</f>
      </c>
      <c r="C6271" s="0" t="inlineStr">
        <is>
          <t>Lennon Women's Cold Shoulder Long Sleeve Shirt</t>
        </is>
      </c>
      <c r="D6271" s="0" t="inlineStr">
        <is>
          <t>'98426</t>
        </is>
      </c>
      <c r="E6271" s="0" t="inlineStr">
        <is>
          <t>LENNON:98426A-S</t>
        </is>
      </c>
      <c r="F6271" s="0" t="inlineStr">
        <is>
          <t>'000000000000</t>
        </is>
      </c>
      <c r="G6271" s="0" t="inlineStr">
        <is>
          <t>WOMENS</t>
        </is>
      </c>
      <c r="H6271" s="0" t="inlineStr">
        <is>
          <t>S</t>
        </is>
      </c>
      <c r="I6271" s="0">
        <v>49.99</v>
      </c>
      <c r="J6271" s="0">
        <v>71</v>
      </c>
    </row>
    <row r="6272" spans="1:10" customHeight="0">
      <c r="A6272" s="0">
        <f>HYPERLINK("https://dl.dropboxusercontent.com/scl/fi/yfqtt006g5udkner7u6co/lennon.jpg?rlkey=n5tk6wx64ur5m6tuup5nw8b2c&amp;dl=0","Click to download Image")</f>
      </c>
      <c r="B6272" s="0">
        <f>HYPERLINK("https://dl.dropboxusercontent.com/scl/fi/n125smqshgp5hb8o6p1sq/size-chartladies-h.jpg?rlkey=4uwrnyrqe6u6en31kgtehvc6d&amp;dl=0","Click to download SizeChart")</f>
      </c>
      <c r="C6272" s="0" t="inlineStr">
        <is>
          <t>Lennon Women's Cold Shoulder Long Sleeve Shirt</t>
        </is>
      </c>
      <c r="D6272" s="0" t="inlineStr">
        <is>
          <t>'98426</t>
        </is>
      </c>
      <c r="E6272" s="0" t="inlineStr">
        <is>
          <t>LENNON:98426B-M</t>
        </is>
      </c>
      <c r="F6272" s="0" t="inlineStr">
        <is>
          <t>'000000000000</t>
        </is>
      </c>
      <c r="G6272" s="0" t="inlineStr">
        <is>
          <t>WOMENS</t>
        </is>
      </c>
      <c r="H6272" s="0" t="inlineStr">
        <is>
          <t>M</t>
        </is>
      </c>
      <c r="I6272" s="0">
        <v>49.99</v>
      </c>
      <c r="J6272" s="0">
        <v>90</v>
      </c>
    </row>
    <row r="6273" spans="1:10" customHeight="0">
      <c r="A6273" s="0">
        <f>HYPERLINK("https://dl.dropboxusercontent.com/scl/fi/yfqtt006g5udkner7u6co/lennon.jpg?rlkey=n5tk6wx64ur5m6tuup5nw8b2c&amp;dl=0","Click to download Image")</f>
      </c>
      <c r="B6273" s="0">
        <f>HYPERLINK("https://dl.dropboxusercontent.com/scl/fi/n125smqshgp5hb8o6p1sq/size-chartladies-h.jpg?rlkey=4uwrnyrqe6u6en31kgtehvc6d&amp;dl=0","Click to download SizeChart")</f>
      </c>
      <c r="C6273" s="0" t="inlineStr">
        <is>
          <t>Lennon Women's Cold Shoulder Long Sleeve Shirt</t>
        </is>
      </c>
      <c r="D6273" s="0" t="inlineStr">
        <is>
          <t>'98426</t>
        </is>
      </c>
      <c r="E6273" s="0" t="inlineStr">
        <is>
          <t>LENNON:98426C-L</t>
        </is>
      </c>
      <c r="F6273" s="0" t="inlineStr">
        <is>
          <t>'000000000000</t>
        </is>
      </c>
      <c r="G6273" s="0" t="inlineStr">
        <is>
          <t>WOMENS</t>
        </is>
      </c>
      <c r="H6273" s="0" t="inlineStr">
        <is>
          <t>L</t>
        </is>
      </c>
      <c r="I6273" s="0">
        <v>49.99</v>
      </c>
      <c r="J6273" s="0">
        <v>97</v>
      </c>
    </row>
    <row r="6274" spans="1:10" customHeight="0">
      <c r="A6274" s="0">
        <f>HYPERLINK("https://dl.dropboxusercontent.com/scl/fi/yfqtt006g5udkner7u6co/lennon.jpg?rlkey=n5tk6wx64ur5m6tuup5nw8b2c&amp;dl=0","Click to download Image")</f>
      </c>
      <c r="B6274" s="0">
        <f>HYPERLINK("https://dl.dropboxusercontent.com/scl/fi/n125smqshgp5hb8o6p1sq/size-chartladies-h.jpg?rlkey=4uwrnyrqe6u6en31kgtehvc6d&amp;dl=0","Click to download SizeChart")</f>
      </c>
      <c r="C6274" s="0" t="inlineStr">
        <is>
          <t>Lennon Women's Cold Shoulder Long Sleeve Shirt</t>
        </is>
      </c>
      <c r="D6274" s="0" t="inlineStr">
        <is>
          <t>'98426</t>
        </is>
      </c>
      <c r="E6274" s="0" t="inlineStr">
        <is>
          <t>LENNON:98426D-XL</t>
        </is>
      </c>
      <c r="F6274" s="0" t="inlineStr">
        <is>
          <t>'000000000000</t>
        </is>
      </c>
      <c r="G6274" s="0" t="inlineStr">
        <is>
          <t>WOMENS</t>
        </is>
      </c>
      <c r="H6274" s="0" t="inlineStr">
        <is>
          <t>XL</t>
        </is>
      </c>
      <c r="I6274" s="0">
        <v>49.99</v>
      </c>
      <c r="J6274" s="0">
        <v>102</v>
      </c>
    </row>
    <row r="6275" spans="1:10" customHeight="0">
      <c r="A6275" s="0">
        <f>HYPERLINK("https://dl.dropboxusercontent.com/scl/fi/yfqtt006g5udkner7u6co/lennon.jpg?rlkey=n5tk6wx64ur5m6tuup5nw8b2c&amp;dl=0","Click to download Image")</f>
      </c>
      <c r="B6275" s="0">
        <f>HYPERLINK("https://dl.dropboxusercontent.com/scl/fi/n125smqshgp5hb8o6p1sq/size-chartladies-h.jpg?rlkey=4uwrnyrqe6u6en31kgtehvc6d&amp;dl=0","Click to download SizeChart")</f>
      </c>
      <c r="C6275" s="0" t="inlineStr">
        <is>
          <t>Lennon Women's Cold Shoulder Long Sleeve Shirt</t>
        </is>
      </c>
      <c r="D6275" s="0" t="inlineStr">
        <is>
          <t>'98426</t>
        </is>
      </c>
      <c r="E6275" s="0" t="inlineStr">
        <is>
          <t>LENNON:98426E-2XL</t>
        </is>
      </c>
      <c r="F6275" s="0" t="inlineStr">
        <is>
          <t>'000000000000</t>
        </is>
      </c>
      <c r="G6275" s="0" t="inlineStr">
        <is>
          <t>WOMENS</t>
        </is>
      </c>
      <c r="H6275" s="0" t="inlineStr">
        <is>
          <t>2XL</t>
        </is>
      </c>
      <c r="I6275" s="0">
        <v>51.99</v>
      </c>
      <c r="J6275" s="0">
        <v>77</v>
      </c>
    </row>
    <row r="6276" spans="1:10" customHeight="0">
      <c r="A6276" s="0">
        <f>HYPERLINK("https://dl.dropboxusercontent.com/scl/fi/yfqtt006g5udkner7u6co/lennon.jpg?rlkey=n5tk6wx64ur5m6tuup5nw8b2c&amp;dl=0","Click to download Image")</f>
      </c>
      <c r="B6276" s="0">
        <f>HYPERLINK("https://dl.dropboxusercontent.com/scl/fi/n125smqshgp5hb8o6p1sq/size-chartladies-h.jpg?rlkey=4uwrnyrqe6u6en31kgtehvc6d&amp;dl=0","Click to download SizeChart")</f>
      </c>
      <c r="C6276" s="0" t="inlineStr">
        <is>
          <t>Lennon Women's Cold Shoulder Long Sleeve Shirt</t>
        </is>
      </c>
      <c r="D6276" s="0" t="inlineStr">
        <is>
          <t>'98426</t>
        </is>
      </c>
      <c r="E6276" s="0" t="inlineStr">
        <is>
          <t>LENNON:98426F-3XL</t>
        </is>
      </c>
      <c r="F6276" s="0" t="inlineStr">
        <is>
          <t>'000000000000</t>
        </is>
      </c>
      <c r="G6276" s="0" t="inlineStr">
        <is>
          <t>WOMENS</t>
        </is>
      </c>
      <c r="H6276" s="0" t="inlineStr">
        <is>
          <t>3XL</t>
        </is>
      </c>
      <c r="I6276" s="0">
        <v>51.99</v>
      </c>
      <c r="J6276" s="0">
        <v>19</v>
      </c>
    </row>
    <row r="6277" spans="1:10" customHeight="0">
      <c r="A6277" s="0">
        <f>HYPERLINK("https://dl.dropboxusercontent.com/scl/fi/tpc2godzjfnawdhkynxnh/lauren.jpg?rlkey=u6h6vapt9j8ffro0u9ttvpsjz&amp;dl=0","Click to download Image")</f>
      </c>
      <c r="B6277" s="0">
        <f>HYPERLINK("https://dl.dropboxusercontent.com/scl/fi/8rdm9lp1ou1nwbn45pozy/ladies-b.jpg?rlkey=k2tozyjaz1v6jp1pa1fzai2d3&amp;dl=0","Click to download SizeChart")</f>
      </c>
      <c r="C6277" s="0" t="inlineStr">
        <is>
          <t>Lauren Women's Full Zip Hoodie</t>
        </is>
      </c>
      <c r="D6277" s="0" t="inlineStr">
        <is>
          <t>'95633</t>
        </is>
      </c>
      <c r="E6277" s="0" t="inlineStr">
        <is>
          <t>LAUREN:95633A-S</t>
        </is>
      </c>
      <c r="F6277" s="0" t="inlineStr">
        <is>
          <t>'000000000000</t>
        </is>
      </c>
      <c r="G6277" s="0" t="inlineStr">
        <is>
          <t>WOMENS</t>
        </is>
      </c>
      <c r="H6277" s="0" t="inlineStr">
        <is>
          <t>S</t>
        </is>
      </c>
      <c r="I6277" s="0">
        <v>49.99</v>
      </c>
      <c r="J6277" s="0">
        <v>16</v>
      </c>
    </row>
    <row r="6278" spans="1:10" customHeight="0">
      <c r="A6278" s="0">
        <f>HYPERLINK("https://dl.dropboxusercontent.com/scl/fi/tpc2godzjfnawdhkynxnh/lauren.jpg?rlkey=u6h6vapt9j8ffro0u9ttvpsjz&amp;dl=0","Click to download Image")</f>
      </c>
      <c r="B6278" s="0">
        <f>HYPERLINK("https://dl.dropboxusercontent.com/scl/fi/8rdm9lp1ou1nwbn45pozy/ladies-b.jpg?rlkey=k2tozyjaz1v6jp1pa1fzai2d3&amp;dl=0","Click to download SizeChart")</f>
      </c>
      <c r="C6278" s="0" t="inlineStr">
        <is>
          <t>Lauren Women's Full Zip Hoodie</t>
        </is>
      </c>
      <c r="D6278" s="0" t="inlineStr">
        <is>
          <t>'95633</t>
        </is>
      </c>
      <c r="E6278" s="0" t="inlineStr">
        <is>
          <t>LAUREN:95633B-M</t>
        </is>
      </c>
      <c r="F6278" s="0" t="inlineStr">
        <is>
          <t>'000000000000</t>
        </is>
      </c>
      <c r="G6278" s="0" t="inlineStr">
        <is>
          <t>WOMENS</t>
        </is>
      </c>
      <c r="H6278" s="0" t="inlineStr">
        <is>
          <t>M</t>
        </is>
      </c>
      <c r="I6278" s="0">
        <v>49.99</v>
      </c>
      <c r="J6278" s="0">
        <v>9</v>
      </c>
    </row>
    <row r="6279" spans="1:10" customHeight="0">
      <c r="A6279" s="0">
        <f>HYPERLINK("https://dl.dropboxusercontent.com/scl/fi/tpc2godzjfnawdhkynxnh/lauren.jpg?rlkey=u6h6vapt9j8ffro0u9ttvpsjz&amp;dl=0","Click to download Image")</f>
      </c>
      <c r="B6279" s="0">
        <f>HYPERLINK("https://dl.dropboxusercontent.com/scl/fi/8rdm9lp1ou1nwbn45pozy/ladies-b.jpg?rlkey=k2tozyjaz1v6jp1pa1fzai2d3&amp;dl=0","Click to download SizeChart")</f>
      </c>
      <c r="C6279" s="0" t="inlineStr">
        <is>
          <t>Lauren Women's Full Zip Hoodie</t>
        </is>
      </c>
      <c r="D6279" s="0" t="inlineStr">
        <is>
          <t>'95633</t>
        </is>
      </c>
      <c r="E6279" s="0" t="inlineStr">
        <is>
          <t>LAUREN:95633C-L</t>
        </is>
      </c>
      <c r="F6279" s="0" t="inlineStr">
        <is>
          <t>'000000000000</t>
        </is>
      </c>
      <c r="G6279" s="0" t="inlineStr">
        <is>
          <t>WOMENS</t>
        </is>
      </c>
      <c r="H6279" s="0" t="inlineStr">
        <is>
          <t>L</t>
        </is>
      </c>
      <c r="I6279" s="0">
        <v>49.99</v>
      </c>
      <c r="J6279" s="0">
        <v>57</v>
      </c>
    </row>
    <row r="6280" spans="1:10" customHeight="0">
      <c r="A6280" s="0">
        <f>HYPERLINK("https://dl.dropboxusercontent.com/scl/fi/tpc2godzjfnawdhkynxnh/lauren.jpg?rlkey=u6h6vapt9j8ffro0u9ttvpsjz&amp;dl=0","Click to download Image")</f>
      </c>
      <c r="B6280" s="0">
        <f>HYPERLINK("https://dl.dropboxusercontent.com/scl/fi/8rdm9lp1ou1nwbn45pozy/ladies-b.jpg?rlkey=k2tozyjaz1v6jp1pa1fzai2d3&amp;dl=0","Click to download SizeChart")</f>
      </c>
      <c r="C6280" s="0" t="inlineStr">
        <is>
          <t>Lauren Women's Full Zip Hoodie</t>
        </is>
      </c>
      <c r="D6280" s="0" t="inlineStr">
        <is>
          <t>'95633</t>
        </is>
      </c>
      <c r="E6280" s="0" t="inlineStr">
        <is>
          <t>LAUREN:95633D-XL</t>
        </is>
      </c>
      <c r="F6280" s="0" t="inlineStr">
        <is>
          <t>'000000000000</t>
        </is>
      </c>
      <c r="G6280" s="0" t="inlineStr">
        <is>
          <t>WOMENS</t>
        </is>
      </c>
      <c r="H6280" s="0" t="inlineStr">
        <is>
          <t>XL</t>
        </is>
      </c>
      <c r="I6280" s="0">
        <v>49.99</v>
      </c>
      <c r="J6280" s="0">
        <v>56</v>
      </c>
    </row>
    <row r="6281" spans="1:10" customHeight="0">
      <c r="A6281" s="0">
        <f>HYPERLINK("https://dl.dropboxusercontent.com/scl/fi/bbs0fs50bntpw2qfq0nrr/96640f16002.jpg?rlkey=rah425b6yvjodmij360i5pjjo&amp;dl=0","Click to download Image")</f>
      </c>
      <c r="C6281" s="0" t="inlineStr">
        <is>
          <t>Dakota Youth Long Sleeve</t>
        </is>
      </c>
      <c r="D6281" s="0" t="inlineStr">
        <is>
          <t>'96640</t>
        </is>
      </c>
      <c r="E6281" s="0" t="inlineStr">
        <is>
          <t>DAKOTA:96640A-S</t>
        </is>
      </c>
      <c r="F6281" s="0" t="inlineStr">
        <is>
          <t>'000000000000</t>
        </is>
      </c>
      <c r="G6281" s="0" t="inlineStr">
        <is>
          <t>YOUTH</t>
        </is>
      </c>
      <c r="H6281" s="0" t="inlineStr">
        <is>
          <t>YS</t>
        </is>
      </c>
      <c r="I6281" s="0">
        <v>39.99</v>
      </c>
      <c r="J6281" s="0">
        <v>24</v>
      </c>
    </row>
    <row r="6282" spans="1:10" customHeight="0">
      <c r="A6282" s="0">
        <f>HYPERLINK("https://dl.dropboxusercontent.com/scl/fi/bbs0fs50bntpw2qfq0nrr/96640f16002.jpg?rlkey=rah425b6yvjodmij360i5pjjo&amp;dl=0","Click to download Image")</f>
      </c>
      <c r="C6282" s="0" t="inlineStr">
        <is>
          <t>Dakota Youth Long Sleeve</t>
        </is>
      </c>
      <c r="D6282" s="0" t="inlineStr">
        <is>
          <t>'96640</t>
        </is>
      </c>
      <c r="E6282" s="0" t="inlineStr">
        <is>
          <t>DAKOTA:96640B-M</t>
        </is>
      </c>
      <c r="F6282" s="0" t="inlineStr">
        <is>
          <t>'000000000000</t>
        </is>
      </c>
      <c r="G6282" s="0" t="inlineStr">
        <is>
          <t>YOUTH</t>
        </is>
      </c>
      <c r="H6282" s="0" t="inlineStr">
        <is>
          <t>YM</t>
        </is>
      </c>
      <c r="I6282" s="0">
        <v>39.99</v>
      </c>
      <c r="J6282" s="0">
        <v>26</v>
      </c>
    </row>
    <row r="6283" spans="1:10" customHeight="0">
      <c r="A6283" s="0">
        <f>HYPERLINK("https://dl.dropboxusercontent.com/scl/fi/bbs0fs50bntpw2qfq0nrr/96640f16002.jpg?rlkey=rah425b6yvjodmij360i5pjjo&amp;dl=0","Click to download Image")</f>
      </c>
      <c r="C6283" s="0" t="inlineStr">
        <is>
          <t>Dakota Youth Long Sleeve</t>
        </is>
      </c>
      <c r="D6283" s="0" t="inlineStr">
        <is>
          <t>'96640</t>
        </is>
      </c>
      <c r="E6283" s="0" t="inlineStr">
        <is>
          <t>DAKOTA:96640C-L</t>
        </is>
      </c>
      <c r="F6283" s="0" t="inlineStr">
        <is>
          <t>'000000000000</t>
        </is>
      </c>
      <c r="G6283" s="0" t="inlineStr">
        <is>
          <t>YOUTH</t>
        </is>
      </c>
      <c r="H6283" s="0" t="inlineStr">
        <is>
          <t>YL</t>
        </is>
      </c>
      <c r="I6283" s="0">
        <v>39.99</v>
      </c>
      <c r="J6283" s="0">
        <v>21</v>
      </c>
    </row>
    <row r="6284" spans="1:10" customHeight="0">
      <c r="A6284" s="0">
        <f>HYPERLINK("https://dl.dropboxusercontent.com/scl/fi/bbs0fs50bntpw2qfq0nrr/96640f16002.jpg?rlkey=rah425b6yvjodmij360i5pjjo&amp;dl=0","Click to download Image")</f>
      </c>
      <c r="C6284" s="0" t="inlineStr">
        <is>
          <t>Dakota Youth Long Sleeve</t>
        </is>
      </c>
      <c r="D6284" s="0" t="inlineStr">
        <is>
          <t>'96640</t>
        </is>
      </c>
      <c r="E6284" s="0" t="inlineStr">
        <is>
          <t>DAKOTA:96640D-XL</t>
        </is>
      </c>
      <c r="F6284" s="0" t="inlineStr">
        <is>
          <t>'000000000000</t>
        </is>
      </c>
      <c r="G6284" s="0" t="inlineStr">
        <is>
          <t>YOUTH</t>
        </is>
      </c>
      <c r="H6284" s="0" t="inlineStr">
        <is>
          <t>YXL</t>
        </is>
      </c>
      <c r="I6284" s="0">
        <v>39.99</v>
      </c>
      <c r="J6284" s="0">
        <v>33</v>
      </c>
    </row>
    <row r="6285" spans="1:10" customHeight="0">
      <c r="A6285" s="0">
        <f>HYPERLINK("https://dl.dropboxusercontent.com/scl/fi/7zr1o88gc657adf838o8b/101290af26484.png?rlkey=hgs4416rqtek1yvttyfnlu442&amp;dl=0","Click to download Image")</f>
      </c>
      <c r="C6285" s="0" t="inlineStr">
        <is>
          <t>Henry Men's Long Sleeve</t>
        </is>
      </c>
      <c r="D6285" s="0" t="inlineStr">
        <is>
          <t>'101290</t>
        </is>
      </c>
      <c r="E6285" s="0" t="inlineStr">
        <is>
          <t>HENRY:101290D-XL</t>
        </is>
      </c>
      <c r="F6285" s="0" t="inlineStr">
        <is>
          <t>'000000000000</t>
        </is>
      </c>
      <c r="G6285" s="0" t="inlineStr">
        <is>
          <t>MENS</t>
        </is>
      </c>
      <c r="H6285" s="0" t="inlineStr">
        <is>
          <t>XL</t>
        </is>
      </c>
      <c r="I6285" s="0">
        <v>13.99</v>
      </c>
      <c r="J6285" s="0">
        <v>11</v>
      </c>
    </row>
    <row r="6286" spans="1:10" customHeight="0">
      <c r="A6286" s="0">
        <f>HYPERLINK("https://dl.dropboxusercontent.com/scl/fi/7zr1o88gc657adf838o8b/101290af26484.png?rlkey=hgs4416rqtek1yvttyfnlu442&amp;dl=0","Click to download Image")</f>
      </c>
      <c r="C6286" s="0" t="inlineStr">
        <is>
          <t>Henry Men's Long Sleeve</t>
        </is>
      </c>
      <c r="D6286" s="0" t="inlineStr">
        <is>
          <t>'101290</t>
        </is>
      </c>
      <c r="E6286" s="0" t="inlineStr">
        <is>
          <t>HENRY:101290E-2XL</t>
        </is>
      </c>
      <c r="F6286" s="0" t="inlineStr">
        <is>
          <t>'000000000000</t>
        </is>
      </c>
      <c r="G6286" s="0" t="inlineStr">
        <is>
          <t>MENS</t>
        </is>
      </c>
      <c r="H6286" s="0" t="inlineStr">
        <is>
          <t>2XL</t>
        </is>
      </c>
      <c r="I6286" s="0">
        <v>15.99</v>
      </c>
      <c r="J6286" s="0">
        <v>10</v>
      </c>
    </row>
    <row r="6287" spans="1:10" customHeight="0">
      <c r="A6287" s="0">
        <f>HYPERLINK("https://dl.dropboxusercontent.com/scl/fi/81c5f1qqn575odhsmesuu/98797f25453.jpg?rlkey=9giuzk7k8snnub8ytoopqj5kx&amp;dl=0","Click to download Image")</f>
      </c>
      <c r="B6287" s="0">
        <f>HYPERLINK("https://dl.dropboxusercontent.com/scl/fi/je36yzbsaqssrgcchxds6/mens-d.jpg?rlkey=7fncd2wxil2b3p1yjd1xkgkw3&amp;dl=0","Click to download SizeChart")</f>
      </c>
      <c r="C6287" s="0" t="inlineStr">
        <is>
          <t>Blake Realtree Farm Strong Hoodie</t>
        </is>
      </c>
      <c r="D6287" s="0" t="inlineStr">
        <is>
          <t>'98797</t>
        </is>
      </c>
      <c r="E6287" s="0" t="inlineStr">
        <is>
          <t>BLAKE:98797A-S</t>
        </is>
      </c>
      <c r="F6287" s="0" t="inlineStr">
        <is>
          <t>'800098797017</t>
        </is>
      </c>
      <c r="G6287" s="0" t="inlineStr">
        <is>
          <t>MENS</t>
        </is>
      </c>
      <c r="H6287" s="0" t="inlineStr">
        <is>
          <t>S</t>
        </is>
      </c>
      <c r="I6287" s="0">
        <v>64.99</v>
      </c>
      <c r="J6287" s="0">
        <v>39</v>
      </c>
    </row>
    <row r="6288" spans="1:10" customHeight="0">
      <c r="A6288" s="0">
        <f>HYPERLINK("https://dl.dropboxusercontent.com/scl/fi/81c5f1qqn575odhsmesuu/98797f25453.jpg?rlkey=9giuzk7k8snnub8ytoopqj5kx&amp;dl=0","Click to download Image")</f>
      </c>
      <c r="B6288" s="0">
        <f>HYPERLINK("https://dl.dropboxusercontent.com/scl/fi/je36yzbsaqssrgcchxds6/mens-d.jpg?rlkey=7fncd2wxil2b3p1yjd1xkgkw3&amp;dl=0","Click to download SizeChart")</f>
      </c>
      <c r="C6288" s="0" t="inlineStr">
        <is>
          <t>Blake Realtree Farm Strong Hoodie</t>
        </is>
      </c>
      <c r="D6288" s="0" t="inlineStr">
        <is>
          <t>'98797</t>
        </is>
      </c>
      <c r="E6288" s="0" t="inlineStr">
        <is>
          <t>BLAKE:98797B-M</t>
        </is>
      </c>
      <c r="F6288" s="0" t="inlineStr">
        <is>
          <t>'800098797024</t>
        </is>
      </c>
      <c r="G6288" s="0" t="inlineStr">
        <is>
          <t>MENS</t>
        </is>
      </c>
      <c r="H6288" s="0" t="inlineStr">
        <is>
          <t>M</t>
        </is>
      </c>
      <c r="I6288" s="0">
        <v>64.99</v>
      </c>
      <c r="J6288" s="0">
        <v>22</v>
      </c>
    </row>
    <row r="6289" spans="1:10" customHeight="0">
      <c r="A6289" s="0">
        <f>HYPERLINK("https://dl.dropboxusercontent.com/scl/fi/81c5f1qqn575odhsmesuu/98797f25453.jpg?rlkey=9giuzk7k8snnub8ytoopqj5kx&amp;dl=0","Click to download Image")</f>
      </c>
      <c r="B6289" s="0">
        <f>HYPERLINK("https://dl.dropboxusercontent.com/scl/fi/je36yzbsaqssrgcchxds6/mens-d.jpg?rlkey=7fncd2wxil2b3p1yjd1xkgkw3&amp;dl=0","Click to download SizeChart")</f>
      </c>
      <c r="C6289" s="0" t="inlineStr">
        <is>
          <t>Blake Realtree Farm Strong Hoodie</t>
        </is>
      </c>
      <c r="D6289" s="0" t="inlineStr">
        <is>
          <t>'98797</t>
        </is>
      </c>
      <c r="E6289" s="0" t="inlineStr">
        <is>
          <t>BLAKE:98797C-L</t>
        </is>
      </c>
      <c r="F6289" s="0" t="inlineStr">
        <is>
          <t>'800098797031</t>
        </is>
      </c>
      <c r="G6289" s="0" t="inlineStr">
        <is>
          <t>MENS</t>
        </is>
      </c>
      <c r="H6289" s="0" t="inlineStr">
        <is>
          <t>L</t>
        </is>
      </c>
      <c r="I6289" s="0">
        <v>64.99</v>
      </c>
      <c r="J6289" s="0">
        <v>4</v>
      </c>
    </row>
    <row r="6290" spans="1:10" customHeight="0">
      <c r="A6290" s="0">
        <f>HYPERLINK("https://dl.dropboxusercontent.com/scl/fi/81c5f1qqn575odhsmesuu/98797f25453.jpg?rlkey=9giuzk7k8snnub8ytoopqj5kx&amp;dl=0","Click to download Image")</f>
      </c>
      <c r="B6290" s="0">
        <f>HYPERLINK("https://dl.dropboxusercontent.com/scl/fi/je36yzbsaqssrgcchxds6/mens-d.jpg?rlkey=7fncd2wxil2b3p1yjd1xkgkw3&amp;dl=0","Click to download SizeChart")</f>
      </c>
      <c r="C6290" s="0" t="inlineStr">
        <is>
          <t>Blake Realtree Farm Strong Hoodie</t>
        </is>
      </c>
      <c r="D6290" s="0" t="inlineStr">
        <is>
          <t>'98797</t>
        </is>
      </c>
      <c r="E6290" s="0" t="inlineStr">
        <is>
          <t>BLAKE:98797D-XL</t>
        </is>
      </c>
      <c r="F6290" s="0" t="inlineStr">
        <is>
          <t>'800098797048</t>
        </is>
      </c>
      <c r="G6290" s="0" t="inlineStr">
        <is>
          <t>MENS</t>
        </is>
      </c>
      <c r="H6290" s="0" t="inlineStr">
        <is>
          <t>XL</t>
        </is>
      </c>
      <c r="I6290" s="0">
        <v>64.99</v>
      </c>
      <c r="J6290" s="0">
        <v>9</v>
      </c>
    </row>
    <row r="6291" spans="1:10" customHeight="0">
      <c r="A6291" s="0">
        <f>HYPERLINK("https://dl.dropboxusercontent.com/scl/fi/81c5f1qqn575odhsmesuu/98797f25453.jpg?rlkey=9giuzk7k8snnub8ytoopqj5kx&amp;dl=0","Click to download Image")</f>
      </c>
      <c r="B6291" s="0">
        <f>HYPERLINK("https://dl.dropboxusercontent.com/scl/fi/je36yzbsaqssrgcchxds6/mens-d.jpg?rlkey=7fncd2wxil2b3p1yjd1xkgkw3&amp;dl=0","Click to download SizeChart")</f>
      </c>
      <c r="C6291" s="0" t="inlineStr">
        <is>
          <t>Blake Realtree Farm Strong Hoodie</t>
        </is>
      </c>
      <c r="D6291" s="0" t="inlineStr">
        <is>
          <t>'98797</t>
        </is>
      </c>
      <c r="E6291" s="0" t="inlineStr">
        <is>
          <t>BLAKE:98797E-2XL</t>
        </is>
      </c>
      <c r="F6291" s="0" t="inlineStr">
        <is>
          <t>'800098797055</t>
        </is>
      </c>
      <c r="G6291" s="0" t="inlineStr">
        <is>
          <t>MENS</t>
        </is>
      </c>
      <c r="H6291" s="0" t="inlineStr">
        <is>
          <t>2XL</t>
        </is>
      </c>
      <c r="I6291" s="0">
        <v>66.99</v>
      </c>
      <c r="J6291" s="0">
        <v>6</v>
      </c>
    </row>
    <row r="6292" spans="1:10" customHeight="0">
      <c r="A6292" s="0">
        <f>HYPERLINK("https://dl.dropboxusercontent.com/scl/fi/81c5f1qqn575odhsmesuu/98797f25453.jpg?rlkey=9giuzk7k8snnub8ytoopqj5kx&amp;dl=0","Click to download Image")</f>
      </c>
      <c r="B6292" s="0">
        <f>HYPERLINK("https://dl.dropboxusercontent.com/scl/fi/je36yzbsaqssrgcchxds6/mens-d.jpg?rlkey=7fncd2wxil2b3p1yjd1xkgkw3&amp;dl=0","Click to download SizeChart")</f>
      </c>
      <c r="C6292" s="0" t="inlineStr">
        <is>
          <t>Blake Realtree Farm Strong Hoodie</t>
        </is>
      </c>
      <c r="D6292" s="0" t="inlineStr">
        <is>
          <t>'98797</t>
        </is>
      </c>
      <c r="E6292" s="0" t="inlineStr">
        <is>
          <t>BLAKE:98797F-3XL</t>
        </is>
      </c>
      <c r="F6292" s="0" t="inlineStr">
        <is>
          <t>'800098797062</t>
        </is>
      </c>
      <c r="G6292" s="0" t="inlineStr">
        <is>
          <t>MENS</t>
        </is>
      </c>
      <c r="H6292" s="0" t="inlineStr">
        <is>
          <t>3XL</t>
        </is>
      </c>
      <c r="I6292" s="0">
        <v>66.99</v>
      </c>
      <c r="J6292" s="0">
        <v>0</v>
      </c>
    </row>
    <row r="6293" spans="1:10" customHeight="0">
      <c r="A6293" s="0">
        <f>HYPERLINK("https://dl.dropboxusercontent.com/scl/fi/khahwyyu35v86leon826e/98480af63799.jpg?rlkey=8r3k4595odwnb257n8ektu382&amp;dl=0","Click to download Image")</f>
      </c>
      <c r="C6293" s="0" t="inlineStr">
        <is>
          <t>Kimberly Youth Long Sleeve</t>
        </is>
      </c>
      <c r="D6293" s="0" t="inlineStr">
        <is>
          <t>'98480</t>
        </is>
      </c>
      <c r="E6293" s="0" t="inlineStr">
        <is>
          <t>KIMBERLY:98480A-YS</t>
        </is>
      </c>
      <c r="F6293" s="0" t="inlineStr">
        <is>
          <t>'000000000000</t>
        </is>
      </c>
      <c r="G6293" s="0" t="inlineStr">
        <is>
          <t>YOUTH</t>
        </is>
      </c>
      <c r="H6293" s="0" t="inlineStr">
        <is>
          <t>YS</t>
        </is>
      </c>
      <c r="I6293" s="0">
        <v>39.99</v>
      </c>
      <c r="J6293" s="0">
        <v>107</v>
      </c>
    </row>
    <row r="6294" spans="1:10" customHeight="0">
      <c r="A6294" s="0">
        <f>HYPERLINK("https://dl.dropboxusercontent.com/scl/fi/khahwyyu35v86leon826e/98480af63799.jpg?rlkey=8r3k4595odwnb257n8ektu382&amp;dl=0","Click to download Image")</f>
      </c>
      <c r="C6294" s="0" t="inlineStr">
        <is>
          <t>Kimberly Youth Long Sleeve</t>
        </is>
      </c>
      <c r="D6294" s="0" t="inlineStr">
        <is>
          <t>'98480</t>
        </is>
      </c>
      <c r="E6294" s="0" t="inlineStr">
        <is>
          <t>KIMBERLY:98480B-YM</t>
        </is>
      </c>
      <c r="F6294" s="0" t="inlineStr">
        <is>
          <t>'000000000000</t>
        </is>
      </c>
      <c r="G6294" s="0" t="inlineStr">
        <is>
          <t>YOUTH</t>
        </is>
      </c>
      <c r="H6294" s="0" t="inlineStr">
        <is>
          <t>YM</t>
        </is>
      </c>
      <c r="I6294" s="0">
        <v>39.99</v>
      </c>
      <c r="J6294" s="0">
        <v>117</v>
      </c>
    </row>
    <row r="6295" spans="1:10" customHeight="0">
      <c r="A6295" s="0">
        <f>HYPERLINK("https://dl.dropboxusercontent.com/scl/fi/khahwyyu35v86leon826e/98480af63799.jpg?rlkey=8r3k4595odwnb257n8ektu382&amp;dl=0","Click to download Image")</f>
      </c>
      <c r="C6295" s="0" t="inlineStr">
        <is>
          <t>Kimberly Youth Long Sleeve</t>
        </is>
      </c>
      <c r="D6295" s="0" t="inlineStr">
        <is>
          <t>'98480</t>
        </is>
      </c>
      <c r="E6295" s="0" t="inlineStr">
        <is>
          <t>KIMBERLY:98480C-YL</t>
        </is>
      </c>
      <c r="F6295" s="0" t="inlineStr">
        <is>
          <t>'000000000000</t>
        </is>
      </c>
      <c r="G6295" s="0" t="inlineStr">
        <is>
          <t>YOUTH</t>
        </is>
      </c>
      <c r="H6295" s="0" t="inlineStr">
        <is>
          <t>YL</t>
        </is>
      </c>
      <c r="I6295" s="0">
        <v>39.99</v>
      </c>
      <c r="J6295" s="0">
        <v>103</v>
      </c>
    </row>
    <row r="6296" spans="1:10" customHeight="0">
      <c r="A6296" s="0">
        <f>HYPERLINK("https://dl.dropboxusercontent.com/scl/fi/khahwyyu35v86leon826e/98480af63799.jpg?rlkey=8r3k4595odwnb257n8ektu382&amp;dl=0","Click to download Image")</f>
      </c>
      <c r="C6296" s="0" t="inlineStr">
        <is>
          <t>Kimberly Youth Long Sleeve</t>
        </is>
      </c>
      <c r="D6296" s="0" t="inlineStr">
        <is>
          <t>'98480</t>
        </is>
      </c>
      <c r="E6296" s="0" t="inlineStr">
        <is>
          <t>KIMBERLY:98480D-YXL</t>
        </is>
      </c>
      <c r="F6296" s="0" t="inlineStr">
        <is>
          <t>'000000000000</t>
        </is>
      </c>
      <c r="G6296" s="0" t="inlineStr">
        <is>
          <t>YOUTH</t>
        </is>
      </c>
      <c r="H6296" s="0" t="inlineStr">
        <is>
          <t>YXL</t>
        </is>
      </c>
      <c r="I6296" s="0">
        <v>39.99</v>
      </c>
      <c r="J6296" s="0">
        <v>112</v>
      </c>
    </row>
    <row r="6297" spans="1:10" customHeight="0">
      <c r="A6297" s="0">
        <f>HYPERLINK("https://dl.dropboxusercontent.com/scl/fi/vs1i82m3cxzk3yky6sbrk/gwent.jpg?rlkey=5exxru6na7kbvo5qhnpb6d2jo&amp;dl=0","Click to download Image")</f>
      </c>
      <c r="B6297" s="0">
        <f>HYPERLINK("https://dl.dropboxusercontent.com/scl/fi/le90yhrusv399i5uydsyf/size-charts-women-s-standard-fitted-shirt.jpg?rlkey=j4ul05ua81n4pi99dru6ym5jf&amp;dl=0","Click to download SizeChart")</f>
      </c>
      <c r="C6297" s="0" t="inlineStr">
        <is>
          <t>Gwen Women's Polo</t>
        </is>
      </c>
      <c r="D6297" s="0" t="inlineStr">
        <is>
          <t>'101183</t>
        </is>
      </c>
      <c r="E6297" s="0" t="inlineStr">
        <is>
          <t>GWEN:101183A-S</t>
        </is>
      </c>
      <c r="F6297" s="0" t="inlineStr">
        <is>
          <t>'000000000000</t>
        </is>
      </c>
      <c r="G6297" s="0" t="inlineStr">
        <is>
          <t>WOMENS</t>
        </is>
      </c>
      <c r="H6297" s="0" t="inlineStr">
        <is>
          <t>S</t>
        </is>
      </c>
      <c r="I6297" s="0">
        <v>44.99</v>
      </c>
      <c r="J6297" s="0">
        <v>75</v>
      </c>
    </row>
    <row r="6298" spans="1:10" customHeight="0">
      <c r="A6298" s="0">
        <f>HYPERLINK("https://dl.dropboxusercontent.com/scl/fi/vs1i82m3cxzk3yky6sbrk/gwent.jpg?rlkey=5exxru6na7kbvo5qhnpb6d2jo&amp;dl=0","Click to download Image")</f>
      </c>
      <c r="B6298" s="0">
        <f>HYPERLINK("https://dl.dropboxusercontent.com/scl/fi/le90yhrusv399i5uydsyf/size-charts-women-s-standard-fitted-shirt.jpg?rlkey=j4ul05ua81n4pi99dru6ym5jf&amp;dl=0","Click to download SizeChart")</f>
      </c>
      <c r="C6298" s="0" t="inlineStr">
        <is>
          <t>Gwen Women's Polo</t>
        </is>
      </c>
      <c r="D6298" s="0" t="inlineStr">
        <is>
          <t>'101183</t>
        </is>
      </c>
      <c r="E6298" s="0" t="inlineStr">
        <is>
          <t>GWEN:101183B-M</t>
        </is>
      </c>
      <c r="F6298" s="0" t="inlineStr">
        <is>
          <t>'000000000000</t>
        </is>
      </c>
      <c r="G6298" s="0" t="inlineStr">
        <is>
          <t>WOMENS</t>
        </is>
      </c>
      <c r="H6298" s="0" t="inlineStr">
        <is>
          <t>M</t>
        </is>
      </c>
      <c r="I6298" s="0">
        <v>44.99</v>
      </c>
      <c r="J6298" s="0">
        <v>98</v>
      </c>
    </row>
    <row r="6299" spans="1:10" customHeight="0">
      <c r="A6299" s="0">
        <f>HYPERLINK("https://dl.dropboxusercontent.com/scl/fi/vs1i82m3cxzk3yky6sbrk/gwent.jpg?rlkey=5exxru6na7kbvo5qhnpb6d2jo&amp;dl=0","Click to download Image")</f>
      </c>
      <c r="B6299" s="0">
        <f>HYPERLINK("https://dl.dropboxusercontent.com/scl/fi/le90yhrusv399i5uydsyf/size-charts-women-s-standard-fitted-shirt.jpg?rlkey=j4ul05ua81n4pi99dru6ym5jf&amp;dl=0","Click to download SizeChart")</f>
      </c>
      <c r="C6299" s="0" t="inlineStr">
        <is>
          <t>Gwen Women's Polo</t>
        </is>
      </c>
      <c r="D6299" s="0" t="inlineStr">
        <is>
          <t>'101183</t>
        </is>
      </c>
      <c r="E6299" s="0" t="inlineStr">
        <is>
          <t>GWEN:101183C-L</t>
        </is>
      </c>
      <c r="F6299" s="0" t="inlineStr">
        <is>
          <t>'000000000000</t>
        </is>
      </c>
      <c r="G6299" s="0" t="inlineStr">
        <is>
          <t>WOMENS</t>
        </is>
      </c>
      <c r="H6299" s="0" t="inlineStr">
        <is>
          <t>L</t>
        </is>
      </c>
      <c r="I6299" s="0">
        <v>44.99</v>
      </c>
      <c r="J6299" s="0">
        <v>86</v>
      </c>
    </row>
    <row r="6300" spans="1:10" customHeight="0">
      <c r="A6300" s="0">
        <f>HYPERLINK("https://dl.dropboxusercontent.com/scl/fi/vs1i82m3cxzk3yky6sbrk/gwent.jpg?rlkey=5exxru6na7kbvo5qhnpb6d2jo&amp;dl=0","Click to download Image")</f>
      </c>
      <c r="B6300" s="0">
        <f>HYPERLINK("https://dl.dropboxusercontent.com/scl/fi/le90yhrusv399i5uydsyf/size-charts-women-s-standard-fitted-shirt.jpg?rlkey=j4ul05ua81n4pi99dru6ym5jf&amp;dl=0","Click to download SizeChart")</f>
      </c>
      <c r="C6300" s="0" t="inlineStr">
        <is>
          <t>Gwen Women's Polo</t>
        </is>
      </c>
      <c r="D6300" s="0" t="inlineStr">
        <is>
          <t>'101183</t>
        </is>
      </c>
      <c r="E6300" s="0" t="inlineStr">
        <is>
          <t>GWEN:101183D-XL</t>
        </is>
      </c>
      <c r="F6300" s="0" t="inlineStr">
        <is>
          <t>'000000000000</t>
        </is>
      </c>
      <c r="G6300" s="0" t="inlineStr">
        <is>
          <t>WOMENS</t>
        </is>
      </c>
      <c r="H6300" s="0" t="inlineStr">
        <is>
          <t>XL</t>
        </is>
      </c>
      <c r="I6300" s="0">
        <v>44.99</v>
      </c>
      <c r="J6300" s="0">
        <v>105</v>
      </c>
    </row>
    <row r="6301" spans="1:10" customHeight="0">
      <c r="A6301" s="0">
        <f>HYPERLINK("https://dl.dropboxusercontent.com/scl/fi/vs1i82m3cxzk3yky6sbrk/gwent.jpg?rlkey=5exxru6na7kbvo5qhnpb6d2jo&amp;dl=0","Click to download Image")</f>
      </c>
      <c r="B6301" s="0">
        <f>HYPERLINK("https://dl.dropboxusercontent.com/scl/fi/le90yhrusv399i5uydsyf/size-charts-women-s-standard-fitted-shirt.jpg?rlkey=j4ul05ua81n4pi99dru6ym5jf&amp;dl=0","Click to download SizeChart")</f>
      </c>
      <c r="C6301" s="0" t="inlineStr">
        <is>
          <t>Gwen Women's Polo</t>
        </is>
      </c>
      <c r="D6301" s="0" t="inlineStr">
        <is>
          <t>'101183</t>
        </is>
      </c>
      <c r="E6301" s="0" t="inlineStr">
        <is>
          <t>GWEN:101183E-2XL</t>
        </is>
      </c>
      <c r="F6301" s="0" t="inlineStr">
        <is>
          <t>'000000000000</t>
        </is>
      </c>
      <c r="G6301" s="0" t="inlineStr">
        <is>
          <t>WOMENS</t>
        </is>
      </c>
      <c r="H6301" s="0" t="inlineStr">
        <is>
          <t>2XL</t>
        </is>
      </c>
      <c r="I6301" s="0">
        <v>46.99</v>
      </c>
      <c r="J6301" s="0">
        <v>77</v>
      </c>
    </row>
    <row r="6302" spans="1:10" customHeight="0">
      <c r="A6302" s="0">
        <f>HYPERLINK("https://dl.dropboxusercontent.com/scl/fi/vs1i82m3cxzk3yky6sbrk/gwent.jpg?rlkey=5exxru6na7kbvo5qhnpb6d2jo&amp;dl=0","Click to download Image")</f>
      </c>
      <c r="B6302" s="0">
        <f>HYPERLINK("https://dl.dropboxusercontent.com/scl/fi/le90yhrusv399i5uydsyf/size-charts-women-s-standard-fitted-shirt.jpg?rlkey=j4ul05ua81n4pi99dru6ym5jf&amp;dl=0","Click to download SizeChart")</f>
      </c>
      <c r="C6302" s="0" t="inlineStr">
        <is>
          <t>Gwen Women's Polo</t>
        </is>
      </c>
      <c r="D6302" s="0" t="inlineStr">
        <is>
          <t>'101183</t>
        </is>
      </c>
      <c r="E6302" s="0" t="inlineStr">
        <is>
          <t>GWEN:101183F-3XL</t>
        </is>
      </c>
      <c r="F6302" s="0" t="inlineStr">
        <is>
          <t>'000000000000</t>
        </is>
      </c>
      <c r="G6302" s="0" t="inlineStr">
        <is>
          <t>WOMENS</t>
        </is>
      </c>
      <c r="H6302" s="0" t="inlineStr">
        <is>
          <t>3XL</t>
        </is>
      </c>
      <c r="I6302" s="0">
        <v>46.99</v>
      </c>
      <c r="J6302" s="0">
        <v>14</v>
      </c>
    </row>
    <row r="6303" spans="1:10" customHeight="0">
      <c r="A6303" s="0">
        <f>HYPERLINK("https://dl.dropboxusercontent.com/scl/fi/92z6fpjogxwpev8845sp9/94823af.jpg?rlkey=ugnm12ro5jvecwaelyklln3qp&amp;dl=0","Click to download Image")</f>
      </c>
      <c r="B6303" s="0">
        <f>HYPERLINK("https://dl.dropboxusercontent.com/scl/fi/37sn3t5rzpm3jyxa5mhpx/mens-e.jpg?rlkey=zps12piemdh17m7obsaj08zo1&amp;dl=0","Click to download SizeChart")</f>
      </c>
      <c r="C6303" s="0" t="inlineStr">
        <is>
          <t>Kennedy Men's Polo</t>
        </is>
      </c>
      <c r="D6303" s="0" t="inlineStr">
        <is>
          <t>'94823</t>
        </is>
      </c>
      <c r="E6303" s="0" t="inlineStr">
        <is>
          <t>KENNEDY:94823A- S</t>
        </is>
      </c>
      <c r="F6303" s="0" t="inlineStr">
        <is>
          <t>'000000000000</t>
        </is>
      </c>
      <c r="G6303" s="0" t="inlineStr">
        <is>
          <t>MENS</t>
        </is>
      </c>
      <c r="H6303" s="0" t="inlineStr">
        <is>
          <t>S</t>
        </is>
      </c>
      <c r="I6303" s="0">
        <v>39.99</v>
      </c>
      <c r="J6303" s="0">
        <v>18</v>
      </c>
    </row>
    <row r="6304" spans="1:10" customHeight="0">
      <c r="A6304" s="0">
        <f>HYPERLINK("https://dl.dropboxusercontent.com/scl/fi/92z6fpjogxwpev8845sp9/94823af.jpg?rlkey=ugnm12ro5jvecwaelyklln3qp&amp;dl=0","Click to download Image")</f>
      </c>
      <c r="B6304" s="0">
        <f>HYPERLINK("https://dl.dropboxusercontent.com/scl/fi/37sn3t5rzpm3jyxa5mhpx/mens-e.jpg?rlkey=zps12piemdh17m7obsaj08zo1&amp;dl=0","Click to download SizeChart")</f>
      </c>
      <c r="C6304" s="0" t="inlineStr">
        <is>
          <t>Kennedy Men's Polo</t>
        </is>
      </c>
      <c r="D6304" s="0" t="inlineStr">
        <is>
          <t>'94823</t>
        </is>
      </c>
      <c r="E6304" s="0" t="inlineStr">
        <is>
          <t>KENNEDY:94823B- M</t>
        </is>
      </c>
      <c r="F6304" s="0" t="inlineStr">
        <is>
          <t>'000000000000</t>
        </is>
      </c>
      <c r="G6304" s="0" t="inlineStr">
        <is>
          <t>MENS</t>
        </is>
      </c>
      <c r="H6304" s="0" t="inlineStr">
        <is>
          <t>M</t>
        </is>
      </c>
      <c r="I6304" s="0">
        <v>39.99</v>
      </c>
      <c r="J6304" s="0">
        <v>11</v>
      </c>
    </row>
    <row r="6305" spans="1:10" customHeight="0">
      <c r="A6305" s="0">
        <f>HYPERLINK("https://dl.dropboxusercontent.com/scl/fi/92z6fpjogxwpev8845sp9/94823af.jpg?rlkey=ugnm12ro5jvecwaelyklln3qp&amp;dl=0","Click to download Image")</f>
      </c>
      <c r="B6305" s="0">
        <f>HYPERLINK("https://dl.dropboxusercontent.com/scl/fi/37sn3t5rzpm3jyxa5mhpx/mens-e.jpg?rlkey=zps12piemdh17m7obsaj08zo1&amp;dl=0","Click to download SizeChart")</f>
      </c>
      <c r="C6305" s="0" t="inlineStr">
        <is>
          <t>Kennedy Men's Polo</t>
        </is>
      </c>
      <c r="D6305" s="0" t="inlineStr">
        <is>
          <t>'94823</t>
        </is>
      </c>
      <c r="E6305" s="0" t="inlineStr">
        <is>
          <t>KENNEDY:94823C- L</t>
        </is>
      </c>
      <c r="F6305" s="0" t="inlineStr">
        <is>
          <t>'000000000000</t>
        </is>
      </c>
      <c r="G6305" s="0" t="inlineStr">
        <is>
          <t>MENS</t>
        </is>
      </c>
      <c r="H6305" s="0" t="inlineStr">
        <is>
          <t>L</t>
        </is>
      </c>
      <c r="I6305" s="0">
        <v>39.99</v>
      </c>
      <c r="J6305" s="0">
        <v>13</v>
      </c>
    </row>
    <row r="6306" spans="1:10" customHeight="0">
      <c r="A6306" s="0">
        <f>HYPERLINK("https://dl.dropboxusercontent.com/scl/fi/92z6fpjogxwpev8845sp9/94823af.jpg?rlkey=ugnm12ro5jvecwaelyklln3qp&amp;dl=0","Click to download Image")</f>
      </c>
      <c r="B6306" s="0">
        <f>HYPERLINK("https://dl.dropboxusercontent.com/scl/fi/37sn3t5rzpm3jyxa5mhpx/mens-e.jpg?rlkey=zps12piemdh17m7obsaj08zo1&amp;dl=0","Click to download SizeChart")</f>
      </c>
      <c r="C6306" s="0" t="inlineStr">
        <is>
          <t>Kennedy Men's Polo</t>
        </is>
      </c>
      <c r="D6306" s="0" t="inlineStr">
        <is>
          <t>'94823</t>
        </is>
      </c>
      <c r="E6306" s="0" t="inlineStr">
        <is>
          <t>KENNEDY:94823D- XL</t>
        </is>
      </c>
      <c r="F6306" s="0" t="inlineStr">
        <is>
          <t>'000000000000</t>
        </is>
      </c>
      <c r="G6306" s="0" t="inlineStr">
        <is>
          <t>MENS</t>
        </is>
      </c>
      <c r="H6306" s="0" t="inlineStr">
        <is>
          <t>XL</t>
        </is>
      </c>
      <c r="I6306" s="0">
        <v>39.99</v>
      </c>
      <c r="J6306" s="0">
        <v>4</v>
      </c>
    </row>
    <row r="6307" spans="1:10" customHeight="0">
      <c r="A6307" s="0">
        <f>HYPERLINK("https://dl.dropboxusercontent.com/scl/fi/t4hge4hq9f3rccx74sx7n/isumenskennedyf62457.jpg?rlkey=t1b89msqo8qgsoap57u5zinjd&amp;dl=0","Click to download Image")</f>
      </c>
      <c r="B6307" s="0">
        <f>HYPERLINK("https://dl.dropboxusercontent.com/scl/fi/37sn3t5rzpm3jyxa5mhpx/mens-e.jpg?rlkey=zps12piemdh17m7obsaj08zo1&amp;dl=0","Click to download SizeChart")</f>
      </c>
      <c r="C6307" s="0" t="inlineStr">
        <is>
          <t>Kennedy Men's Polo</t>
        </is>
      </c>
      <c r="D6307" s="0" t="inlineStr">
        <is>
          <t>'95076</t>
        </is>
      </c>
      <c r="E6307" s="0" t="inlineStr">
        <is>
          <t>KENNEDY:95076A-S</t>
        </is>
      </c>
      <c r="F6307" s="0" t="inlineStr">
        <is>
          <t>'000000000000</t>
        </is>
      </c>
      <c r="G6307" s="0" t="inlineStr">
        <is>
          <t>MENS</t>
        </is>
      </c>
      <c r="H6307" s="0" t="inlineStr">
        <is>
          <t>S</t>
        </is>
      </c>
      <c r="I6307" s="0">
        <v>39.99</v>
      </c>
      <c r="J6307" s="0">
        <v>0</v>
      </c>
    </row>
    <row r="6308" spans="1:10" customHeight="0">
      <c r="A6308" s="0">
        <f>HYPERLINK("https://dl.dropboxusercontent.com/scl/fi/t4hge4hq9f3rccx74sx7n/isumenskennedyf62457.jpg?rlkey=t1b89msqo8qgsoap57u5zinjd&amp;dl=0","Click to download Image")</f>
      </c>
      <c r="B6308" s="0">
        <f>HYPERLINK("https://dl.dropboxusercontent.com/scl/fi/37sn3t5rzpm3jyxa5mhpx/mens-e.jpg?rlkey=zps12piemdh17m7obsaj08zo1&amp;dl=0","Click to download SizeChart")</f>
      </c>
      <c r="C6308" s="0" t="inlineStr">
        <is>
          <t>Kennedy Men's Polo</t>
        </is>
      </c>
      <c r="D6308" s="0" t="inlineStr">
        <is>
          <t>'95076</t>
        </is>
      </c>
      <c r="E6308" s="0" t="inlineStr">
        <is>
          <t>KENNEDY:95076B-M</t>
        </is>
      </c>
      <c r="F6308" s="0" t="inlineStr">
        <is>
          <t>'000000000000</t>
        </is>
      </c>
      <c r="G6308" s="0" t="inlineStr">
        <is>
          <t>MENS</t>
        </is>
      </c>
      <c r="H6308" s="0" t="inlineStr">
        <is>
          <t>M</t>
        </is>
      </c>
      <c r="I6308" s="0">
        <v>39.99</v>
      </c>
      <c r="J6308" s="0">
        <v>0</v>
      </c>
    </row>
    <row r="6309" spans="1:10" customHeight="0">
      <c r="A6309" s="0">
        <f>HYPERLINK("https://dl.dropboxusercontent.com/scl/fi/t4hge4hq9f3rccx74sx7n/isumenskennedyf62457.jpg?rlkey=t1b89msqo8qgsoap57u5zinjd&amp;dl=0","Click to download Image")</f>
      </c>
      <c r="B6309" s="0">
        <f>HYPERLINK("https://dl.dropboxusercontent.com/scl/fi/37sn3t5rzpm3jyxa5mhpx/mens-e.jpg?rlkey=zps12piemdh17m7obsaj08zo1&amp;dl=0","Click to download SizeChart")</f>
      </c>
      <c r="C6309" s="0" t="inlineStr">
        <is>
          <t>Kennedy Men's Polo</t>
        </is>
      </c>
      <c r="D6309" s="0" t="inlineStr">
        <is>
          <t>'95076</t>
        </is>
      </c>
      <c r="E6309" s="0" t="inlineStr">
        <is>
          <t>KENNEDY:95076C-L</t>
        </is>
      </c>
      <c r="F6309" s="0" t="inlineStr">
        <is>
          <t>'000000000000</t>
        </is>
      </c>
      <c r="G6309" s="0" t="inlineStr">
        <is>
          <t>MENS</t>
        </is>
      </c>
      <c r="H6309" s="0" t="inlineStr">
        <is>
          <t>L</t>
        </is>
      </c>
      <c r="I6309" s="0">
        <v>39.99</v>
      </c>
      <c r="J6309" s="0">
        <v>0</v>
      </c>
    </row>
    <row r="6310" spans="1:10" customHeight="0">
      <c r="A6310" s="0">
        <f>HYPERLINK("https://dl.dropboxusercontent.com/scl/fi/t4hge4hq9f3rccx74sx7n/isumenskennedyf62457.jpg?rlkey=t1b89msqo8qgsoap57u5zinjd&amp;dl=0","Click to download Image")</f>
      </c>
      <c r="B6310" s="0">
        <f>HYPERLINK("https://dl.dropboxusercontent.com/scl/fi/37sn3t5rzpm3jyxa5mhpx/mens-e.jpg?rlkey=zps12piemdh17m7obsaj08zo1&amp;dl=0","Click to download SizeChart")</f>
      </c>
      <c r="C6310" s="0" t="inlineStr">
        <is>
          <t>Kennedy Men's Polo</t>
        </is>
      </c>
      <c r="D6310" s="0" t="inlineStr">
        <is>
          <t>'95076</t>
        </is>
      </c>
      <c r="E6310" s="0" t="inlineStr">
        <is>
          <t>KENNEDY:95076D-XL</t>
        </is>
      </c>
      <c r="F6310" s="0" t="inlineStr">
        <is>
          <t>'000000000000</t>
        </is>
      </c>
      <c r="G6310" s="0" t="inlineStr">
        <is>
          <t>MENS</t>
        </is>
      </c>
      <c r="H6310" s="0" t="inlineStr">
        <is>
          <t>XL</t>
        </is>
      </c>
      <c r="I6310" s="0">
        <v>39.99</v>
      </c>
      <c r="J6310" s="0">
        <v>30</v>
      </c>
    </row>
    <row r="6311" spans="1:10" customHeight="0">
      <c r="A6311" s="0">
        <f>HYPERLINK("https://dl.dropboxusercontent.com/scl/fi/t4hge4hq9f3rccx74sx7n/isumenskennedyf62457.jpg?rlkey=t1b89msqo8qgsoap57u5zinjd&amp;dl=0","Click to download Image")</f>
      </c>
      <c r="B6311" s="0">
        <f>HYPERLINK("https://dl.dropboxusercontent.com/scl/fi/37sn3t5rzpm3jyxa5mhpx/mens-e.jpg?rlkey=zps12piemdh17m7obsaj08zo1&amp;dl=0","Click to download SizeChart")</f>
      </c>
      <c r="C6311" s="0" t="inlineStr">
        <is>
          <t>Kennedy Men's Polo</t>
        </is>
      </c>
      <c r="D6311" s="0" t="inlineStr">
        <is>
          <t>'95076</t>
        </is>
      </c>
      <c r="E6311" s="0" t="inlineStr">
        <is>
          <t>KENNEDY:95076E-2XL</t>
        </is>
      </c>
      <c r="F6311" s="0" t="inlineStr">
        <is>
          <t>'000000000000</t>
        </is>
      </c>
      <c r="G6311" s="0" t="inlineStr">
        <is>
          <t>MENS</t>
        </is>
      </c>
      <c r="H6311" s="0" t="inlineStr">
        <is>
          <t>2XL</t>
        </is>
      </c>
      <c r="I6311" s="0">
        <v>41.99</v>
      </c>
      <c r="J6311" s="0">
        <v>32</v>
      </c>
    </row>
    <row r="6312" spans="1:10" customHeight="0">
      <c r="A6312" s="0">
        <f>HYPERLINK("https://dl.dropboxusercontent.com/scl/fi/t4hge4hq9f3rccx74sx7n/isumenskennedyf62457.jpg?rlkey=t1b89msqo8qgsoap57u5zinjd&amp;dl=0","Click to download Image")</f>
      </c>
      <c r="B6312" s="0">
        <f>HYPERLINK("https://dl.dropboxusercontent.com/scl/fi/37sn3t5rzpm3jyxa5mhpx/mens-e.jpg?rlkey=zps12piemdh17m7obsaj08zo1&amp;dl=0","Click to download SizeChart")</f>
      </c>
      <c r="C6312" s="0" t="inlineStr">
        <is>
          <t>Kennedy Men's Polo</t>
        </is>
      </c>
      <c r="D6312" s="0" t="inlineStr">
        <is>
          <t>'95076</t>
        </is>
      </c>
      <c r="E6312" s="0" t="inlineStr">
        <is>
          <t>KENNEDY:95076F-3XL</t>
        </is>
      </c>
      <c r="F6312" s="0" t="inlineStr">
        <is>
          <t>'000000000000</t>
        </is>
      </c>
      <c r="G6312" s="0" t="inlineStr">
        <is>
          <t>MENS</t>
        </is>
      </c>
      <c r="H6312" s="0" t="inlineStr">
        <is>
          <t>3XL</t>
        </is>
      </c>
      <c r="I6312" s="0">
        <v>41.99</v>
      </c>
      <c r="J6312" s="0">
        <v>15</v>
      </c>
    </row>
    <row r="6313" spans="1:10" customHeight="0">
      <c r="A6313" s="0">
        <f>HYPERLINK("https://dl.dropboxusercontent.com/scl/fi/u9ypjapeyxy8y9snizdag/jefft.jpg?rlkey=uysap21b5miiqq8mgsbjp58s1&amp;dl=0","Click to download Image")</f>
      </c>
      <c r="C6313" s="0" t="inlineStr">
        <is>
          <t>Jeff Realtree Cap</t>
        </is>
      </c>
      <c r="D6313" s="0" t="inlineStr">
        <is>
          <t>'104503</t>
        </is>
      </c>
      <c r="E6313" s="0" t="inlineStr">
        <is>
          <t>JEFF:104503</t>
        </is>
      </c>
      <c r="F6313" s="0" t="inlineStr">
        <is>
          <t>'000000000000</t>
        </is>
      </c>
      <c r="G6313" s="0" t="inlineStr">
        <is>
          <t>MENS</t>
        </is>
      </c>
      <c r="H6313" s="0" t="inlineStr">
        <is>
          <t>STANDARD MENS</t>
        </is>
      </c>
      <c r="I6313" s="0">
        <v>21.99</v>
      </c>
      <c r="J6313" s="0">
        <v>44</v>
      </c>
    </row>
    <row r="6314" spans="1:10" customHeight="0">
      <c r="A6314" s="0">
        <f>HYPERLINK("https://dl.dropboxusercontent.com/scl/fi/gx740132bi6kwg6ncel5p/alexat.jpg?rlkey=mcyu9nchmbjtaglucip6dbrwi&amp;dl=0","Click to download Image")</f>
      </c>
      <c r="C6314" s="0" t="inlineStr">
        <is>
          <t>Alexa Women's Long Sleeve</t>
        </is>
      </c>
      <c r="D6314" s="0" t="inlineStr">
        <is>
          <t>'96422</t>
        </is>
      </c>
      <c r="E6314" s="0" t="inlineStr">
        <is>
          <t>ALEXA:96422A-S</t>
        </is>
      </c>
      <c r="F6314" s="0" t="inlineStr">
        <is>
          <t>'000000000000</t>
        </is>
      </c>
      <c r="G6314" s="0" t="inlineStr">
        <is>
          <t>WOMENS</t>
        </is>
      </c>
      <c r="H6314" s="0" t="inlineStr">
        <is>
          <t>S</t>
        </is>
      </c>
      <c r="I6314" s="0">
        <v>34.99</v>
      </c>
      <c r="J6314" s="0">
        <v>8</v>
      </c>
    </row>
    <row r="6315" spans="1:10" customHeight="0">
      <c r="A6315" s="0">
        <f>HYPERLINK("https://dl.dropboxusercontent.com/scl/fi/gx740132bi6kwg6ncel5p/alexat.jpg?rlkey=mcyu9nchmbjtaglucip6dbrwi&amp;dl=0","Click to download Image")</f>
      </c>
      <c r="C6315" s="0" t="inlineStr">
        <is>
          <t>Alexa Women's Long Sleeve</t>
        </is>
      </c>
      <c r="D6315" s="0" t="inlineStr">
        <is>
          <t>'96422</t>
        </is>
      </c>
      <c r="E6315" s="0" t="inlineStr">
        <is>
          <t>ALEXA:96422B-M</t>
        </is>
      </c>
      <c r="F6315" s="0" t="inlineStr">
        <is>
          <t>'000000000000</t>
        </is>
      </c>
      <c r="G6315" s="0" t="inlineStr">
        <is>
          <t>WOMENS</t>
        </is>
      </c>
      <c r="H6315" s="0" t="inlineStr">
        <is>
          <t>M</t>
        </is>
      </c>
      <c r="I6315" s="0">
        <v>34.99</v>
      </c>
      <c r="J6315" s="0">
        <v>15</v>
      </c>
    </row>
    <row r="6316" spans="1:10" customHeight="0">
      <c r="A6316" s="0">
        <f>HYPERLINK("https://dl.dropboxusercontent.com/scl/fi/gx740132bi6kwg6ncel5p/alexat.jpg?rlkey=mcyu9nchmbjtaglucip6dbrwi&amp;dl=0","Click to download Image")</f>
      </c>
      <c r="C6316" s="0" t="inlineStr">
        <is>
          <t>Alexa Women's Long Sleeve</t>
        </is>
      </c>
      <c r="D6316" s="0" t="inlineStr">
        <is>
          <t>'96422</t>
        </is>
      </c>
      <c r="E6316" s="0" t="inlineStr">
        <is>
          <t>ALEXA:96422C-L</t>
        </is>
      </c>
      <c r="F6316" s="0" t="inlineStr">
        <is>
          <t>'000000000000</t>
        </is>
      </c>
      <c r="G6316" s="0" t="inlineStr">
        <is>
          <t>WOMENS</t>
        </is>
      </c>
      <c r="H6316" s="0" t="inlineStr">
        <is>
          <t>L</t>
        </is>
      </c>
      <c r="I6316" s="0">
        <v>34.99</v>
      </c>
      <c r="J6316" s="0">
        <v>42</v>
      </c>
    </row>
    <row r="6317" spans="1:10" customHeight="0">
      <c r="A6317" s="0">
        <f>HYPERLINK("https://dl.dropboxusercontent.com/scl/fi/gx740132bi6kwg6ncel5p/alexat.jpg?rlkey=mcyu9nchmbjtaglucip6dbrwi&amp;dl=0","Click to download Image")</f>
      </c>
      <c r="C6317" s="0" t="inlineStr">
        <is>
          <t>Alexa Women's Long Sleeve</t>
        </is>
      </c>
      <c r="D6317" s="0" t="inlineStr">
        <is>
          <t>'96422</t>
        </is>
      </c>
      <c r="E6317" s="0" t="inlineStr">
        <is>
          <t>ALEXA:96422D-XL</t>
        </is>
      </c>
      <c r="F6317" s="0" t="inlineStr">
        <is>
          <t>'000000000000</t>
        </is>
      </c>
      <c r="G6317" s="0" t="inlineStr">
        <is>
          <t>WOMENS</t>
        </is>
      </c>
      <c r="H6317" s="0" t="inlineStr">
        <is>
          <t>XL</t>
        </is>
      </c>
      <c r="I6317" s="0">
        <v>34.99</v>
      </c>
      <c r="J6317" s="0">
        <v>36</v>
      </c>
    </row>
    <row r="6318" spans="1:10" customHeight="0">
      <c r="A6318" s="0">
        <f>HYPERLINK("https://dl.dropboxusercontent.com/scl/fi/gx740132bi6kwg6ncel5p/alexat.jpg?rlkey=mcyu9nchmbjtaglucip6dbrwi&amp;dl=0","Click to download Image")</f>
      </c>
      <c r="C6318" s="0" t="inlineStr">
        <is>
          <t>Alexa Women's Long Sleeve</t>
        </is>
      </c>
      <c r="D6318" s="0" t="inlineStr">
        <is>
          <t>'96422</t>
        </is>
      </c>
      <c r="E6318" s="0" t="inlineStr">
        <is>
          <t>ALEXA:96422E-2XL</t>
        </is>
      </c>
      <c r="F6318" s="0" t="inlineStr">
        <is>
          <t>'000000000000</t>
        </is>
      </c>
      <c r="G6318" s="0" t="inlineStr">
        <is>
          <t>WOMENS</t>
        </is>
      </c>
      <c r="H6318" s="0" t="inlineStr">
        <is>
          <t>2XL</t>
        </is>
      </c>
      <c r="I6318" s="0">
        <v>36.99</v>
      </c>
      <c r="J6318" s="0">
        <v>23</v>
      </c>
    </row>
    <row r="6319" spans="1:10" customHeight="0">
      <c r="A6319" s="0">
        <f>HYPERLINK("https://dl.dropboxusercontent.com/scl/fi/dtli89cox60irw5fcknct/95944af10287.jpg?rlkey=w7nwu1q1jhqgi8fdasoe961e2&amp;dl=0","Click to download Image")</f>
      </c>
      <c r="C6319" s="0" t="inlineStr">
        <is>
          <t>Ashley Women's Yoga Pants</t>
        </is>
      </c>
      <c r="D6319" s="0" t="inlineStr">
        <is>
          <t>'95944</t>
        </is>
      </c>
      <c r="E6319" s="0" t="inlineStr">
        <is>
          <t>ASHLEY:95944A-S</t>
        </is>
      </c>
      <c r="F6319" s="0" t="inlineStr">
        <is>
          <t>'000000000000</t>
        </is>
      </c>
      <c r="G6319" s="0" t="inlineStr">
        <is>
          <t>WOMENS</t>
        </is>
      </c>
      <c r="H6319" s="0" t="inlineStr">
        <is>
          <t>S</t>
        </is>
      </c>
      <c r="I6319" s="0">
        <v>29.99</v>
      </c>
      <c r="J6319" s="0">
        <v>62</v>
      </c>
    </row>
    <row r="6320" spans="1:10" customHeight="0">
      <c r="A6320" s="0">
        <f>HYPERLINK("https://dl.dropboxusercontent.com/scl/fi/dtli89cox60irw5fcknct/95944af10287.jpg?rlkey=w7nwu1q1jhqgi8fdasoe961e2&amp;dl=0","Click to download Image")</f>
      </c>
      <c r="C6320" s="0" t="inlineStr">
        <is>
          <t>Ashley Women's Yoga Pants</t>
        </is>
      </c>
      <c r="D6320" s="0" t="inlineStr">
        <is>
          <t>'95944</t>
        </is>
      </c>
      <c r="E6320" s="0" t="inlineStr">
        <is>
          <t>ASHLEY:95944B-M</t>
        </is>
      </c>
      <c r="F6320" s="0" t="inlineStr">
        <is>
          <t>'000000000000</t>
        </is>
      </c>
      <c r="G6320" s="0" t="inlineStr">
        <is>
          <t>WOMENS</t>
        </is>
      </c>
      <c r="H6320" s="0" t="inlineStr">
        <is>
          <t>M</t>
        </is>
      </c>
      <c r="I6320" s="0">
        <v>29.99</v>
      </c>
      <c r="J6320" s="0">
        <v>52</v>
      </c>
    </row>
    <row r="6321" spans="1:10" customHeight="0">
      <c r="A6321" s="0">
        <f>HYPERLINK("https://dl.dropboxusercontent.com/scl/fi/dtli89cox60irw5fcknct/95944af10287.jpg?rlkey=w7nwu1q1jhqgi8fdasoe961e2&amp;dl=0","Click to download Image")</f>
      </c>
      <c r="C6321" s="0" t="inlineStr">
        <is>
          <t>Ashley Women's Yoga Pants</t>
        </is>
      </c>
      <c r="D6321" s="0" t="inlineStr">
        <is>
          <t>'95944</t>
        </is>
      </c>
      <c r="E6321" s="0" t="inlineStr">
        <is>
          <t>ASHLEY:95944C-L</t>
        </is>
      </c>
      <c r="F6321" s="0" t="inlineStr">
        <is>
          <t>'000000000000</t>
        </is>
      </c>
      <c r="G6321" s="0" t="inlineStr">
        <is>
          <t>WOMENS</t>
        </is>
      </c>
      <c r="H6321" s="0" t="inlineStr">
        <is>
          <t>L</t>
        </is>
      </c>
      <c r="I6321" s="0">
        <v>29.99</v>
      </c>
      <c r="J6321" s="0">
        <v>73</v>
      </c>
    </row>
    <row r="6322" spans="1:10" customHeight="0">
      <c r="A6322" s="0">
        <f>HYPERLINK("https://dl.dropboxusercontent.com/scl/fi/dtli89cox60irw5fcknct/95944af10287.jpg?rlkey=w7nwu1q1jhqgi8fdasoe961e2&amp;dl=0","Click to download Image")</f>
      </c>
      <c r="C6322" s="0" t="inlineStr">
        <is>
          <t>Ashley Women's Yoga Pants</t>
        </is>
      </c>
      <c r="D6322" s="0" t="inlineStr">
        <is>
          <t>'95944</t>
        </is>
      </c>
      <c r="E6322" s="0" t="inlineStr">
        <is>
          <t>ASHLEY:95944D-XL</t>
        </is>
      </c>
      <c r="F6322" s="0" t="inlineStr">
        <is>
          <t>'000000000000</t>
        </is>
      </c>
      <c r="G6322" s="0" t="inlineStr">
        <is>
          <t>WOMENS</t>
        </is>
      </c>
      <c r="H6322" s="0" t="inlineStr">
        <is>
          <t>XL</t>
        </is>
      </c>
      <c r="I6322" s="0">
        <v>29.99</v>
      </c>
      <c r="J6322" s="0">
        <v>82</v>
      </c>
    </row>
    <row r="6323" spans="1:10" customHeight="0">
      <c r="A6323" s="0">
        <f>HYPERLINK("https://dl.dropboxusercontent.com/scl/fi/dtli89cox60irw5fcknct/95944af10287.jpg?rlkey=w7nwu1q1jhqgi8fdasoe961e2&amp;dl=0","Click to download Image")</f>
      </c>
      <c r="C6323" s="0" t="inlineStr">
        <is>
          <t>Ashley Women's Yoga Pants</t>
        </is>
      </c>
      <c r="D6323" s="0" t="inlineStr">
        <is>
          <t>'95944</t>
        </is>
      </c>
      <c r="E6323" s="0" t="inlineStr">
        <is>
          <t>ASHLEY:95944E-2X</t>
        </is>
      </c>
      <c r="F6323" s="0" t="inlineStr">
        <is>
          <t>'000000000000</t>
        </is>
      </c>
      <c r="G6323" s="0" t="inlineStr">
        <is>
          <t>WOMENS</t>
        </is>
      </c>
      <c r="H6323" s="0" t="inlineStr">
        <is>
          <t>2XL</t>
        </is>
      </c>
      <c r="I6323" s="0">
        <v>31.99</v>
      </c>
      <c r="J6323" s="0">
        <v>26</v>
      </c>
    </row>
    <row r="6324" spans="1:10" customHeight="0">
      <c r="A6324" s="0">
        <f>HYPERLINK("https://dl.dropboxusercontent.com/scl/fi/v0ff26ag57bajwyrbfvcn/kellen-01.jpg?rlkey=drwv8mq0j7jf0zrrmh0wtmbie&amp;dl=0","Click to download Image")</f>
      </c>
      <c r="B6324" s="0">
        <f>HYPERLINK("https://dl.dropboxusercontent.com/scl/fi/uf3t1hcmxkm0j58dabnsp/size-chartladies-h.jpg?rlkey=76c7owt99h6ntnwx09w8r0ol0&amp;dl=0","Click to download SizeChart")</f>
      </c>
      <c r="C6324" s="0" t="inlineStr">
        <is>
          <t>Kellen Women's Polo</t>
        </is>
      </c>
      <c r="D6324" s="0" t="inlineStr">
        <is>
          <t>'97086</t>
        </is>
      </c>
      <c r="E6324" s="0" t="inlineStr">
        <is>
          <t>KELLEN:97086A-S</t>
        </is>
      </c>
      <c r="F6324" s="0" t="inlineStr">
        <is>
          <t>'000000000000</t>
        </is>
      </c>
      <c r="G6324" s="0" t="inlineStr">
        <is>
          <t>WOMENS</t>
        </is>
      </c>
      <c r="H6324" s="0" t="inlineStr">
        <is>
          <t>S</t>
        </is>
      </c>
      <c r="I6324" s="0">
        <v>44.99</v>
      </c>
      <c r="J6324" s="0">
        <v>32</v>
      </c>
    </row>
    <row r="6325" spans="1:10" customHeight="0">
      <c r="A6325" s="0">
        <f>HYPERLINK("https://dl.dropboxusercontent.com/scl/fi/v0ff26ag57bajwyrbfvcn/kellen-01.jpg?rlkey=drwv8mq0j7jf0zrrmh0wtmbie&amp;dl=0","Click to download Image")</f>
      </c>
      <c r="B6325" s="0">
        <f>HYPERLINK("https://dl.dropboxusercontent.com/scl/fi/uf3t1hcmxkm0j58dabnsp/size-chartladies-h.jpg?rlkey=76c7owt99h6ntnwx09w8r0ol0&amp;dl=0","Click to download SizeChart")</f>
      </c>
      <c r="C6325" s="0" t="inlineStr">
        <is>
          <t>Kellen Women's Polo</t>
        </is>
      </c>
      <c r="D6325" s="0" t="inlineStr">
        <is>
          <t>'97086</t>
        </is>
      </c>
      <c r="E6325" s="0" t="inlineStr">
        <is>
          <t>KELLEN:97086B-M</t>
        </is>
      </c>
      <c r="F6325" s="0" t="inlineStr">
        <is>
          <t>'000000000000</t>
        </is>
      </c>
      <c r="G6325" s="0" t="inlineStr">
        <is>
          <t>WOMENS</t>
        </is>
      </c>
      <c r="H6325" s="0" t="inlineStr">
        <is>
          <t>M</t>
        </is>
      </c>
      <c r="I6325" s="0">
        <v>44.99</v>
      </c>
      <c r="J6325" s="0">
        <v>30</v>
      </c>
    </row>
    <row r="6326" spans="1:10" customHeight="0">
      <c r="A6326" s="0">
        <f>HYPERLINK("https://dl.dropboxusercontent.com/scl/fi/v0ff26ag57bajwyrbfvcn/kellen-01.jpg?rlkey=drwv8mq0j7jf0zrrmh0wtmbie&amp;dl=0","Click to download Image")</f>
      </c>
      <c r="B6326" s="0">
        <f>HYPERLINK("https://dl.dropboxusercontent.com/scl/fi/uf3t1hcmxkm0j58dabnsp/size-chartladies-h.jpg?rlkey=76c7owt99h6ntnwx09w8r0ol0&amp;dl=0","Click to download SizeChart")</f>
      </c>
      <c r="C6326" s="0" t="inlineStr">
        <is>
          <t>Kellen Women's Polo</t>
        </is>
      </c>
      <c r="D6326" s="0" t="inlineStr">
        <is>
          <t>'97086</t>
        </is>
      </c>
      <c r="E6326" s="0" t="inlineStr">
        <is>
          <t>KELLEN:97086C-L</t>
        </is>
      </c>
      <c r="F6326" s="0" t="inlineStr">
        <is>
          <t>'000000000000</t>
        </is>
      </c>
      <c r="G6326" s="0" t="inlineStr">
        <is>
          <t>WOMENS</t>
        </is>
      </c>
      <c r="H6326" s="0" t="inlineStr">
        <is>
          <t>L</t>
        </is>
      </c>
      <c r="I6326" s="0">
        <v>44.99</v>
      </c>
      <c r="J6326" s="0">
        <v>57</v>
      </c>
    </row>
    <row r="6327" spans="1:10" customHeight="0">
      <c r="A6327" s="0">
        <f>HYPERLINK("https://dl.dropboxusercontent.com/scl/fi/v0ff26ag57bajwyrbfvcn/kellen-01.jpg?rlkey=drwv8mq0j7jf0zrrmh0wtmbie&amp;dl=0","Click to download Image")</f>
      </c>
      <c r="B6327" s="0">
        <f>HYPERLINK("https://dl.dropboxusercontent.com/scl/fi/uf3t1hcmxkm0j58dabnsp/size-chartladies-h.jpg?rlkey=76c7owt99h6ntnwx09w8r0ol0&amp;dl=0","Click to download SizeChart")</f>
      </c>
      <c r="C6327" s="0" t="inlineStr">
        <is>
          <t>Kellen Women's Polo</t>
        </is>
      </c>
      <c r="D6327" s="0" t="inlineStr">
        <is>
          <t>'97086</t>
        </is>
      </c>
      <c r="E6327" s="0" t="inlineStr">
        <is>
          <t>KELLEN:97086D-XL</t>
        </is>
      </c>
      <c r="F6327" s="0" t="inlineStr">
        <is>
          <t>'000000000000</t>
        </is>
      </c>
      <c r="G6327" s="0" t="inlineStr">
        <is>
          <t>WOMENS</t>
        </is>
      </c>
      <c r="H6327" s="0" t="inlineStr">
        <is>
          <t>XL</t>
        </is>
      </c>
      <c r="I6327" s="0">
        <v>44.99</v>
      </c>
      <c r="J6327" s="0">
        <v>61</v>
      </c>
    </row>
    <row r="6328" spans="1:10" customHeight="0">
      <c r="A6328" s="0">
        <f>HYPERLINK("https://dl.dropboxusercontent.com/scl/fi/v0ff26ag57bajwyrbfvcn/kellen-01.jpg?rlkey=drwv8mq0j7jf0zrrmh0wtmbie&amp;dl=0","Click to download Image")</f>
      </c>
      <c r="B6328" s="0">
        <f>HYPERLINK("https://dl.dropboxusercontent.com/scl/fi/uf3t1hcmxkm0j58dabnsp/size-chartladies-h.jpg?rlkey=76c7owt99h6ntnwx09w8r0ol0&amp;dl=0","Click to download SizeChart")</f>
      </c>
      <c r="C6328" s="0" t="inlineStr">
        <is>
          <t>Kellen Women's Polo</t>
        </is>
      </c>
      <c r="D6328" s="0" t="inlineStr">
        <is>
          <t>'97086</t>
        </is>
      </c>
      <c r="E6328" s="0" t="inlineStr">
        <is>
          <t>KELLEN:97086E-2XL</t>
        </is>
      </c>
      <c r="F6328" s="0" t="inlineStr">
        <is>
          <t>'000000000000</t>
        </is>
      </c>
      <c r="G6328" s="0" t="inlineStr">
        <is>
          <t>WOMENS</t>
        </is>
      </c>
      <c r="H6328" s="0" t="inlineStr">
        <is>
          <t>2XL</t>
        </is>
      </c>
      <c r="I6328" s="0">
        <v>46.99</v>
      </c>
      <c r="J6328" s="0">
        <v>32</v>
      </c>
    </row>
    <row r="6329" spans="1:10" customHeight="0">
      <c r="A6329" s="0">
        <f>HYPERLINK("https://dl.dropboxusercontent.com/scl/fi/i8wl9yccsrg79yz1pgjr9/kellen-02.jpg?rlkey=ygeewpwiimp07520fcd3gd6ih&amp;dl=0","Click to download Image")</f>
      </c>
      <c r="B6329" s="0">
        <f>HYPERLINK("https://dl.dropboxusercontent.com/scl/fi/8f8uiq6mj02xc5a41tkg0/mens-e.jpg?rlkey=8bl711zxa7zg2zhh5zgqgr4wg&amp;dl=0","Click to download SizeChart")</f>
      </c>
      <c r="C6329" s="0" t="inlineStr">
        <is>
          <t>Kellen Men's Polo</t>
        </is>
      </c>
      <c r="D6329" s="0" t="inlineStr">
        <is>
          <t>'97087</t>
        </is>
      </c>
      <c r="E6329" s="0" t="inlineStr">
        <is>
          <t>KELLEN:97087A-S</t>
        </is>
      </c>
      <c r="F6329" s="0" t="inlineStr">
        <is>
          <t>'000000000000</t>
        </is>
      </c>
      <c r="G6329" s="0" t="inlineStr">
        <is>
          <t>MENS</t>
        </is>
      </c>
      <c r="H6329" s="0" t="inlineStr">
        <is>
          <t>S</t>
        </is>
      </c>
      <c r="I6329" s="0">
        <v>44.99</v>
      </c>
      <c r="J6329" s="0">
        <v>12</v>
      </c>
    </row>
    <row r="6330" spans="1:10" customHeight="0">
      <c r="A6330" s="0">
        <f>HYPERLINK("https://dl.dropboxusercontent.com/scl/fi/i8wl9yccsrg79yz1pgjr9/kellen-02.jpg?rlkey=ygeewpwiimp07520fcd3gd6ih&amp;dl=0","Click to download Image")</f>
      </c>
      <c r="B6330" s="0">
        <f>HYPERLINK("https://dl.dropboxusercontent.com/scl/fi/8f8uiq6mj02xc5a41tkg0/mens-e.jpg?rlkey=8bl711zxa7zg2zhh5zgqgr4wg&amp;dl=0","Click to download SizeChart")</f>
      </c>
      <c r="C6330" s="0" t="inlineStr">
        <is>
          <t>Kellen Men's Polo</t>
        </is>
      </c>
      <c r="D6330" s="0" t="inlineStr">
        <is>
          <t>'97087</t>
        </is>
      </c>
      <c r="E6330" s="0" t="inlineStr">
        <is>
          <t>KELLEN:97087B-M</t>
        </is>
      </c>
      <c r="F6330" s="0" t="inlineStr">
        <is>
          <t>'000000000000</t>
        </is>
      </c>
      <c r="G6330" s="0" t="inlineStr">
        <is>
          <t>MENS</t>
        </is>
      </c>
      <c r="H6330" s="0" t="inlineStr">
        <is>
          <t>M</t>
        </is>
      </c>
      <c r="I6330" s="0">
        <v>44.99</v>
      </c>
      <c r="J6330" s="0">
        <v>6</v>
      </c>
    </row>
    <row r="6331" spans="1:10" customHeight="0">
      <c r="A6331" s="0">
        <f>HYPERLINK("https://dl.dropboxusercontent.com/scl/fi/i8wl9yccsrg79yz1pgjr9/kellen-02.jpg?rlkey=ygeewpwiimp07520fcd3gd6ih&amp;dl=0","Click to download Image")</f>
      </c>
      <c r="B6331" s="0">
        <f>HYPERLINK("https://dl.dropboxusercontent.com/scl/fi/8f8uiq6mj02xc5a41tkg0/mens-e.jpg?rlkey=8bl711zxa7zg2zhh5zgqgr4wg&amp;dl=0","Click to download SizeChart")</f>
      </c>
      <c r="C6331" s="0" t="inlineStr">
        <is>
          <t>Kellen Men's Polo</t>
        </is>
      </c>
      <c r="D6331" s="0" t="inlineStr">
        <is>
          <t>'97087</t>
        </is>
      </c>
      <c r="E6331" s="0" t="inlineStr">
        <is>
          <t>KELLEN:97087C-L</t>
        </is>
      </c>
      <c r="F6331" s="0" t="inlineStr">
        <is>
          <t>'000000000000</t>
        </is>
      </c>
      <c r="G6331" s="0" t="inlineStr">
        <is>
          <t>MENS</t>
        </is>
      </c>
      <c r="H6331" s="0" t="inlineStr">
        <is>
          <t>L</t>
        </is>
      </c>
      <c r="I6331" s="0">
        <v>44.99</v>
      </c>
      <c r="J6331" s="0">
        <v>2</v>
      </c>
    </row>
    <row r="6332" spans="1:10" customHeight="0">
      <c r="A6332" s="0">
        <f>HYPERLINK("https://dl.dropboxusercontent.com/scl/fi/i8wl9yccsrg79yz1pgjr9/kellen-02.jpg?rlkey=ygeewpwiimp07520fcd3gd6ih&amp;dl=0","Click to download Image")</f>
      </c>
      <c r="B6332" s="0">
        <f>HYPERLINK("https://dl.dropboxusercontent.com/scl/fi/8f8uiq6mj02xc5a41tkg0/mens-e.jpg?rlkey=8bl711zxa7zg2zhh5zgqgr4wg&amp;dl=0","Click to download SizeChart")</f>
      </c>
      <c r="C6332" s="0" t="inlineStr">
        <is>
          <t>Kellen Men's Polo</t>
        </is>
      </c>
      <c r="D6332" s="0" t="inlineStr">
        <is>
          <t>'97087</t>
        </is>
      </c>
      <c r="E6332" s="0" t="inlineStr">
        <is>
          <t>KELLEN:97087D-XL</t>
        </is>
      </c>
      <c r="F6332" s="0" t="inlineStr">
        <is>
          <t>'000000000000</t>
        </is>
      </c>
      <c r="G6332" s="0" t="inlineStr">
        <is>
          <t>MENS</t>
        </is>
      </c>
      <c r="H6332" s="0" t="inlineStr">
        <is>
          <t>XL</t>
        </is>
      </c>
      <c r="I6332" s="0">
        <v>44.99</v>
      </c>
      <c r="J6332" s="0">
        <v>0</v>
      </c>
    </row>
    <row r="6333" spans="1:10" customHeight="0">
      <c r="A6333" s="0">
        <f>HYPERLINK("https://dl.dropboxusercontent.com/scl/fi/i8wl9yccsrg79yz1pgjr9/kellen-02.jpg?rlkey=ygeewpwiimp07520fcd3gd6ih&amp;dl=0","Click to download Image")</f>
      </c>
      <c r="B6333" s="0">
        <f>HYPERLINK("https://dl.dropboxusercontent.com/scl/fi/8f8uiq6mj02xc5a41tkg0/mens-e.jpg?rlkey=8bl711zxa7zg2zhh5zgqgr4wg&amp;dl=0","Click to download SizeChart")</f>
      </c>
      <c r="C6333" s="0" t="inlineStr">
        <is>
          <t>Kellen Men's Polo</t>
        </is>
      </c>
      <c r="D6333" s="0" t="inlineStr">
        <is>
          <t>'97087</t>
        </is>
      </c>
      <c r="E6333" s="0" t="inlineStr">
        <is>
          <t>KELLEN:97087E-2XL</t>
        </is>
      </c>
      <c r="F6333" s="0" t="inlineStr">
        <is>
          <t>'000000000000</t>
        </is>
      </c>
      <c r="G6333" s="0" t="inlineStr">
        <is>
          <t>MENS</t>
        </is>
      </c>
      <c r="H6333" s="0" t="inlineStr">
        <is>
          <t>2XL</t>
        </is>
      </c>
      <c r="I6333" s="0">
        <v>46.99</v>
      </c>
      <c r="J6333" s="0">
        <v>0</v>
      </c>
    </row>
    <row r="6334" spans="1:10" customHeight="0">
      <c r="A6334" s="0">
        <f>HYPERLINK("https://dl.dropboxusercontent.com/scl/fi/i8wl9yccsrg79yz1pgjr9/kellen-02.jpg?rlkey=ygeewpwiimp07520fcd3gd6ih&amp;dl=0","Click to download Image")</f>
      </c>
      <c r="B6334" s="0">
        <f>HYPERLINK("https://dl.dropboxusercontent.com/scl/fi/8f8uiq6mj02xc5a41tkg0/mens-e.jpg?rlkey=8bl711zxa7zg2zhh5zgqgr4wg&amp;dl=0","Click to download SizeChart")</f>
      </c>
      <c r="C6334" s="0" t="inlineStr">
        <is>
          <t>Kellen Men's Polo</t>
        </is>
      </c>
      <c r="D6334" s="0" t="inlineStr">
        <is>
          <t>'97087</t>
        </is>
      </c>
      <c r="E6334" s="0" t="inlineStr">
        <is>
          <t>KELLEN:97087F-3XL</t>
        </is>
      </c>
      <c r="F6334" s="0" t="inlineStr">
        <is>
          <t>'000000000000</t>
        </is>
      </c>
      <c r="G6334" s="0" t="inlineStr">
        <is>
          <t>MENS</t>
        </is>
      </c>
      <c r="H6334" s="0" t="inlineStr">
        <is>
          <t>3XL</t>
        </is>
      </c>
      <c r="I6334" s="0">
        <v>46.99</v>
      </c>
      <c r="J6334" s="0">
        <v>9</v>
      </c>
    </row>
    <row r="6335" spans="1:10" customHeight="0">
      <c r="A6335" s="0">
        <f>HYPERLINK("https://dl.dropboxusercontent.com/scl/fi/tz46toqd1ouh97unki1dx/kellen-03.jpg?rlkey=ee85l15qa4659a8btjyz68r19&amp;dl=0","Click to download Image")</f>
      </c>
      <c r="B6335" s="0">
        <f>HYPERLINK("https://dl.dropboxusercontent.com/scl/fi/8f8uiq6mj02xc5a41tkg0/mens-e.jpg?rlkey=8bl711zxa7zg2zhh5zgqgr4wg&amp;dl=0","Click to download SizeChart")</f>
      </c>
      <c r="C6335" s="0" t="inlineStr">
        <is>
          <t>Kellen Men's Polo</t>
        </is>
      </c>
      <c r="D6335" s="0" t="inlineStr">
        <is>
          <t>'97817</t>
        </is>
      </c>
      <c r="E6335" s="0" t="inlineStr">
        <is>
          <t>KELLEN:97817A-S</t>
        </is>
      </c>
      <c r="F6335" s="0" t="inlineStr">
        <is>
          <t>'000000000000</t>
        </is>
      </c>
      <c r="G6335" s="0" t="inlineStr">
        <is>
          <t>MENS</t>
        </is>
      </c>
      <c r="H6335" s="0" t="inlineStr">
        <is>
          <t>S</t>
        </is>
      </c>
      <c r="I6335" s="0">
        <v>44.99</v>
      </c>
      <c r="J6335" s="0">
        <v>13</v>
      </c>
    </row>
    <row r="6336" spans="1:10" customHeight="0">
      <c r="A6336" s="0">
        <f>HYPERLINK("https://dl.dropboxusercontent.com/scl/fi/tz46toqd1ouh97unki1dx/kellen-03.jpg?rlkey=ee85l15qa4659a8btjyz68r19&amp;dl=0","Click to download Image")</f>
      </c>
      <c r="B6336" s="0">
        <f>HYPERLINK("https://dl.dropboxusercontent.com/scl/fi/8f8uiq6mj02xc5a41tkg0/mens-e.jpg?rlkey=8bl711zxa7zg2zhh5zgqgr4wg&amp;dl=0","Click to download SizeChart")</f>
      </c>
      <c r="C6336" s="0" t="inlineStr">
        <is>
          <t>Kellen Men's Polo</t>
        </is>
      </c>
      <c r="D6336" s="0" t="inlineStr">
        <is>
          <t>'97817</t>
        </is>
      </c>
      <c r="E6336" s="0" t="inlineStr">
        <is>
          <t>KELLEN:97817B-M</t>
        </is>
      </c>
      <c r="F6336" s="0" t="inlineStr">
        <is>
          <t>'000000000000</t>
        </is>
      </c>
      <c r="G6336" s="0" t="inlineStr">
        <is>
          <t>MENS</t>
        </is>
      </c>
      <c r="H6336" s="0" t="inlineStr">
        <is>
          <t>M</t>
        </is>
      </c>
      <c r="I6336" s="0">
        <v>44.99</v>
      </c>
      <c r="J6336" s="0">
        <v>4</v>
      </c>
    </row>
    <row r="6337" spans="1:10" customHeight="0">
      <c r="A6337" s="0">
        <f>HYPERLINK("https://dl.dropboxusercontent.com/scl/fi/tz46toqd1ouh97unki1dx/kellen-03.jpg?rlkey=ee85l15qa4659a8btjyz68r19&amp;dl=0","Click to download Image")</f>
      </c>
      <c r="B6337" s="0">
        <f>HYPERLINK("https://dl.dropboxusercontent.com/scl/fi/8f8uiq6mj02xc5a41tkg0/mens-e.jpg?rlkey=8bl711zxa7zg2zhh5zgqgr4wg&amp;dl=0","Click to download SizeChart")</f>
      </c>
      <c r="C6337" s="0" t="inlineStr">
        <is>
          <t>Kellen Men's Polo</t>
        </is>
      </c>
      <c r="D6337" s="0" t="inlineStr">
        <is>
          <t>'97817</t>
        </is>
      </c>
      <c r="E6337" s="0" t="inlineStr">
        <is>
          <t>KELLEN:97817C-L</t>
        </is>
      </c>
      <c r="F6337" s="0" t="inlineStr">
        <is>
          <t>'000000000000</t>
        </is>
      </c>
      <c r="G6337" s="0" t="inlineStr">
        <is>
          <t>MENS</t>
        </is>
      </c>
      <c r="H6337" s="0" t="inlineStr">
        <is>
          <t>L</t>
        </is>
      </c>
      <c r="I6337" s="0">
        <v>44.99</v>
      </c>
      <c r="J6337" s="0">
        <v>4</v>
      </c>
    </row>
    <row r="6338" spans="1:10" customHeight="0">
      <c r="A6338" s="0">
        <f>HYPERLINK("https://dl.dropboxusercontent.com/scl/fi/tz46toqd1ouh97unki1dx/kellen-03.jpg?rlkey=ee85l15qa4659a8btjyz68r19&amp;dl=0","Click to download Image")</f>
      </c>
      <c r="B6338" s="0">
        <f>HYPERLINK("https://dl.dropboxusercontent.com/scl/fi/8f8uiq6mj02xc5a41tkg0/mens-e.jpg?rlkey=8bl711zxa7zg2zhh5zgqgr4wg&amp;dl=0","Click to download SizeChart")</f>
      </c>
      <c r="C6338" s="0" t="inlineStr">
        <is>
          <t>Kellen Men's Polo</t>
        </is>
      </c>
      <c r="D6338" s="0" t="inlineStr">
        <is>
          <t>'97817</t>
        </is>
      </c>
      <c r="E6338" s="0" t="inlineStr">
        <is>
          <t>KELLEN:97817D-XL</t>
        </is>
      </c>
      <c r="F6338" s="0" t="inlineStr">
        <is>
          <t>'000000000000</t>
        </is>
      </c>
      <c r="G6338" s="0" t="inlineStr">
        <is>
          <t>MENS</t>
        </is>
      </c>
      <c r="H6338" s="0" t="inlineStr">
        <is>
          <t>XL</t>
        </is>
      </c>
      <c r="I6338" s="0">
        <v>44.99</v>
      </c>
      <c r="J6338" s="0">
        <v>9</v>
      </c>
    </row>
    <row r="6339" spans="1:10" customHeight="0">
      <c r="A6339" s="0">
        <f>HYPERLINK("https://dl.dropboxusercontent.com/scl/fi/tz46toqd1ouh97unki1dx/kellen-03.jpg?rlkey=ee85l15qa4659a8btjyz68r19&amp;dl=0","Click to download Image")</f>
      </c>
      <c r="B6339" s="0">
        <f>HYPERLINK("https://dl.dropboxusercontent.com/scl/fi/8f8uiq6mj02xc5a41tkg0/mens-e.jpg?rlkey=8bl711zxa7zg2zhh5zgqgr4wg&amp;dl=0","Click to download SizeChart")</f>
      </c>
      <c r="C6339" s="0" t="inlineStr">
        <is>
          <t>Kellen Men's Polo</t>
        </is>
      </c>
      <c r="D6339" s="0" t="inlineStr">
        <is>
          <t>'97817</t>
        </is>
      </c>
      <c r="E6339" s="0" t="inlineStr">
        <is>
          <t>KELLEN:97817E-2XL</t>
        </is>
      </c>
      <c r="F6339" s="0" t="inlineStr">
        <is>
          <t>'000000000000</t>
        </is>
      </c>
      <c r="G6339" s="0" t="inlineStr">
        <is>
          <t>MENS</t>
        </is>
      </c>
      <c r="H6339" s="0" t="inlineStr">
        <is>
          <t>2XL</t>
        </is>
      </c>
      <c r="I6339" s="0">
        <v>46.99</v>
      </c>
      <c r="J6339" s="0">
        <v>1</v>
      </c>
    </row>
    <row r="6340" spans="1:10" customHeight="0">
      <c r="A6340" s="0">
        <f>HYPERLINK("https://dl.dropboxusercontent.com/scl/fi/tz46toqd1ouh97unki1dx/kellen-03.jpg?rlkey=ee85l15qa4659a8btjyz68r19&amp;dl=0","Click to download Image")</f>
      </c>
      <c r="B6340" s="0">
        <f>HYPERLINK("https://dl.dropboxusercontent.com/scl/fi/8f8uiq6mj02xc5a41tkg0/mens-e.jpg?rlkey=8bl711zxa7zg2zhh5zgqgr4wg&amp;dl=0","Click to download SizeChart")</f>
      </c>
      <c r="C6340" s="0" t="inlineStr">
        <is>
          <t>Kellen Men's Polo</t>
        </is>
      </c>
      <c r="D6340" s="0" t="inlineStr">
        <is>
          <t>'97817</t>
        </is>
      </c>
      <c r="E6340" s="0" t="inlineStr">
        <is>
          <t>KELLEN:97817F-3XL</t>
        </is>
      </c>
      <c r="F6340" s="0" t="inlineStr">
        <is>
          <t>'000000000000</t>
        </is>
      </c>
      <c r="G6340" s="0" t="inlineStr">
        <is>
          <t>MENS</t>
        </is>
      </c>
      <c r="H6340" s="0" t="inlineStr">
        <is>
          <t>3XL</t>
        </is>
      </c>
      <c r="I6340" s="0">
        <v>46.99</v>
      </c>
      <c r="J6340" s="0">
        <v>13</v>
      </c>
    </row>
    <row r="6341" spans="1:10" customHeight="0">
      <c r="A6341" s="0">
        <f>HYPERLINK("https://dl.dropboxusercontent.com/scl/fi/sxmg9byz1wwqvx26dbvp9/adeline.jpg?rlkey=4lrmnr8k87flla190rf0eq44o&amp;dl=0","Click to download Image")</f>
      </c>
      <c r="C6341" s="0" t="inlineStr">
        <is>
          <t>Adeline Fringe Top</t>
        </is>
      </c>
      <c r="D6341" s="0" t="inlineStr">
        <is>
          <t>'97148</t>
        </is>
      </c>
      <c r="E6341" s="0" t="inlineStr">
        <is>
          <t>ADELINE:97148A-S</t>
        </is>
      </c>
      <c r="F6341" s="0" t="inlineStr">
        <is>
          <t>'000000000000</t>
        </is>
      </c>
      <c r="G6341" s="0" t="inlineStr">
        <is>
          <t>WOMENS</t>
        </is>
      </c>
      <c r="H6341" s="0" t="inlineStr">
        <is>
          <t>S</t>
        </is>
      </c>
      <c r="I6341" s="0">
        <v>44.99</v>
      </c>
      <c r="J6341" s="0">
        <v>53</v>
      </c>
    </row>
    <row r="6342" spans="1:10" customHeight="0">
      <c r="A6342" s="0">
        <f>HYPERLINK("https://dl.dropboxusercontent.com/scl/fi/sxmg9byz1wwqvx26dbvp9/adeline.jpg?rlkey=4lrmnr8k87flla190rf0eq44o&amp;dl=0","Click to download Image")</f>
      </c>
      <c r="C6342" s="0" t="inlineStr">
        <is>
          <t>Adeline Fringe Top</t>
        </is>
      </c>
      <c r="D6342" s="0" t="inlineStr">
        <is>
          <t>'97148</t>
        </is>
      </c>
      <c r="E6342" s="0" t="inlineStr">
        <is>
          <t>ADELINE:97148B-M</t>
        </is>
      </c>
      <c r="F6342" s="0" t="inlineStr">
        <is>
          <t>'000000000000</t>
        </is>
      </c>
      <c r="G6342" s="0" t="inlineStr">
        <is>
          <t>WOMENS</t>
        </is>
      </c>
      <c r="H6342" s="0" t="inlineStr">
        <is>
          <t>M</t>
        </is>
      </c>
      <c r="I6342" s="0">
        <v>44.99</v>
      </c>
      <c r="J6342" s="0">
        <v>73</v>
      </c>
    </row>
    <row r="6343" spans="1:10" customHeight="0">
      <c r="A6343" s="0">
        <f>HYPERLINK("https://dl.dropboxusercontent.com/scl/fi/sxmg9byz1wwqvx26dbvp9/adeline.jpg?rlkey=4lrmnr8k87flla190rf0eq44o&amp;dl=0","Click to download Image")</f>
      </c>
      <c r="C6343" s="0" t="inlineStr">
        <is>
          <t>Adeline Fringe Top</t>
        </is>
      </c>
      <c r="D6343" s="0" t="inlineStr">
        <is>
          <t>'97148</t>
        </is>
      </c>
      <c r="E6343" s="0" t="inlineStr">
        <is>
          <t>ADELINE:97148C-L</t>
        </is>
      </c>
      <c r="F6343" s="0" t="inlineStr">
        <is>
          <t>'000000000000</t>
        </is>
      </c>
      <c r="G6343" s="0" t="inlineStr">
        <is>
          <t>WOMENS</t>
        </is>
      </c>
      <c r="H6343" s="0" t="inlineStr">
        <is>
          <t>L</t>
        </is>
      </c>
      <c r="I6343" s="0">
        <v>44.99</v>
      </c>
      <c r="J6343" s="0">
        <v>140</v>
      </c>
    </row>
    <row r="6344" spans="1:10" customHeight="0">
      <c r="A6344" s="0">
        <f>HYPERLINK("https://dl.dropboxusercontent.com/scl/fi/sxmg9byz1wwqvx26dbvp9/adeline.jpg?rlkey=4lrmnr8k87flla190rf0eq44o&amp;dl=0","Click to download Image")</f>
      </c>
      <c r="C6344" s="0" t="inlineStr">
        <is>
          <t>Adeline Fringe Top</t>
        </is>
      </c>
      <c r="D6344" s="0" t="inlineStr">
        <is>
          <t>'97148</t>
        </is>
      </c>
      <c r="E6344" s="0" t="inlineStr">
        <is>
          <t>ADELINE:97148D-XL</t>
        </is>
      </c>
      <c r="F6344" s="0" t="inlineStr">
        <is>
          <t>'000000000000</t>
        </is>
      </c>
      <c r="G6344" s="0" t="inlineStr">
        <is>
          <t>WOMENS</t>
        </is>
      </c>
      <c r="H6344" s="0" t="inlineStr">
        <is>
          <t>XL</t>
        </is>
      </c>
      <c r="I6344" s="0">
        <v>44.99</v>
      </c>
      <c r="J6344" s="0">
        <v>144</v>
      </c>
    </row>
    <row r="6345" spans="1:10" customHeight="0">
      <c r="A6345" s="0">
        <f>HYPERLINK("https://dl.dropboxusercontent.com/scl/fi/sxmg9byz1wwqvx26dbvp9/adeline.jpg?rlkey=4lrmnr8k87flla190rf0eq44o&amp;dl=0","Click to download Image")</f>
      </c>
      <c r="C6345" s="0" t="inlineStr">
        <is>
          <t>Adeline Fringe Top</t>
        </is>
      </c>
      <c r="D6345" s="0" t="inlineStr">
        <is>
          <t>'97148</t>
        </is>
      </c>
      <c r="E6345" s="0" t="inlineStr">
        <is>
          <t>ADELINE:97148E-2XL</t>
        </is>
      </c>
      <c r="F6345" s="0" t="inlineStr">
        <is>
          <t>'000000000000</t>
        </is>
      </c>
      <c r="G6345" s="0" t="inlineStr">
        <is>
          <t>WOMENS</t>
        </is>
      </c>
      <c r="H6345" s="0" t="inlineStr">
        <is>
          <t>2XL</t>
        </is>
      </c>
      <c r="I6345" s="0">
        <v>46.99</v>
      </c>
      <c r="J6345" s="0">
        <v>54</v>
      </c>
    </row>
    <row r="6346" spans="1:10" customHeight="0">
      <c r="A6346" s="0">
        <f>HYPERLINK("https://dl.dropboxusercontent.com/scl/fi/41vgkju9v85yvq4hhu8ti/jace.jpg?rlkey=7jhwqdy9ka3e3ffd3y05csswp&amp;dl=0","Click to download Image")</f>
      </c>
      <c r="B6346" s="0">
        <f>HYPERLINK("https://dl.dropboxusercontent.com/scl/fi/c9l1x9fin4dxn7lm5amhk/mens-e-1.jpg?rlkey=ga2bqknvwbmgpfkqad9hotdr4&amp;dl=0","Click to download SizeChart")</f>
      </c>
      <c r="C6346" s="0" t="inlineStr">
        <is>
          <t>Jayden Men's Henley</t>
        </is>
      </c>
      <c r="D6346" s="0" t="inlineStr">
        <is>
          <t>'97030</t>
        </is>
      </c>
      <c r="E6346" s="0" t="inlineStr">
        <is>
          <t>JAYDEN:97030A-S</t>
        </is>
      </c>
      <c r="F6346" s="0" t="inlineStr">
        <is>
          <t>'000000000000</t>
        </is>
      </c>
      <c r="G6346" s="0" t="inlineStr">
        <is>
          <t>MENS</t>
        </is>
      </c>
      <c r="H6346" s="0" t="inlineStr">
        <is>
          <t>S</t>
        </is>
      </c>
      <c r="I6346" s="0">
        <v>44.99</v>
      </c>
      <c r="J6346" s="0">
        <v>30</v>
      </c>
    </row>
    <row r="6347" spans="1:10" customHeight="0">
      <c r="A6347" s="0">
        <f>HYPERLINK("https://dl.dropboxusercontent.com/scl/fi/41vgkju9v85yvq4hhu8ti/jace.jpg?rlkey=7jhwqdy9ka3e3ffd3y05csswp&amp;dl=0","Click to download Image")</f>
      </c>
      <c r="B6347" s="0">
        <f>HYPERLINK("https://dl.dropboxusercontent.com/scl/fi/c9l1x9fin4dxn7lm5amhk/mens-e-1.jpg?rlkey=ga2bqknvwbmgpfkqad9hotdr4&amp;dl=0","Click to download SizeChart")</f>
      </c>
      <c r="C6347" s="0" t="inlineStr">
        <is>
          <t>Jayden Men's Henley</t>
        </is>
      </c>
      <c r="D6347" s="0" t="inlineStr">
        <is>
          <t>'97030</t>
        </is>
      </c>
      <c r="E6347" s="0" t="inlineStr">
        <is>
          <t>JAYDEN:97030B-M</t>
        </is>
      </c>
      <c r="F6347" s="0" t="inlineStr">
        <is>
          <t>'000000000000</t>
        </is>
      </c>
      <c r="G6347" s="0" t="inlineStr">
        <is>
          <t>MENS</t>
        </is>
      </c>
      <c r="H6347" s="0" t="inlineStr">
        <is>
          <t>M</t>
        </is>
      </c>
      <c r="I6347" s="0">
        <v>44.99</v>
      </c>
      <c r="J6347" s="0">
        <v>50</v>
      </c>
    </row>
    <row r="6348" spans="1:10" customHeight="0">
      <c r="A6348" s="0">
        <f>HYPERLINK("https://dl.dropboxusercontent.com/scl/fi/41vgkju9v85yvq4hhu8ti/jace.jpg?rlkey=7jhwqdy9ka3e3ffd3y05csswp&amp;dl=0","Click to download Image")</f>
      </c>
      <c r="B6348" s="0">
        <f>HYPERLINK("https://dl.dropboxusercontent.com/scl/fi/c9l1x9fin4dxn7lm5amhk/mens-e-1.jpg?rlkey=ga2bqknvwbmgpfkqad9hotdr4&amp;dl=0","Click to download SizeChart")</f>
      </c>
      <c r="C6348" s="0" t="inlineStr">
        <is>
          <t>Jayden Men's Henley</t>
        </is>
      </c>
      <c r="D6348" s="0" t="inlineStr">
        <is>
          <t>'97030</t>
        </is>
      </c>
      <c r="E6348" s="0" t="inlineStr">
        <is>
          <t>JAYDEN:97030C-L</t>
        </is>
      </c>
      <c r="F6348" s="0" t="inlineStr">
        <is>
          <t>'000000000000</t>
        </is>
      </c>
      <c r="G6348" s="0" t="inlineStr">
        <is>
          <t>MENS</t>
        </is>
      </c>
      <c r="H6348" s="0" t="inlineStr">
        <is>
          <t>L</t>
        </is>
      </c>
      <c r="I6348" s="0">
        <v>44.99</v>
      </c>
      <c r="J6348" s="0">
        <v>86</v>
      </c>
    </row>
    <row r="6349" spans="1:10" customHeight="0">
      <c r="A6349" s="0">
        <f>HYPERLINK("https://dl.dropboxusercontent.com/scl/fi/41vgkju9v85yvq4hhu8ti/jace.jpg?rlkey=7jhwqdy9ka3e3ffd3y05csswp&amp;dl=0","Click to download Image")</f>
      </c>
      <c r="B6349" s="0">
        <f>HYPERLINK("https://dl.dropboxusercontent.com/scl/fi/c9l1x9fin4dxn7lm5amhk/mens-e-1.jpg?rlkey=ga2bqknvwbmgpfkqad9hotdr4&amp;dl=0","Click to download SizeChart")</f>
      </c>
      <c r="C6349" s="0" t="inlineStr">
        <is>
          <t>Jayden Men's Henley</t>
        </is>
      </c>
      <c r="D6349" s="0" t="inlineStr">
        <is>
          <t>'97030</t>
        </is>
      </c>
      <c r="E6349" s="0" t="inlineStr">
        <is>
          <t>JAYDEN:97030D-XL</t>
        </is>
      </c>
      <c r="F6349" s="0" t="inlineStr">
        <is>
          <t>'000000000000</t>
        </is>
      </c>
      <c r="G6349" s="0" t="inlineStr">
        <is>
          <t>MENS</t>
        </is>
      </c>
      <c r="H6349" s="0" t="inlineStr">
        <is>
          <t>XL</t>
        </is>
      </c>
      <c r="I6349" s="0">
        <v>44.99</v>
      </c>
      <c r="J6349" s="0">
        <v>76</v>
      </c>
    </row>
    <row r="6350" spans="1:10" customHeight="0">
      <c r="A6350" s="0">
        <f>HYPERLINK("https://dl.dropboxusercontent.com/scl/fi/41vgkju9v85yvq4hhu8ti/jace.jpg?rlkey=7jhwqdy9ka3e3ffd3y05csswp&amp;dl=0","Click to download Image")</f>
      </c>
      <c r="B6350" s="0">
        <f>HYPERLINK("https://dl.dropboxusercontent.com/scl/fi/c9l1x9fin4dxn7lm5amhk/mens-e-1.jpg?rlkey=ga2bqknvwbmgpfkqad9hotdr4&amp;dl=0","Click to download SizeChart")</f>
      </c>
      <c r="C6350" s="0" t="inlineStr">
        <is>
          <t>Jayden Men's Henley</t>
        </is>
      </c>
      <c r="D6350" s="0" t="inlineStr">
        <is>
          <t>'97030</t>
        </is>
      </c>
      <c r="E6350" s="0" t="inlineStr">
        <is>
          <t>JAYDEN:97030E-2XL</t>
        </is>
      </c>
      <c r="F6350" s="0" t="inlineStr">
        <is>
          <t>'000000000000</t>
        </is>
      </c>
      <c r="G6350" s="0" t="inlineStr">
        <is>
          <t>MENS</t>
        </is>
      </c>
      <c r="H6350" s="0" t="inlineStr">
        <is>
          <t>2XL</t>
        </is>
      </c>
      <c r="I6350" s="0">
        <v>46.99</v>
      </c>
      <c r="J6350" s="0">
        <v>47</v>
      </c>
    </row>
    <row r="6351" spans="1:10" customHeight="0">
      <c r="A6351" s="0">
        <f>HYPERLINK("https://dl.dropboxusercontent.com/scl/fi/41vgkju9v85yvq4hhu8ti/jace.jpg?rlkey=7jhwqdy9ka3e3ffd3y05csswp&amp;dl=0","Click to download Image")</f>
      </c>
      <c r="B6351" s="0">
        <f>HYPERLINK("https://dl.dropboxusercontent.com/scl/fi/c9l1x9fin4dxn7lm5amhk/mens-e-1.jpg?rlkey=ga2bqknvwbmgpfkqad9hotdr4&amp;dl=0","Click to download SizeChart")</f>
      </c>
      <c r="C6351" s="0" t="inlineStr">
        <is>
          <t>Jayden Men's Henley</t>
        </is>
      </c>
      <c r="D6351" s="0" t="inlineStr">
        <is>
          <t>'97030</t>
        </is>
      </c>
      <c r="E6351" s="0" t="inlineStr">
        <is>
          <t>JAYDEN:97030F-3XL</t>
        </is>
      </c>
      <c r="F6351" s="0" t="inlineStr">
        <is>
          <t>'000000000000</t>
        </is>
      </c>
      <c r="G6351" s="0" t="inlineStr">
        <is>
          <t>MENS</t>
        </is>
      </c>
      <c r="H6351" s="0" t="inlineStr">
        <is>
          <t>3XL</t>
        </is>
      </c>
      <c r="I6351" s="0">
        <v>46.99</v>
      </c>
      <c r="J6351" s="0">
        <v>22</v>
      </c>
    </row>
    <row r="6352" spans="1:10" customHeight="0">
      <c r="A6352" s="0">
        <f>HYPERLINK("https://dl.dropboxusercontent.com/scl/fi/0x4gojybcgw5qn5wgj2ml/brier.jpg?rlkey=5x66lcll12f8lzy2j38sgfiv0&amp;dl=0","Click to download Image")</f>
      </c>
      <c r="C6352" s="0" t="inlineStr">
        <is>
          <t>Brier Youth Long Sleeve</t>
        </is>
      </c>
      <c r="D6352" s="0" t="inlineStr">
        <is>
          <t>'98343</t>
        </is>
      </c>
      <c r="E6352" s="0" t="inlineStr">
        <is>
          <t>BRIER:98343A-S</t>
        </is>
      </c>
      <c r="F6352" s="0" t="inlineStr">
        <is>
          <t>'000000000000</t>
        </is>
      </c>
      <c r="G6352" s="0" t="inlineStr">
        <is>
          <t>YOUTH</t>
        </is>
      </c>
      <c r="H6352" s="0" t="inlineStr">
        <is>
          <t>YS</t>
        </is>
      </c>
      <c r="I6352" s="0">
        <v>32.99</v>
      </c>
      <c r="J6352" s="0">
        <v>49</v>
      </c>
    </row>
    <row r="6353" spans="1:10" customHeight="0">
      <c r="A6353" s="0">
        <f>HYPERLINK("https://dl.dropboxusercontent.com/scl/fi/0x4gojybcgw5qn5wgj2ml/brier.jpg?rlkey=5x66lcll12f8lzy2j38sgfiv0&amp;dl=0","Click to download Image")</f>
      </c>
      <c r="C6353" s="0" t="inlineStr">
        <is>
          <t>Brier Youth Long Sleeve</t>
        </is>
      </c>
      <c r="D6353" s="0" t="inlineStr">
        <is>
          <t>'98343</t>
        </is>
      </c>
      <c r="E6353" s="0" t="inlineStr">
        <is>
          <t>BRIER:98343B-M</t>
        </is>
      </c>
      <c r="F6353" s="0" t="inlineStr">
        <is>
          <t>'000000000000</t>
        </is>
      </c>
      <c r="G6353" s="0" t="inlineStr">
        <is>
          <t>YOUTH</t>
        </is>
      </c>
      <c r="H6353" s="0" t="inlineStr">
        <is>
          <t>YM</t>
        </is>
      </c>
      <c r="I6353" s="0">
        <v>32.99</v>
      </c>
      <c r="J6353" s="0">
        <v>41</v>
      </c>
    </row>
    <row r="6354" spans="1:10" customHeight="0">
      <c r="A6354" s="0">
        <f>HYPERLINK("https://dl.dropboxusercontent.com/scl/fi/0x4gojybcgw5qn5wgj2ml/brier.jpg?rlkey=5x66lcll12f8lzy2j38sgfiv0&amp;dl=0","Click to download Image")</f>
      </c>
      <c r="C6354" s="0" t="inlineStr">
        <is>
          <t>Brier Youth Long Sleeve</t>
        </is>
      </c>
      <c r="D6354" s="0" t="inlineStr">
        <is>
          <t>'98343</t>
        </is>
      </c>
      <c r="E6354" s="0" t="inlineStr">
        <is>
          <t>BRIER:98343C-L</t>
        </is>
      </c>
      <c r="F6354" s="0" t="inlineStr">
        <is>
          <t>'000000000000</t>
        </is>
      </c>
      <c r="G6354" s="0" t="inlineStr">
        <is>
          <t>YOUTH</t>
        </is>
      </c>
      <c r="H6354" s="0" t="inlineStr">
        <is>
          <t>YL</t>
        </is>
      </c>
      <c r="I6354" s="0">
        <v>32.99</v>
      </c>
      <c r="J6354" s="0">
        <v>40</v>
      </c>
    </row>
    <row r="6355" spans="1:10" customHeight="0">
      <c r="A6355" s="0">
        <f>HYPERLINK("https://dl.dropboxusercontent.com/scl/fi/0x4gojybcgw5qn5wgj2ml/brier.jpg?rlkey=5x66lcll12f8lzy2j38sgfiv0&amp;dl=0","Click to download Image")</f>
      </c>
      <c r="C6355" s="0" t="inlineStr">
        <is>
          <t>Brier Youth Long Sleeve</t>
        </is>
      </c>
      <c r="D6355" s="0" t="inlineStr">
        <is>
          <t>'98343</t>
        </is>
      </c>
      <c r="E6355" s="0" t="inlineStr">
        <is>
          <t>BRIER:98343D-XL</t>
        </is>
      </c>
      <c r="F6355" s="0" t="inlineStr">
        <is>
          <t>'000000000000</t>
        </is>
      </c>
      <c r="G6355" s="0" t="inlineStr">
        <is>
          <t>YOUTH</t>
        </is>
      </c>
      <c r="H6355" s="0" t="inlineStr">
        <is>
          <t>YXL</t>
        </is>
      </c>
      <c r="I6355" s="0">
        <v>32.99</v>
      </c>
      <c r="J6355" s="0">
        <v>51</v>
      </c>
    </row>
    <row r="6356" spans="1:10" customHeight="0">
      <c r="A6356" s="0">
        <f>HYPERLINK("https://dl.dropboxusercontent.com/scl/fi/zgpn4qy0ywsoawv8im268/keegan.jpg?rlkey=x2tjip60kktvg64ve2i2926mp&amp;dl=0","Click to download Image")</f>
      </c>
      <c r="B6356" s="0">
        <f>HYPERLINK("https://dl.dropboxusercontent.com/scl/fi/b55rfyplceykxldgxjnqt/size-chartyouth-f.jpg?rlkey=qwosub8xn2b6npcf0c77sks2q&amp;dl=0","Click to download SizeChart")</f>
      </c>
      <c r="C6356" s="0" t="inlineStr">
        <is>
          <t>Keegan Youth 3/4 Sleeve Shirt</t>
        </is>
      </c>
      <c r="D6356" s="0" t="inlineStr">
        <is>
          <t>'99832</t>
        </is>
      </c>
      <c r="E6356" s="0" t="inlineStr">
        <is>
          <t>KEEGAN:99832A-S</t>
        </is>
      </c>
      <c r="F6356" s="0" t="inlineStr">
        <is>
          <t>'000000000000</t>
        </is>
      </c>
      <c r="G6356" s="0" t="inlineStr">
        <is>
          <t>YOUTH</t>
        </is>
      </c>
      <c r="H6356" s="0" t="inlineStr">
        <is>
          <t>YS</t>
        </is>
      </c>
      <c r="I6356" s="0">
        <v>34.99</v>
      </c>
      <c r="J6356" s="0">
        <v>85</v>
      </c>
    </row>
    <row r="6357" spans="1:10" customHeight="0">
      <c r="A6357" s="0">
        <f>HYPERLINK("https://dl.dropboxusercontent.com/scl/fi/zgpn4qy0ywsoawv8im268/keegan.jpg?rlkey=x2tjip60kktvg64ve2i2926mp&amp;dl=0","Click to download Image")</f>
      </c>
      <c r="B6357" s="0">
        <f>HYPERLINK("https://dl.dropboxusercontent.com/scl/fi/b55rfyplceykxldgxjnqt/size-chartyouth-f.jpg?rlkey=qwosub8xn2b6npcf0c77sks2q&amp;dl=0","Click to download SizeChart")</f>
      </c>
      <c r="C6357" s="0" t="inlineStr">
        <is>
          <t>Keegan Youth 3/4 Sleeve Shirt</t>
        </is>
      </c>
      <c r="D6357" s="0" t="inlineStr">
        <is>
          <t>'99832</t>
        </is>
      </c>
      <c r="E6357" s="0" t="inlineStr">
        <is>
          <t>KEEGAN:99832B-M</t>
        </is>
      </c>
      <c r="F6357" s="0" t="inlineStr">
        <is>
          <t>'000000000000</t>
        </is>
      </c>
      <c r="G6357" s="0" t="inlineStr">
        <is>
          <t>YOUTH</t>
        </is>
      </c>
      <c r="H6357" s="0" t="inlineStr">
        <is>
          <t>YM</t>
        </is>
      </c>
      <c r="I6357" s="0">
        <v>34.99</v>
      </c>
      <c r="J6357" s="0">
        <v>87</v>
      </c>
    </row>
    <row r="6358" spans="1:10" customHeight="0">
      <c r="A6358" s="0">
        <f>HYPERLINK("https://dl.dropboxusercontent.com/scl/fi/zgpn4qy0ywsoawv8im268/keegan.jpg?rlkey=x2tjip60kktvg64ve2i2926mp&amp;dl=0","Click to download Image")</f>
      </c>
      <c r="B6358" s="0">
        <f>HYPERLINK("https://dl.dropboxusercontent.com/scl/fi/b55rfyplceykxldgxjnqt/size-chartyouth-f.jpg?rlkey=qwosub8xn2b6npcf0c77sks2q&amp;dl=0","Click to download SizeChart")</f>
      </c>
      <c r="C6358" s="0" t="inlineStr">
        <is>
          <t>Keegan Youth 3/4 Sleeve Shirt</t>
        </is>
      </c>
      <c r="D6358" s="0" t="inlineStr">
        <is>
          <t>'99832</t>
        </is>
      </c>
      <c r="E6358" s="0" t="inlineStr">
        <is>
          <t>KEEGAN:99832C-L</t>
        </is>
      </c>
      <c r="F6358" s="0" t="inlineStr">
        <is>
          <t>'000000000000</t>
        </is>
      </c>
      <c r="G6358" s="0" t="inlineStr">
        <is>
          <t>YOUTH</t>
        </is>
      </c>
      <c r="H6358" s="0" t="inlineStr">
        <is>
          <t>YL</t>
        </is>
      </c>
      <c r="I6358" s="0">
        <v>34.99</v>
      </c>
      <c r="J6358" s="0">
        <v>94</v>
      </c>
    </row>
    <row r="6359" spans="1:10" customHeight="0">
      <c r="A6359" s="0">
        <f>HYPERLINK("https://dl.dropboxusercontent.com/scl/fi/zgpn4qy0ywsoawv8im268/keegan.jpg?rlkey=x2tjip60kktvg64ve2i2926mp&amp;dl=0","Click to download Image")</f>
      </c>
      <c r="B6359" s="0">
        <f>HYPERLINK("https://dl.dropboxusercontent.com/scl/fi/b55rfyplceykxldgxjnqt/size-chartyouth-f.jpg?rlkey=qwosub8xn2b6npcf0c77sks2q&amp;dl=0","Click to download SizeChart")</f>
      </c>
      <c r="C6359" s="0" t="inlineStr">
        <is>
          <t>Keegan Youth 3/4 Sleeve Shirt</t>
        </is>
      </c>
      <c r="D6359" s="0" t="inlineStr">
        <is>
          <t>'99832</t>
        </is>
      </c>
      <c r="E6359" s="0" t="inlineStr">
        <is>
          <t>KEEGAN:99832D-XL</t>
        </is>
      </c>
      <c r="F6359" s="0" t="inlineStr">
        <is>
          <t>'000000000000</t>
        </is>
      </c>
      <c r="G6359" s="0" t="inlineStr">
        <is>
          <t>YOUTH</t>
        </is>
      </c>
      <c r="H6359" s="0" t="inlineStr">
        <is>
          <t>YXL</t>
        </is>
      </c>
      <c r="I6359" s="0">
        <v>34.99</v>
      </c>
      <c r="J6359" s="0">
        <v>96</v>
      </c>
    </row>
    <row r="6360" spans="1:10" customHeight="0">
      <c r="A6360" s="0">
        <f>HYPERLINK("https://dl.dropboxusercontent.com/scl/fi/qpufr2t4jxm7lqkikkcgm/dasht.jpg?rlkey=bwzdbcc92hboezqvxwg6tivu8&amp;dl=0","Click to download Image")</f>
      </c>
      <c r="B6360" s="0">
        <f>HYPERLINK("https://dl.dropboxusercontent.com/scl/fi/18ljhg3dlvbqipll6155w/size-chart-ladies-k.jpg?rlkey=d6wn2h20pjzwp4xdk83fnktjp&amp;dl=0","Click to download SizeChart")</f>
      </c>
      <c r="C6360" s="0" t="inlineStr">
        <is>
          <t>Dash Women's Athletic Shorts</t>
        </is>
      </c>
      <c r="D6360" s="0" t="inlineStr">
        <is>
          <t>'94521</t>
        </is>
      </c>
      <c r="E6360" s="0" t="inlineStr">
        <is>
          <t>DASH SHORTS:94521A-S</t>
        </is>
      </c>
      <c r="F6360" s="0" t="inlineStr">
        <is>
          <t>'000000000000</t>
        </is>
      </c>
      <c r="G6360" s="0" t="inlineStr">
        <is>
          <t>WOMENS</t>
        </is>
      </c>
      <c r="H6360" s="0" t="inlineStr">
        <is>
          <t>S</t>
        </is>
      </c>
      <c r="I6360" s="0">
        <v>22.99</v>
      </c>
      <c r="J6360" s="0">
        <v>5</v>
      </c>
    </row>
    <row r="6361" spans="1:10" customHeight="0">
      <c r="A6361" s="0">
        <f>HYPERLINK("https://dl.dropboxusercontent.com/scl/fi/qpufr2t4jxm7lqkikkcgm/dasht.jpg?rlkey=bwzdbcc92hboezqvxwg6tivu8&amp;dl=0","Click to download Image")</f>
      </c>
      <c r="B6361" s="0">
        <f>HYPERLINK("https://dl.dropboxusercontent.com/scl/fi/18ljhg3dlvbqipll6155w/size-chart-ladies-k.jpg?rlkey=d6wn2h20pjzwp4xdk83fnktjp&amp;dl=0","Click to download SizeChart")</f>
      </c>
      <c r="C6361" s="0" t="inlineStr">
        <is>
          <t>Dash Women's Athletic Shorts</t>
        </is>
      </c>
      <c r="D6361" s="0" t="inlineStr">
        <is>
          <t>'94521</t>
        </is>
      </c>
      <c r="E6361" s="0" t="inlineStr">
        <is>
          <t>DASH SHORTS:94521B-M</t>
        </is>
      </c>
      <c r="F6361" s="0" t="inlineStr">
        <is>
          <t>'000000000000</t>
        </is>
      </c>
      <c r="G6361" s="0" t="inlineStr">
        <is>
          <t>WOMENS</t>
        </is>
      </c>
      <c r="H6361" s="0" t="inlineStr">
        <is>
          <t>M</t>
        </is>
      </c>
      <c r="I6361" s="0">
        <v>22.99</v>
      </c>
      <c r="J6361" s="0">
        <v>15</v>
      </c>
    </row>
    <row r="6362" spans="1:10" customHeight="0">
      <c r="A6362" s="0">
        <f>HYPERLINK("https://dl.dropboxusercontent.com/scl/fi/qpufr2t4jxm7lqkikkcgm/dasht.jpg?rlkey=bwzdbcc92hboezqvxwg6tivu8&amp;dl=0","Click to download Image")</f>
      </c>
      <c r="B6362" s="0">
        <f>HYPERLINK("https://dl.dropboxusercontent.com/scl/fi/18ljhg3dlvbqipll6155w/size-chart-ladies-k.jpg?rlkey=d6wn2h20pjzwp4xdk83fnktjp&amp;dl=0","Click to download SizeChart")</f>
      </c>
      <c r="C6362" s="0" t="inlineStr">
        <is>
          <t>Dash Women's Athletic Shorts</t>
        </is>
      </c>
      <c r="D6362" s="0" t="inlineStr">
        <is>
          <t>'94521</t>
        </is>
      </c>
      <c r="E6362" s="0" t="inlineStr">
        <is>
          <t>DASH SHORTS:94521C-L</t>
        </is>
      </c>
      <c r="F6362" s="0" t="inlineStr">
        <is>
          <t>'000000000000</t>
        </is>
      </c>
      <c r="G6362" s="0" t="inlineStr">
        <is>
          <t>WOMENS</t>
        </is>
      </c>
      <c r="H6362" s="0" t="inlineStr">
        <is>
          <t>L</t>
        </is>
      </c>
      <c r="I6362" s="0">
        <v>22.99</v>
      </c>
      <c r="J6362" s="0">
        <v>66</v>
      </c>
    </row>
    <row r="6363" spans="1:10" customHeight="0">
      <c r="A6363" s="0">
        <f>HYPERLINK("https://dl.dropboxusercontent.com/scl/fi/qpufr2t4jxm7lqkikkcgm/dasht.jpg?rlkey=bwzdbcc92hboezqvxwg6tivu8&amp;dl=0","Click to download Image")</f>
      </c>
      <c r="B6363" s="0">
        <f>HYPERLINK("https://dl.dropboxusercontent.com/scl/fi/18ljhg3dlvbqipll6155w/size-chart-ladies-k.jpg?rlkey=d6wn2h20pjzwp4xdk83fnktjp&amp;dl=0","Click to download SizeChart")</f>
      </c>
      <c r="C6363" s="0" t="inlineStr">
        <is>
          <t>Dash Women's Athletic Shorts</t>
        </is>
      </c>
      <c r="D6363" s="0" t="inlineStr">
        <is>
          <t>'94521</t>
        </is>
      </c>
      <c r="E6363" s="0" t="inlineStr">
        <is>
          <t>DASH SHORTS:94521D-XL</t>
        </is>
      </c>
      <c r="F6363" s="0" t="inlineStr">
        <is>
          <t>'000000000000</t>
        </is>
      </c>
      <c r="G6363" s="0" t="inlineStr">
        <is>
          <t>WOMENS</t>
        </is>
      </c>
      <c r="H6363" s="0" t="inlineStr">
        <is>
          <t>XL</t>
        </is>
      </c>
      <c r="I6363" s="0">
        <v>22.99</v>
      </c>
      <c r="J6363" s="0">
        <v>87</v>
      </c>
    </row>
    <row r="6364" spans="1:10" customHeight="0">
      <c r="A6364" s="0">
        <f>HYPERLINK("https://dl.dropboxusercontent.com/scl/fi/qpufr2t4jxm7lqkikkcgm/dasht.jpg?rlkey=bwzdbcc92hboezqvxwg6tivu8&amp;dl=0","Click to download Image")</f>
      </c>
      <c r="B6364" s="0">
        <f>HYPERLINK("https://dl.dropboxusercontent.com/scl/fi/18ljhg3dlvbqipll6155w/size-chart-ladies-k.jpg?rlkey=d6wn2h20pjzwp4xdk83fnktjp&amp;dl=0","Click to download SizeChart")</f>
      </c>
      <c r="C6364" s="0" t="inlineStr">
        <is>
          <t>Dash Women's Athletic Shorts</t>
        </is>
      </c>
      <c r="D6364" s="0" t="inlineStr">
        <is>
          <t>'94521</t>
        </is>
      </c>
      <c r="E6364" s="0" t="inlineStr">
        <is>
          <t>DASH SHORTS:94521E-2XL</t>
        </is>
      </c>
      <c r="F6364" s="0" t="inlineStr">
        <is>
          <t>'000000000000</t>
        </is>
      </c>
      <c r="G6364" s="0" t="inlineStr">
        <is>
          <t>WOMENS</t>
        </is>
      </c>
      <c r="H6364" s="0" t="inlineStr">
        <is>
          <t>2XL</t>
        </is>
      </c>
      <c r="I6364" s="0">
        <v>24.99</v>
      </c>
      <c r="J6364" s="0">
        <v>16</v>
      </c>
    </row>
    <row r="6365" spans="1:10" customHeight="0">
      <c r="A6365" s="0">
        <f>HYPERLINK("https://dl.dropboxusercontent.com/scl/fi/8vxijqm5wtan7dwt6w9xw/intensityt.jpg?rlkey=uaml2mctjlyrb5fq8lyzwouqy&amp;dl=0","Click to download Image")</f>
      </c>
      <c r="B6365" s="0">
        <f>HYPERLINK("https://dl.dropboxusercontent.com/scl/fi/kp73s412nftp6yonzvtf4/size-chart-ladies-k.jpg?rlkey=biggwau0xayno3ykx6qzw72i3&amp;dl=0","Click to download SizeChart")</f>
      </c>
      <c r="C6365" s="0" t="inlineStr">
        <is>
          <t>Intensity Women's Athletic Shorts</t>
        </is>
      </c>
      <c r="D6365" s="0" t="inlineStr">
        <is>
          <t>'94566</t>
        </is>
      </c>
      <c r="E6365" s="0" t="inlineStr">
        <is>
          <t>INTENSITY SHORTS:94566A-S</t>
        </is>
      </c>
      <c r="F6365" s="0" t="inlineStr">
        <is>
          <t>'000000000000</t>
        </is>
      </c>
      <c r="G6365" s="0" t="inlineStr">
        <is>
          <t>WOMENS</t>
        </is>
      </c>
      <c r="H6365" s="0" t="inlineStr">
        <is>
          <t>S</t>
        </is>
      </c>
      <c r="I6365" s="0">
        <v>22.99</v>
      </c>
      <c r="J6365" s="0">
        <v>14</v>
      </c>
    </row>
    <row r="6366" spans="1:10" customHeight="0">
      <c r="A6366" s="0">
        <f>HYPERLINK("https://dl.dropboxusercontent.com/scl/fi/8vxijqm5wtan7dwt6w9xw/intensityt.jpg?rlkey=uaml2mctjlyrb5fq8lyzwouqy&amp;dl=0","Click to download Image")</f>
      </c>
      <c r="B6366" s="0">
        <f>HYPERLINK("https://dl.dropboxusercontent.com/scl/fi/kp73s412nftp6yonzvtf4/size-chart-ladies-k.jpg?rlkey=biggwau0xayno3ykx6qzw72i3&amp;dl=0","Click to download SizeChart")</f>
      </c>
      <c r="C6366" s="0" t="inlineStr">
        <is>
          <t>Intensity Women's Athletic Shorts</t>
        </is>
      </c>
      <c r="D6366" s="0" t="inlineStr">
        <is>
          <t>'94566</t>
        </is>
      </c>
      <c r="E6366" s="0" t="inlineStr">
        <is>
          <t>INTENSITY SHORTS:94566B-M</t>
        </is>
      </c>
      <c r="F6366" s="0" t="inlineStr">
        <is>
          <t>'000000000000</t>
        </is>
      </c>
      <c r="G6366" s="0" t="inlineStr">
        <is>
          <t>WOMENS</t>
        </is>
      </c>
      <c r="H6366" s="0" t="inlineStr">
        <is>
          <t>M</t>
        </is>
      </c>
      <c r="I6366" s="0">
        <v>22.99</v>
      </c>
      <c r="J6366" s="0">
        <v>21</v>
      </c>
    </row>
    <row r="6367" spans="1:10" customHeight="0">
      <c r="A6367" s="0">
        <f>HYPERLINK("https://dl.dropboxusercontent.com/scl/fi/8vxijqm5wtan7dwt6w9xw/intensityt.jpg?rlkey=uaml2mctjlyrb5fq8lyzwouqy&amp;dl=0","Click to download Image")</f>
      </c>
      <c r="B6367" s="0">
        <f>HYPERLINK("https://dl.dropboxusercontent.com/scl/fi/kp73s412nftp6yonzvtf4/size-chart-ladies-k.jpg?rlkey=biggwau0xayno3ykx6qzw72i3&amp;dl=0","Click to download SizeChart")</f>
      </c>
      <c r="C6367" s="0" t="inlineStr">
        <is>
          <t>Intensity Women's Athletic Shorts</t>
        </is>
      </c>
      <c r="D6367" s="0" t="inlineStr">
        <is>
          <t>'94566</t>
        </is>
      </c>
      <c r="E6367" s="0" t="inlineStr">
        <is>
          <t>INTENSITY SHORTS:94566C-L</t>
        </is>
      </c>
      <c r="F6367" s="0" t="inlineStr">
        <is>
          <t>'000000000000</t>
        </is>
      </c>
      <c r="G6367" s="0" t="inlineStr">
        <is>
          <t>WOMENS</t>
        </is>
      </c>
      <c r="H6367" s="0" t="inlineStr">
        <is>
          <t>L</t>
        </is>
      </c>
      <c r="I6367" s="0">
        <v>22.99</v>
      </c>
      <c r="J6367" s="0">
        <v>102</v>
      </c>
    </row>
    <row r="6368" spans="1:10" customHeight="0">
      <c r="A6368" s="0">
        <f>HYPERLINK("https://dl.dropboxusercontent.com/scl/fi/8vxijqm5wtan7dwt6w9xw/intensityt.jpg?rlkey=uaml2mctjlyrb5fq8lyzwouqy&amp;dl=0","Click to download Image")</f>
      </c>
      <c r="B6368" s="0">
        <f>HYPERLINK("https://dl.dropboxusercontent.com/scl/fi/kp73s412nftp6yonzvtf4/size-chart-ladies-k.jpg?rlkey=biggwau0xayno3ykx6qzw72i3&amp;dl=0","Click to download SizeChart")</f>
      </c>
      <c r="C6368" s="0" t="inlineStr">
        <is>
          <t>Intensity Women's Athletic Shorts</t>
        </is>
      </c>
      <c r="D6368" s="0" t="inlineStr">
        <is>
          <t>'94566</t>
        </is>
      </c>
      <c r="E6368" s="0" t="inlineStr">
        <is>
          <t>INTENSITY SHORTS:94566D-XL</t>
        </is>
      </c>
      <c r="F6368" s="0" t="inlineStr">
        <is>
          <t>'000000000000</t>
        </is>
      </c>
      <c r="G6368" s="0" t="inlineStr">
        <is>
          <t>WOMENS</t>
        </is>
      </c>
      <c r="H6368" s="0" t="inlineStr">
        <is>
          <t>XL</t>
        </is>
      </c>
      <c r="I6368" s="0">
        <v>22.99</v>
      </c>
      <c r="J6368" s="0">
        <v>108</v>
      </c>
    </row>
    <row r="6369" spans="1:10" customHeight="0">
      <c r="A6369" s="0">
        <f>HYPERLINK("https://dl.dropboxusercontent.com/scl/fi/8vxijqm5wtan7dwt6w9xw/intensityt.jpg?rlkey=uaml2mctjlyrb5fq8lyzwouqy&amp;dl=0","Click to download Image")</f>
      </c>
      <c r="B6369" s="0">
        <f>HYPERLINK("https://dl.dropboxusercontent.com/scl/fi/kp73s412nftp6yonzvtf4/size-chart-ladies-k.jpg?rlkey=biggwau0xayno3ykx6qzw72i3&amp;dl=0","Click to download SizeChart")</f>
      </c>
      <c r="C6369" s="0" t="inlineStr">
        <is>
          <t>Intensity Women's Athletic Shorts</t>
        </is>
      </c>
      <c r="D6369" s="0" t="inlineStr">
        <is>
          <t>'94566</t>
        </is>
      </c>
      <c r="E6369" s="0" t="inlineStr">
        <is>
          <t>INTENSITY SHORTS:94566E-2XL</t>
        </is>
      </c>
      <c r="F6369" s="0" t="inlineStr">
        <is>
          <t>'000000000000</t>
        </is>
      </c>
      <c r="G6369" s="0" t="inlineStr">
        <is>
          <t>WOMENS</t>
        </is>
      </c>
      <c r="H6369" s="0" t="inlineStr">
        <is>
          <t>2XL</t>
        </is>
      </c>
      <c r="I6369" s="0">
        <v>24.99</v>
      </c>
      <c r="J6369" s="0">
        <v>40</v>
      </c>
    </row>
    <row r="6370" spans="1:10" customHeight="0">
      <c r="A6370" s="0">
        <f>HYPERLINK("https://dl.dropboxusercontent.com/scl/fi/nbazryjghqtu0t9n9pa7y/1st-sublimation.jpg?rlkey=y4f4b9rjacvo0rkiie08c3p1p&amp;dl=0","Click to download Image")</f>
      </c>
      <c r="C6370" s="0" t="inlineStr">
        <is>
          <t>Printed Reusable Face Mask 6pk</t>
        </is>
      </c>
      <c r="D6370" s="0" t="inlineStr">
        <is>
          <t>'118185PK</t>
        </is>
      </c>
      <c r="E6370" s="0" t="inlineStr">
        <is>
          <t>ISU FACEMASK: 118185PK</t>
        </is>
      </c>
      <c r="F6370" s="0" t="inlineStr">
        <is>
          <t>'000000000000</t>
        </is>
      </c>
      <c r="I6370" s="0">
        <v>59.99</v>
      </c>
      <c r="J6370" s="0">
        <v>192</v>
      </c>
    </row>
    <row r="6371" spans="1:10" customHeight="0">
      <c r="A6371" s="0">
        <f>HYPERLINK("https://dl.dropboxusercontent.com/scl/fi/yiv1s5wj3ldig1usyvtib/uniall42338.jpg?rlkey=2b68pl6td3qgww8kaleznhpdu&amp;dl=0","Click to download Image")</f>
      </c>
      <c r="C6371" s="0" t="inlineStr">
        <is>
          <t>Printed Reusable Face Mask 6pk</t>
        </is>
      </c>
      <c r="D6371" s="0" t="inlineStr">
        <is>
          <t>'118186PK</t>
        </is>
      </c>
      <c r="E6371" s="0" t="inlineStr">
        <is>
          <t>UNI FACEMASK: 118186PK</t>
        </is>
      </c>
      <c r="F6371" s="0" t="inlineStr">
        <is>
          <t>'000000000000</t>
        </is>
      </c>
      <c r="I6371" s="0">
        <v>59.99</v>
      </c>
      <c r="J6371" s="0">
        <v>880</v>
      </c>
    </row>
    <row r="6372" spans="1:10" customHeight="0">
      <c r="A6372" s="0">
        <f>HYPERLINK("https://dl.dropboxusercontent.com/scl/fi/y44ghwkinued0uf8lj050/masks.jpg?rlkey=69snqijeiyeqvp0qe4rzvfntu&amp;dl=0","Click to download Image")</f>
      </c>
      <c r="C6372" s="0" t="inlineStr">
        <is>
          <t>Printed Reusable Face Mask 6pk</t>
        </is>
      </c>
      <c r="D6372" s="0" t="inlineStr">
        <is>
          <t>'119404PK</t>
        </is>
      </c>
      <c r="E6372" s="0" t="inlineStr">
        <is>
          <t>NDSU MASK:119404PK</t>
        </is>
      </c>
      <c r="F6372" s="0" t="inlineStr">
        <is>
          <t>'000000000000</t>
        </is>
      </c>
      <c r="I6372" s="0">
        <v>59.99</v>
      </c>
      <c r="J6372" s="0">
        <v>1376</v>
      </c>
    </row>
    <row r="6373" spans="1:10" customHeight="0">
      <c r="A6373" s="0">
        <f>HYPERLINK("https://dl.dropboxusercontent.com/scl/fi/u52juojjgd17wq7nlviz7/masks.jpg?rlkey=30yb2afkinxc7r7u3ii6x2rsb&amp;dl=0","Click to download Image")</f>
      </c>
      <c r="C6373" s="0" t="inlineStr">
        <is>
          <t>Printed Reusable Face Mask 6pk</t>
        </is>
      </c>
      <c r="D6373" s="0" t="inlineStr">
        <is>
          <t>'119152PK</t>
        </is>
      </c>
      <c r="E6373" s="0" t="inlineStr">
        <is>
          <t>KSU MASK:119152PK</t>
        </is>
      </c>
      <c r="F6373" s="0" t="inlineStr">
        <is>
          <t>'000000000000</t>
        </is>
      </c>
      <c r="I6373" s="0">
        <v>59.99</v>
      </c>
      <c r="J6373" s="0">
        <v>536</v>
      </c>
    </row>
    <row r="6374" spans="1:10" customHeight="0">
      <c r="A6374" s="0">
        <f>HYPERLINK("https://dl.dropboxusercontent.com/scl/fi/my5xv7pj7eztzyqo71oc6/masks.jpg?rlkey=a9t2ht8bdi2u8obb6yltrali7&amp;dl=0","Click to download Image")</f>
      </c>
      <c r="C6374" s="0" t="inlineStr">
        <is>
          <t>Printed Reusable Face Mask 6pk</t>
        </is>
      </c>
      <c r="D6374" s="0" t="inlineStr">
        <is>
          <t>'119344PK</t>
        </is>
      </c>
      <c r="E6374" s="0" t="inlineStr">
        <is>
          <t>WICHITA MASK:119344PK</t>
        </is>
      </c>
      <c r="F6374" s="0" t="inlineStr">
        <is>
          <t>'000000000000</t>
        </is>
      </c>
      <c r="I6374" s="0">
        <v>59.99</v>
      </c>
      <c r="J6374" s="0">
        <v>1144</v>
      </c>
    </row>
    <row r="6375" spans="1:10" customHeight="0">
      <c r="A6375" s="0">
        <f>HYPERLINK("https://dl.dropboxusercontent.com/scl/fi/bpza8425nfan9t3v8lqeq/masks.jpg?rlkey=a08hbrweoxuhwj0h40416bojb&amp;dl=0","Click to download Image")</f>
      </c>
      <c r="C6375" s="0" t="inlineStr">
        <is>
          <t>Printed Reusable Face Mask 6pk</t>
        </is>
      </c>
      <c r="D6375" s="0" t="inlineStr">
        <is>
          <t>'119519PK</t>
        </is>
      </c>
      <c r="E6375" s="0" t="inlineStr">
        <is>
          <t>CREIGHTON MASK:119519PK</t>
        </is>
      </c>
      <c r="F6375" s="0" t="inlineStr">
        <is>
          <t>'000000000000</t>
        </is>
      </c>
      <c r="I6375" s="0">
        <v>59.99</v>
      </c>
      <c r="J6375" s="0">
        <v>1136</v>
      </c>
    </row>
    <row r="6376" spans="1:10" customHeight="0">
      <c r="A6376" s="0">
        <f>HYPERLINK("https://dl.dropboxusercontent.com/scl/fi/582i9gqdf2ql1kwke0xw6/masks.jpg?rlkey=3bqrr192i5m65a4wdggz2lmdj&amp;dl=0","Click to download Image")</f>
      </c>
      <c r="C6376" s="0" t="inlineStr">
        <is>
          <t>Printed Reusable Face Mask 6pk</t>
        </is>
      </c>
      <c r="D6376" s="0" t="inlineStr">
        <is>
          <t>'119343PK</t>
        </is>
      </c>
      <c r="E6376" s="0" t="inlineStr">
        <is>
          <t>MISSOURI MASK:119343PK</t>
        </is>
      </c>
      <c r="F6376" s="0" t="inlineStr">
        <is>
          <t>'000000000000</t>
        </is>
      </c>
      <c r="I6376" s="0">
        <v>59.99</v>
      </c>
      <c r="J6376" s="0">
        <v>1072</v>
      </c>
    </row>
    <row r="6377" spans="1:10" customHeight="0">
      <c r="A6377" s="0">
        <f>HYPERLINK("https://dl.dropboxusercontent.com/scl/fi/k99oqzanrytdee7ch1u0e/masks.jpg?rlkey=dd22p3zqoomyg7c3x92lzadss&amp;dl=0","Click to download Image")</f>
      </c>
      <c r="C6377" s="0" t="inlineStr">
        <is>
          <t>Printed Reusable Face Mask 6pk</t>
        </is>
      </c>
      <c r="D6377" s="0" t="inlineStr">
        <is>
          <t>'119523PK</t>
        </is>
      </c>
      <c r="E6377" s="0" t="inlineStr">
        <is>
          <t>INDIANA MASK:119523PK</t>
        </is>
      </c>
      <c r="F6377" s="0" t="inlineStr">
        <is>
          <t>'000000000000</t>
        </is>
      </c>
      <c r="I6377" s="0">
        <v>59.99</v>
      </c>
      <c r="J6377" s="0">
        <v>1208</v>
      </c>
    </row>
    <row r="6378" spans="1:10" customHeight="0">
      <c r="A6378" s="0">
        <f>HYPERLINK("https://dl.dropboxusercontent.com/scl/fi/l4a0e5e404qrdf6mw8fnk/masks.jpg?rlkey=pmpd6vfizf06sa17cmeapsnii&amp;dl=0","Click to download Image")</f>
      </c>
      <c r="C6378" s="0" t="inlineStr">
        <is>
          <t>Printed Reusable Face Mask 6pk</t>
        </is>
      </c>
      <c r="D6378" s="0" t="inlineStr">
        <is>
          <t>'119524PK</t>
        </is>
      </c>
      <c r="E6378" s="0" t="inlineStr">
        <is>
          <t>PURDUE MASK:119524PK</t>
        </is>
      </c>
      <c r="F6378" s="0" t="inlineStr">
        <is>
          <t>'000000000000</t>
        </is>
      </c>
      <c r="I6378" s="0">
        <v>59.99</v>
      </c>
      <c r="J6378" s="0">
        <v>1344</v>
      </c>
    </row>
    <row r="6379" spans="1:10" customHeight="0">
      <c r="A6379" s="0">
        <f>HYPERLINK("https://dl.dropboxusercontent.com/scl/fi/rj84oqc9mdb2xoxyrtae3/masks.jpg?rlkey=94il013b6mfzuip7mm2ij90ke&amp;dl=0","Click to download Image")</f>
      </c>
      <c r="C6379" s="0" t="inlineStr">
        <is>
          <t>Printed Reusable Face Mask 6pk</t>
        </is>
      </c>
      <c r="D6379" s="0" t="inlineStr">
        <is>
          <t>'119522PK</t>
        </is>
      </c>
      <c r="E6379" s="0" t="inlineStr">
        <is>
          <t>SDSU MASK:119522PK</t>
        </is>
      </c>
      <c r="F6379" s="0" t="inlineStr">
        <is>
          <t>'000000000000</t>
        </is>
      </c>
      <c r="I6379" s="0">
        <v>59.99</v>
      </c>
      <c r="J6379" s="0">
        <v>1024</v>
      </c>
    </row>
    <row r="6380" spans="1:10" customHeight="0">
      <c r="A6380" s="0">
        <f>HYPERLINK("https://dl.dropboxusercontent.com/scl/fi/bfpsvplf1kwmh1caqfmjj/masks.jpg?rlkey=2rzbjr5065fvcfowz868xmh3v&amp;dl=0","Click to download Image")</f>
      </c>
      <c r="C6380" s="0" t="inlineStr">
        <is>
          <t>Printed Reusable Face Mask 6pk</t>
        </is>
      </c>
      <c r="D6380" s="0" t="inlineStr">
        <is>
          <t>'119516PK</t>
        </is>
      </c>
      <c r="E6380" s="0" t="inlineStr">
        <is>
          <t>UNO MASK:119516PK</t>
        </is>
      </c>
      <c r="F6380" s="0" t="inlineStr">
        <is>
          <t>'000000000000</t>
        </is>
      </c>
      <c r="I6380" s="0">
        <v>59.99</v>
      </c>
      <c r="J6380" s="0">
        <v>992</v>
      </c>
    </row>
    <row r="6381" spans="1:10" customHeight="0">
      <c r="A6381" s="0">
        <f>HYPERLINK("https://dl.dropboxusercontent.com/scl/fi/67ybm2q6yyj6bn37gr2kl/masks.jpg?rlkey=3obwc8b3yjwhzpfjengjbjgh8&amp;dl=0","Click to download Image")</f>
      </c>
      <c r="C6381" s="0" t="inlineStr">
        <is>
          <t>Printed Reusable Face Mask 6pk</t>
        </is>
      </c>
      <c r="D6381" s="0" t="inlineStr">
        <is>
          <t>'119517PK</t>
        </is>
      </c>
      <c r="E6381" s="0" t="inlineStr">
        <is>
          <t>USD MASK:119517PK</t>
        </is>
      </c>
      <c r="F6381" s="0" t="inlineStr">
        <is>
          <t>'000000000000</t>
        </is>
      </c>
      <c r="I6381" s="0">
        <v>59.99</v>
      </c>
      <c r="J6381" s="0">
        <v>640</v>
      </c>
    </row>
    <row r="6382" spans="1:10" customHeight="0">
      <c r="A6382" s="0">
        <f>HYPERLINK("https://dl.dropboxusercontent.com/scl/fi/jie6v9mgfwf5f1cz9fpx8/masks.jpg?rlkey=srvo19seblc51h80ji6ddz9me&amp;dl=0","Click to download Image")</f>
      </c>
      <c r="C6382" s="0" t="inlineStr">
        <is>
          <t>Printed Reusable Face Mask 6pk</t>
        </is>
      </c>
      <c r="D6382" s="0" t="inlineStr">
        <is>
          <t>'119520PK</t>
        </is>
      </c>
      <c r="E6382" s="0" t="inlineStr">
        <is>
          <t>UWY MASK:119520PK</t>
        </is>
      </c>
      <c r="F6382" s="0" t="inlineStr">
        <is>
          <t>'000000000000</t>
        </is>
      </c>
      <c r="I6382" s="0">
        <v>59.99</v>
      </c>
      <c r="J6382" s="0">
        <v>192</v>
      </c>
    </row>
    <row r="6383" spans="1:10" customHeight="0">
      <c r="A6383" s="0">
        <f>HYPERLINK("https://dl.dropboxusercontent.com/scl/fi/xczech9tmjr1l92g0f658/2nd-sublimation.jpg?rlkey=wf9ndcp6q42nhuiqngidt0497&amp;dl=0","Click to download Image")</f>
      </c>
      <c r="C6383" s="0" t="inlineStr">
        <is>
          <t>Printed Reusable Face Mask 6pk</t>
        </is>
      </c>
      <c r="D6383" s="0" t="inlineStr">
        <is>
          <t>'119456PK</t>
        </is>
      </c>
      <c r="E6383" s="0" t="inlineStr">
        <is>
          <t>IOWA PRINTED MASK:119456PK</t>
        </is>
      </c>
      <c r="F6383" s="0" t="inlineStr">
        <is>
          <t>'000000000000</t>
        </is>
      </c>
      <c r="I6383" s="0">
        <v>59.99</v>
      </c>
      <c r="J6383" s="0">
        <v>2048</v>
      </c>
    </row>
    <row r="6384" spans="1:10" customHeight="0">
      <c r="A6384" s="0">
        <f>HYPERLINK("https://dl.dropboxusercontent.com/scl/fi/vulrhdyi6ts41myo3edz8/2nd-sublimation.jpg?rlkey=r83lhxjvb1rju3p54icrnmpbk&amp;dl=0","Click to download Image")</f>
      </c>
      <c r="C6384" s="0" t="inlineStr">
        <is>
          <t>Printed Reusable Face Mask 6pk</t>
        </is>
      </c>
      <c r="D6384" s="0" t="inlineStr">
        <is>
          <t>'119463PK</t>
        </is>
      </c>
      <c r="E6384" s="0" t="inlineStr">
        <is>
          <t>ISU PRINTED MASK:119463PK</t>
        </is>
      </c>
      <c r="F6384" s="0" t="inlineStr">
        <is>
          <t>'000000000000</t>
        </is>
      </c>
      <c r="I6384" s="0">
        <v>59.99</v>
      </c>
      <c r="J6384" s="0">
        <v>2192</v>
      </c>
    </row>
    <row r="6385" spans="1:10" customHeight="0">
      <c r="A6385" s="0">
        <f>HYPERLINK("https://dl.dropboxusercontent.com/scl/fi/8lk4tn9s7v7tpc4i0vzu1/2nd-sublimation.jpg?rlkey=zh1mh4oyft6opvh6nlc50gybp&amp;dl=0","Click to download Image")</f>
      </c>
      <c r="C6385" s="0" t="inlineStr">
        <is>
          <t>Printed Reusable Face Mask 6pk</t>
        </is>
      </c>
      <c r="D6385" s="0" t="inlineStr">
        <is>
          <t>'119468PK</t>
        </is>
      </c>
      <c r="E6385" s="0" t="inlineStr">
        <is>
          <t>UNI PRINTED MASK:119468PK</t>
        </is>
      </c>
      <c r="F6385" s="0" t="inlineStr">
        <is>
          <t>'000000000000</t>
        </is>
      </c>
      <c r="I6385" s="0">
        <v>59.99</v>
      </c>
      <c r="J6385" s="0">
        <v>744</v>
      </c>
    </row>
    <row r="6386" spans="1:10" customHeight="0">
      <c r="A6386" s="0">
        <f>HYPERLINK("https://dl.dropboxusercontent.com/scl/fi/93zwa0doz81rlc6gn99jm/kara.jpg?rlkey=lmdkcdjechrhqjv0jftf6ih65&amp;dl=0","Click to download Image")</f>
      </c>
      <c r="B6386" s="0">
        <f>HYPERLINK("https://dl.dropboxusercontent.com/scl/fi/3w9nka43hpzhmdb4hrqr8/womens-t-shirt-size-chartskylie.jpg?rlkey=r0ip0dxmy7by92bbbun0lhyn8&amp;dl=0","Click to download SizeChart")</f>
      </c>
      <c r="C6386" s="0" t="inlineStr">
        <is>
          <t>Kara Women's Long Sleeve Shirt</t>
        </is>
      </c>
      <c r="D6386" s="0" t="inlineStr">
        <is>
          <t>'95479</t>
        </is>
      </c>
      <c r="E6386" s="0" t="inlineStr">
        <is>
          <t>KARA:95479A-S</t>
        </is>
      </c>
      <c r="F6386" s="0" t="inlineStr">
        <is>
          <t>'000000000000</t>
        </is>
      </c>
      <c r="G6386" s="0" t="inlineStr">
        <is>
          <t>WOMENS</t>
        </is>
      </c>
      <c r="H6386" s="0" t="inlineStr">
        <is>
          <t>S</t>
        </is>
      </c>
      <c r="I6386" s="0">
        <v>29.99</v>
      </c>
      <c r="J6386" s="0">
        <v>9</v>
      </c>
    </row>
    <row r="6387" spans="1:10" customHeight="0">
      <c r="A6387" s="0">
        <f>HYPERLINK("https://dl.dropboxusercontent.com/scl/fi/93zwa0doz81rlc6gn99jm/kara.jpg?rlkey=lmdkcdjechrhqjv0jftf6ih65&amp;dl=0","Click to download Image")</f>
      </c>
      <c r="B6387" s="0">
        <f>HYPERLINK("https://dl.dropboxusercontent.com/scl/fi/3w9nka43hpzhmdb4hrqr8/womens-t-shirt-size-chartskylie.jpg?rlkey=r0ip0dxmy7by92bbbun0lhyn8&amp;dl=0","Click to download SizeChart")</f>
      </c>
      <c r="C6387" s="0" t="inlineStr">
        <is>
          <t>Kara Women's Long Sleeve Shirt</t>
        </is>
      </c>
      <c r="D6387" s="0" t="inlineStr">
        <is>
          <t>'95479</t>
        </is>
      </c>
      <c r="E6387" s="0" t="inlineStr">
        <is>
          <t>KARA:95479F-3X</t>
        </is>
      </c>
      <c r="F6387" s="0" t="inlineStr">
        <is>
          <t>'000000000000</t>
        </is>
      </c>
      <c r="G6387" s="0" t="inlineStr">
        <is>
          <t>WOMENS</t>
        </is>
      </c>
      <c r="H6387" s="0" t="inlineStr">
        <is>
          <t>3XL</t>
        </is>
      </c>
      <c r="I6387" s="0">
        <v>31.99</v>
      </c>
      <c r="J6387" s="0">
        <v>34</v>
      </c>
    </row>
    <row r="6388" spans="1:10" customHeight="0">
      <c r="A6388" s="0">
        <f>HYPERLINK("https://dl.dropboxusercontent.com/scl/fi/zzaw3o6vzk2901cy4kphm/jess-02.jpg?rlkey=dycfl8idss0pezqp5errsfla3&amp;dl=0","Click to download Image")</f>
      </c>
      <c r="B6388" s="0">
        <f>HYPERLINK("https://dl.dropboxusercontent.com/scl/fi/9fvzesrwg85t6k7n3djn6/size-chartyouth-b.jpg?rlkey=9cu0x8nb50lddfe6exvvoawyh&amp;dl=0","Click to download SizeChart")</f>
      </c>
      <c r="C6388" s="0" t="inlineStr">
        <is>
          <t>Jess Youth Performance Hoodies</t>
        </is>
      </c>
      <c r="D6388" s="0" t="inlineStr">
        <is>
          <t>'95947</t>
        </is>
      </c>
      <c r="E6388" s="0" t="inlineStr">
        <is>
          <t>JESS RED:Y95947A-S</t>
        </is>
      </c>
      <c r="F6388" s="0" t="inlineStr">
        <is>
          <t>'000000000000</t>
        </is>
      </c>
      <c r="G6388" s="0" t="inlineStr">
        <is>
          <t>YOUTH</t>
        </is>
      </c>
      <c r="H6388" s="0" t="inlineStr">
        <is>
          <t>YS</t>
        </is>
      </c>
      <c r="I6388" s="0">
        <v>39.99</v>
      </c>
      <c r="J6388" s="0">
        <v>21</v>
      </c>
    </row>
    <row r="6389" spans="1:10" customHeight="0">
      <c r="A6389" s="0">
        <f>HYPERLINK("https://dl.dropboxusercontent.com/scl/fi/zzaw3o6vzk2901cy4kphm/jess-02.jpg?rlkey=dycfl8idss0pezqp5errsfla3&amp;dl=0","Click to download Image")</f>
      </c>
      <c r="B6389" s="0">
        <f>HYPERLINK("https://dl.dropboxusercontent.com/scl/fi/9fvzesrwg85t6k7n3djn6/size-chartyouth-b.jpg?rlkey=9cu0x8nb50lddfe6exvvoawyh&amp;dl=0","Click to download SizeChart")</f>
      </c>
      <c r="C6389" s="0" t="inlineStr">
        <is>
          <t>Jess Youth Performance Hoodies</t>
        </is>
      </c>
      <c r="D6389" s="0" t="inlineStr">
        <is>
          <t>'95947</t>
        </is>
      </c>
      <c r="E6389" s="0" t="inlineStr">
        <is>
          <t>JESS RED:Y95947D-XL</t>
        </is>
      </c>
      <c r="F6389" s="0" t="inlineStr">
        <is>
          <t>'000000000000</t>
        </is>
      </c>
      <c r="G6389" s="0" t="inlineStr">
        <is>
          <t>YOUTH</t>
        </is>
      </c>
      <c r="H6389" s="0" t="inlineStr">
        <is>
          <t>YXL</t>
        </is>
      </c>
      <c r="I6389" s="0">
        <v>39.99</v>
      </c>
      <c r="J6389" s="0">
        <v>16</v>
      </c>
    </row>
    <row r="6390" spans="1:10" customHeight="0">
      <c r="A6390" s="0">
        <f>HYPERLINK("https://dl.dropboxusercontent.com/scl/fi/93dfequli1hxqdy9m9onb/jess-03.jpg?rlkey=rrbwgyhoglzsktpkumpk5o4em&amp;dl=0","Click to download Image")</f>
      </c>
      <c r="B6390" s="0">
        <f>HYPERLINK("https://dl.dropboxusercontent.com/scl/fi/9fvzesrwg85t6k7n3djn6/size-chartyouth-b.jpg?rlkey=9cu0x8nb50lddfe6exvvoawyh&amp;dl=0","Click to download SizeChart")</f>
      </c>
      <c r="C6390" s="0" t="inlineStr">
        <is>
          <t>Jess Youth Performance Hoodies</t>
        </is>
      </c>
      <c r="D6390" s="0" t="inlineStr">
        <is>
          <t>'95948</t>
        </is>
      </c>
      <c r="E6390" s="0" t="inlineStr">
        <is>
          <t>JESS PINK:95948A-S</t>
        </is>
      </c>
      <c r="F6390" s="0" t="inlineStr">
        <is>
          <t>'000000000000</t>
        </is>
      </c>
      <c r="G6390" s="0" t="inlineStr">
        <is>
          <t>YOUTH</t>
        </is>
      </c>
      <c r="H6390" s="0" t="inlineStr">
        <is>
          <t>YS</t>
        </is>
      </c>
      <c r="I6390" s="0">
        <v>39.99</v>
      </c>
      <c r="J6390" s="0">
        <v>18</v>
      </c>
    </row>
    <row r="6391" spans="1:10" customHeight="0">
      <c r="A6391" s="0">
        <f>HYPERLINK("https://dl.dropboxusercontent.com/scl/fi/93dfequli1hxqdy9m9onb/jess-03.jpg?rlkey=rrbwgyhoglzsktpkumpk5o4em&amp;dl=0","Click to download Image")</f>
      </c>
      <c r="B6391" s="0">
        <f>HYPERLINK("https://dl.dropboxusercontent.com/scl/fi/9fvzesrwg85t6k7n3djn6/size-chartyouth-b.jpg?rlkey=9cu0x8nb50lddfe6exvvoawyh&amp;dl=0","Click to download SizeChart")</f>
      </c>
      <c r="C6391" s="0" t="inlineStr">
        <is>
          <t>Jess Youth Performance Hoodies</t>
        </is>
      </c>
      <c r="D6391" s="0" t="inlineStr">
        <is>
          <t>'95948</t>
        </is>
      </c>
      <c r="E6391" s="0" t="inlineStr">
        <is>
          <t>JESS PINK:95948B-M</t>
        </is>
      </c>
      <c r="F6391" s="0" t="inlineStr">
        <is>
          <t>'000000000000</t>
        </is>
      </c>
      <c r="G6391" s="0" t="inlineStr">
        <is>
          <t>YOUTH</t>
        </is>
      </c>
      <c r="H6391" s="0" t="inlineStr">
        <is>
          <t>YM</t>
        </is>
      </c>
      <c r="I6391" s="0">
        <v>39.99</v>
      </c>
      <c r="J6391" s="0">
        <v>19</v>
      </c>
    </row>
    <row r="6392" spans="1:10" customHeight="0">
      <c r="A6392" s="0">
        <f>HYPERLINK("https://dl.dropboxusercontent.com/scl/fi/93dfequli1hxqdy9m9onb/jess-03.jpg?rlkey=rrbwgyhoglzsktpkumpk5o4em&amp;dl=0","Click to download Image")</f>
      </c>
      <c r="B6392" s="0">
        <f>HYPERLINK("https://dl.dropboxusercontent.com/scl/fi/9fvzesrwg85t6k7n3djn6/size-chartyouth-b.jpg?rlkey=9cu0x8nb50lddfe6exvvoawyh&amp;dl=0","Click to download SizeChart")</f>
      </c>
      <c r="C6392" s="0" t="inlineStr">
        <is>
          <t>Jess Youth Performance Hoodies</t>
        </is>
      </c>
      <c r="D6392" s="0" t="inlineStr">
        <is>
          <t>'95948</t>
        </is>
      </c>
      <c r="E6392" s="0" t="inlineStr">
        <is>
          <t>JESS PINK:95948C-L</t>
        </is>
      </c>
      <c r="F6392" s="0" t="inlineStr">
        <is>
          <t>'000000000000</t>
        </is>
      </c>
      <c r="G6392" s="0" t="inlineStr">
        <is>
          <t>YOUTH</t>
        </is>
      </c>
      <c r="H6392" s="0" t="inlineStr">
        <is>
          <t>YL</t>
        </is>
      </c>
      <c r="I6392" s="0">
        <v>39.99</v>
      </c>
      <c r="J6392" s="0">
        <v>17</v>
      </c>
    </row>
    <row r="6393" spans="1:10" customHeight="0">
      <c r="A6393" s="0">
        <f>HYPERLINK("https://dl.dropboxusercontent.com/scl/fi/93dfequli1hxqdy9m9onb/jess-03.jpg?rlkey=rrbwgyhoglzsktpkumpk5o4em&amp;dl=0","Click to download Image")</f>
      </c>
      <c r="B6393" s="0">
        <f>HYPERLINK("https://dl.dropboxusercontent.com/scl/fi/9fvzesrwg85t6k7n3djn6/size-chartyouth-b.jpg?rlkey=9cu0x8nb50lddfe6exvvoawyh&amp;dl=0","Click to download SizeChart")</f>
      </c>
      <c r="C6393" s="0" t="inlineStr">
        <is>
          <t>Jess Youth Performance Hoodies</t>
        </is>
      </c>
      <c r="D6393" s="0" t="inlineStr">
        <is>
          <t>'95948</t>
        </is>
      </c>
      <c r="E6393" s="0" t="inlineStr">
        <is>
          <t>JESS PINK:95948D-XL</t>
        </is>
      </c>
      <c r="F6393" s="0" t="inlineStr">
        <is>
          <t>'000000000000</t>
        </is>
      </c>
      <c r="G6393" s="0" t="inlineStr">
        <is>
          <t>YOUTH</t>
        </is>
      </c>
      <c r="H6393" s="0" t="inlineStr">
        <is>
          <t>YXL</t>
        </is>
      </c>
      <c r="I6393" s="0">
        <v>39.99</v>
      </c>
      <c r="J6393" s="0">
        <v>23</v>
      </c>
    </row>
    <row r="6394" spans="1:10" customHeight="0">
      <c r="A6394" s="0">
        <f>HYPERLINK("https://dl.dropboxusercontent.com/scl/fi/67japz25ykka4qetevw0k/ciaratr.jpg?rlkey=p6hymkhscnvkmv75z2ey4miil&amp;dl=0","Click to download Image")</f>
      </c>
      <c r="B6394" s="0">
        <f>HYPERLINK("https://dl.dropboxusercontent.com/scl/fi/xzhcloaepp8ovetzb7a99/size-chart-ladies-l.jpg?rlkey=vj1hoim68khcve6ageu6esm9l&amp;dl=0","Click to download SizeChart")</f>
      </c>
      <c r="C6394" s="0" t="inlineStr">
        <is>
          <t>Ciara Women's Leggings</t>
        </is>
      </c>
      <c r="D6394" s="0" t="inlineStr">
        <is>
          <t>'96448</t>
        </is>
      </c>
      <c r="E6394" s="0" t="inlineStr">
        <is>
          <t>CIARA:96448A-S</t>
        </is>
      </c>
      <c r="F6394" s="0" t="inlineStr">
        <is>
          <t>'000000000000</t>
        </is>
      </c>
      <c r="G6394" s="0" t="inlineStr">
        <is>
          <t>WOMENS</t>
        </is>
      </c>
      <c r="H6394" s="0" t="inlineStr">
        <is>
          <t>S</t>
        </is>
      </c>
      <c r="I6394" s="0">
        <v>44.99</v>
      </c>
      <c r="J6394" s="0">
        <v>11</v>
      </c>
    </row>
    <row r="6395" spans="1:10" customHeight="0">
      <c r="A6395" s="0">
        <f>HYPERLINK("https://dl.dropboxusercontent.com/scl/fi/67japz25ykka4qetevw0k/ciaratr.jpg?rlkey=p6hymkhscnvkmv75z2ey4miil&amp;dl=0","Click to download Image")</f>
      </c>
      <c r="B6395" s="0">
        <f>HYPERLINK("https://dl.dropboxusercontent.com/scl/fi/xzhcloaepp8ovetzb7a99/size-chart-ladies-l.jpg?rlkey=vj1hoim68khcve6ageu6esm9l&amp;dl=0","Click to download SizeChart")</f>
      </c>
      <c r="C6395" s="0" t="inlineStr">
        <is>
          <t>Ciara Women's Leggings</t>
        </is>
      </c>
      <c r="D6395" s="0" t="inlineStr">
        <is>
          <t>'96448</t>
        </is>
      </c>
      <c r="E6395" s="0" t="inlineStr">
        <is>
          <t>CIARA:96448B-M</t>
        </is>
      </c>
      <c r="F6395" s="0" t="inlineStr">
        <is>
          <t>'000000000000</t>
        </is>
      </c>
      <c r="G6395" s="0" t="inlineStr">
        <is>
          <t>WOMENS</t>
        </is>
      </c>
      <c r="H6395" s="0" t="inlineStr">
        <is>
          <t>M</t>
        </is>
      </c>
      <c r="I6395" s="0">
        <v>44.99</v>
      </c>
      <c r="J6395" s="0">
        <v>6</v>
      </c>
    </row>
    <row r="6396" spans="1:10" customHeight="0">
      <c r="A6396" s="0">
        <f>HYPERLINK("https://dl.dropboxusercontent.com/scl/fi/67japz25ykka4qetevw0k/ciaratr.jpg?rlkey=p6hymkhscnvkmv75z2ey4miil&amp;dl=0","Click to download Image")</f>
      </c>
      <c r="B6396" s="0">
        <f>HYPERLINK("https://dl.dropboxusercontent.com/scl/fi/xzhcloaepp8ovetzb7a99/size-chart-ladies-l.jpg?rlkey=vj1hoim68khcve6ageu6esm9l&amp;dl=0","Click to download SizeChart")</f>
      </c>
      <c r="C6396" s="0" t="inlineStr">
        <is>
          <t>Ciara Women's Leggings</t>
        </is>
      </c>
      <c r="D6396" s="0" t="inlineStr">
        <is>
          <t>'96448</t>
        </is>
      </c>
      <c r="E6396" s="0" t="inlineStr">
        <is>
          <t>CIARA:96448C-L</t>
        </is>
      </c>
      <c r="F6396" s="0" t="inlineStr">
        <is>
          <t>'000000000000</t>
        </is>
      </c>
      <c r="G6396" s="0" t="inlineStr">
        <is>
          <t>WOMENS</t>
        </is>
      </c>
      <c r="H6396" s="0" t="inlineStr">
        <is>
          <t>L</t>
        </is>
      </c>
      <c r="I6396" s="0">
        <v>44.99</v>
      </c>
      <c r="J6396" s="0">
        <v>44</v>
      </c>
    </row>
    <row r="6397" spans="1:10" customHeight="0">
      <c r="A6397" s="0">
        <f>HYPERLINK("https://dl.dropboxusercontent.com/scl/fi/67japz25ykka4qetevw0k/ciaratr.jpg?rlkey=p6hymkhscnvkmv75z2ey4miil&amp;dl=0","Click to download Image")</f>
      </c>
      <c r="B6397" s="0">
        <f>HYPERLINK("https://dl.dropboxusercontent.com/scl/fi/xzhcloaepp8ovetzb7a99/size-chart-ladies-l.jpg?rlkey=vj1hoim68khcve6ageu6esm9l&amp;dl=0","Click to download SizeChart")</f>
      </c>
      <c r="C6397" s="0" t="inlineStr">
        <is>
          <t>Ciara Women's Leggings</t>
        </is>
      </c>
      <c r="D6397" s="0" t="inlineStr">
        <is>
          <t>'96448</t>
        </is>
      </c>
      <c r="E6397" s="0" t="inlineStr">
        <is>
          <t>CIARA:96448D-XL</t>
        </is>
      </c>
      <c r="F6397" s="0" t="inlineStr">
        <is>
          <t>'000000000000</t>
        </is>
      </c>
      <c r="G6397" s="0" t="inlineStr">
        <is>
          <t>WOMENS</t>
        </is>
      </c>
      <c r="H6397" s="0" t="inlineStr">
        <is>
          <t>XL</t>
        </is>
      </c>
      <c r="I6397" s="0">
        <v>44.99</v>
      </c>
      <c r="J6397" s="0">
        <v>56</v>
      </c>
    </row>
    <row r="6398" spans="1:10" customHeight="0">
      <c r="A6398" s="0">
        <f>HYPERLINK("https://dl.dropboxusercontent.com/scl/fi/67japz25ykka4qetevw0k/ciaratr.jpg?rlkey=p6hymkhscnvkmv75z2ey4miil&amp;dl=0","Click to download Image")</f>
      </c>
      <c r="B6398" s="0">
        <f>HYPERLINK("https://dl.dropboxusercontent.com/scl/fi/xzhcloaepp8ovetzb7a99/size-chart-ladies-l.jpg?rlkey=vj1hoim68khcve6ageu6esm9l&amp;dl=0","Click to download SizeChart")</f>
      </c>
      <c r="C6398" s="0" t="inlineStr">
        <is>
          <t>Ciara Women's Leggings</t>
        </is>
      </c>
      <c r="D6398" s="0" t="inlineStr">
        <is>
          <t>'96448</t>
        </is>
      </c>
      <c r="E6398" s="0" t="inlineStr">
        <is>
          <t>CIARA:96448E-2XL</t>
        </is>
      </c>
      <c r="F6398" s="0" t="inlineStr">
        <is>
          <t>'000000000000</t>
        </is>
      </c>
      <c r="G6398" s="0" t="inlineStr">
        <is>
          <t>WOMENS</t>
        </is>
      </c>
      <c r="H6398" s="0" t="inlineStr">
        <is>
          <t>2XL</t>
        </is>
      </c>
      <c r="I6398" s="0">
        <v>46.99</v>
      </c>
      <c r="J6398" s="0">
        <v>10</v>
      </c>
    </row>
    <row r="6399" spans="1:10" customHeight="0">
      <c r="A6399" s="0">
        <f>HYPERLINK("https://dl.dropboxusercontent.com/scl/fi/bfuiimyauyxpx9usjdpqz/ciaraisu.jpg?rlkey=b9hazdbgtc4zpioml85dt5z6q&amp;dl=0","Click to download Image")</f>
      </c>
      <c r="B6399" s="0">
        <f>HYPERLINK("https://dl.dropboxusercontent.com/scl/fi/xzhcloaepp8ovetzb7a99/size-chart-ladies-l.jpg?rlkey=vj1hoim68khcve6ageu6esm9l&amp;dl=0","Click to download SizeChart")</f>
      </c>
      <c r="C6399" s="0" t="inlineStr">
        <is>
          <t>Ciara Women's Leggings</t>
        </is>
      </c>
      <c r="D6399" s="0" t="inlineStr">
        <is>
          <t>'97267</t>
        </is>
      </c>
      <c r="E6399" s="0" t="inlineStr">
        <is>
          <t>CIARA:97267A-S</t>
        </is>
      </c>
      <c r="F6399" s="0" t="inlineStr">
        <is>
          <t>'000000000000</t>
        </is>
      </c>
      <c r="G6399" s="0" t="inlineStr">
        <is>
          <t>WOMENS</t>
        </is>
      </c>
      <c r="H6399" s="0" t="inlineStr">
        <is>
          <t>S</t>
        </is>
      </c>
      <c r="I6399" s="0">
        <v>44.99</v>
      </c>
      <c r="J6399" s="0">
        <v>11</v>
      </c>
    </row>
    <row r="6400" spans="1:10" customHeight="0">
      <c r="A6400" s="0">
        <f>HYPERLINK("https://dl.dropboxusercontent.com/scl/fi/bfuiimyauyxpx9usjdpqz/ciaraisu.jpg?rlkey=b9hazdbgtc4zpioml85dt5z6q&amp;dl=0","Click to download Image")</f>
      </c>
      <c r="B6400" s="0">
        <f>HYPERLINK("https://dl.dropboxusercontent.com/scl/fi/xzhcloaepp8ovetzb7a99/size-chart-ladies-l.jpg?rlkey=vj1hoim68khcve6ageu6esm9l&amp;dl=0","Click to download SizeChart")</f>
      </c>
      <c r="C6400" s="0" t="inlineStr">
        <is>
          <t>Ciara Women's Leggings</t>
        </is>
      </c>
      <c r="D6400" s="0" t="inlineStr">
        <is>
          <t>'97267</t>
        </is>
      </c>
      <c r="E6400" s="0" t="inlineStr">
        <is>
          <t>CIARA:97267B-M</t>
        </is>
      </c>
      <c r="F6400" s="0" t="inlineStr">
        <is>
          <t>'000000000000</t>
        </is>
      </c>
      <c r="G6400" s="0" t="inlineStr">
        <is>
          <t>WOMENS</t>
        </is>
      </c>
      <c r="H6400" s="0" t="inlineStr">
        <is>
          <t>M</t>
        </is>
      </c>
      <c r="I6400" s="0">
        <v>44.99</v>
      </c>
      <c r="J6400" s="0">
        <v>10</v>
      </c>
    </row>
    <row r="6401" spans="1:10" customHeight="0">
      <c r="A6401" s="0">
        <f>HYPERLINK("https://dl.dropboxusercontent.com/scl/fi/bfuiimyauyxpx9usjdpqz/ciaraisu.jpg?rlkey=b9hazdbgtc4zpioml85dt5z6q&amp;dl=0","Click to download Image")</f>
      </c>
      <c r="B6401" s="0">
        <f>HYPERLINK("https://dl.dropboxusercontent.com/scl/fi/xzhcloaepp8ovetzb7a99/size-chart-ladies-l.jpg?rlkey=vj1hoim68khcve6ageu6esm9l&amp;dl=0","Click to download SizeChart")</f>
      </c>
      <c r="C6401" s="0" t="inlineStr">
        <is>
          <t>Ciara Women's Leggings</t>
        </is>
      </c>
      <c r="D6401" s="0" t="inlineStr">
        <is>
          <t>'97267</t>
        </is>
      </c>
      <c r="E6401" s="0" t="inlineStr">
        <is>
          <t>CIARA:97267C-L</t>
        </is>
      </c>
      <c r="F6401" s="0" t="inlineStr">
        <is>
          <t>'000000000000</t>
        </is>
      </c>
      <c r="G6401" s="0" t="inlineStr">
        <is>
          <t>WOMENS</t>
        </is>
      </c>
      <c r="H6401" s="0" t="inlineStr">
        <is>
          <t>L</t>
        </is>
      </c>
      <c r="I6401" s="0">
        <v>44.99</v>
      </c>
      <c r="J6401" s="0">
        <v>40</v>
      </c>
    </row>
    <row r="6402" spans="1:10" customHeight="0">
      <c r="A6402" s="0">
        <f>HYPERLINK("https://dl.dropboxusercontent.com/scl/fi/bfuiimyauyxpx9usjdpqz/ciaraisu.jpg?rlkey=b9hazdbgtc4zpioml85dt5z6q&amp;dl=0","Click to download Image")</f>
      </c>
      <c r="B6402" s="0">
        <f>HYPERLINK("https://dl.dropboxusercontent.com/scl/fi/xzhcloaepp8ovetzb7a99/size-chart-ladies-l.jpg?rlkey=vj1hoim68khcve6ageu6esm9l&amp;dl=0","Click to download SizeChart")</f>
      </c>
      <c r="C6402" s="0" t="inlineStr">
        <is>
          <t>Ciara Women's Leggings</t>
        </is>
      </c>
      <c r="D6402" s="0" t="inlineStr">
        <is>
          <t>'97267</t>
        </is>
      </c>
      <c r="E6402" s="0" t="inlineStr">
        <is>
          <t>CIARA:97267D-XL</t>
        </is>
      </c>
      <c r="F6402" s="0" t="inlineStr">
        <is>
          <t>'000000000000</t>
        </is>
      </c>
      <c r="G6402" s="0" t="inlineStr">
        <is>
          <t>WOMENS</t>
        </is>
      </c>
      <c r="H6402" s="0" t="inlineStr">
        <is>
          <t>XL</t>
        </is>
      </c>
      <c r="I6402" s="0">
        <v>44.99</v>
      </c>
      <c r="J6402" s="0">
        <v>44</v>
      </c>
    </row>
    <row r="6403" spans="1:10" customHeight="0">
      <c r="A6403" s="0">
        <f>HYPERLINK("https://dl.dropboxusercontent.com/scl/fi/bfuiimyauyxpx9usjdpqz/ciaraisu.jpg?rlkey=b9hazdbgtc4zpioml85dt5z6q&amp;dl=0","Click to download Image")</f>
      </c>
      <c r="B6403" s="0">
        <f>HYPERLINK("https://dl.dropboxusercontent.com/scl/fi/xzhcloaepp8ovetzb7a99/size-chart-ladies-l.jpg?rlkey=vj1hoim68khcve6ageu6esm9l&amp;dl=0","Click to download SizeChart")</f>
      </c>
      <c r="C6403" s="0" t="inlineStr">
        <is>
          <t>Ciara Women's Leggings</t>
        </is>
      </c>
      <c r="D6403" s="0" t="inlineStr">
        <is>
          <t>'97267</t>
        </is>
      </c>
      <c r="E6403" s="0" t="inlineStr">
        <is>
          <t>CIARA:97267E-2XL</t>
        </is>
      </c>
      <c r="F6403" s="0" t="inlineStr">
        <is>
          <t>'000000000000</t>
        </is>
      </c>
      <c r="G6403" s="0" t="inlineStr">
        <is>
          <t>WOMENS</t>
        </is>
      </c>
      <c r="H6403" s="0" t="inlineStr">
        <is>
          <t>2XL</t>
        </is>
      </c>
      <c r="I6403" s="0">
        <v>46.99</v>
      </c>
      <c r="J6403" s="0">
        <v>17</v>
      </c>
    </row>
    <row r="6404" spans="1:10" customHeight="0">
      <c r="A6404" s="0">
        <f>HYPERLINK("https://dl.dropboxusercontent.com/scl/fi/z963eixe39tcdu80qpe90/jennifer.jpg?rlkey=jd09rl0d1f0h2azebbf97lczr&amp;dl=0","Click to download Image")</f>
      </c>
      <c r="B6404" s="0">
        <f>HYPERLINK("https://dl.dropboxusercontent.com/scl/fi/8zm5tfnx3e2scxauy2a5o/size-chartswomens-standard-ankle-length-leggings.jpg?rlkey=zvtrz4l947itb1nn9h26agfyf&amp;dl=0","Click to download SizeChart")</f>
      </c>
      <c r="C6404" s="0" t="inlineStr">
        <is>
          <t>Jennifer Women's Leggings</t>
        </is>
      </c>
      <c r="D6404" s="0" t="inlineStr">
        <is>
          <t>'98672</t>
        </is>
      </c>
      <c r="E6404" s="0" t="inlineStr">
        <is>
          <t>JENNIFER:98672A-S</t>
        </is>
      </c>
      <c r="F6404" s="0" t="inlineStr">
        <is>
          <t>'000000000000</t>
        </is>
      </c>
      <c r="G6404" s="0" t="inlineStr">
        <is>
          <t>WOMENS</t>
        </is>
      </c>
      <c r="H6404" s="0" t="inlineStr">
        <is>
          <t>S</t>
        </is>
      </c>
      <c r="I6404" s="0">
        <v>39.99</v>
      </c>
      <c r="J6404" s="0">
        <v>58</v>
      </c>
    </row>
    <row r="6405" spans="1:10" customHeight="0">
      <c r="A6405" s="0">
        <f>HYPERLINK("https://dl.dropboxusercontent.com/scl/fi/z963eixe39tcdu80qpe90/jennifer.jpg?rlkey=jd09rl0d1f0h2azebbf97lczr&amp;dl=0","Click to download Image")</f>
      </c>
      <c r="B6405" s="0">
        <f>HYPERLINK("https://dl.dropboxusercontent.com/scl/fi/8zm5tfnx3e2scxauy2a5o/size-chartswomens-standard-ankle-length-leggings.jpg?rlkey=zvtrz4l947itb1nn9h26agfyf&amp;dl=0","Click to download SizeChart")</f>
      </c>
      <c r="C6405" s="0" t="inlineStr">
        <is>
          <t>Jennifer Women's Leggings</t>
        </is>
      </c>
      <c r="D6405" s="0" t="inlineStr">
        <is>
          <t>'98672</t>
        </is>
      </c>
      <c r="E6405" s="0" t="inlineStr">
        <is>
          <t>JENNIFER:98672B-M</t>
        </is>
      </c>
      <c r="F6405" s="0" t="inlineStr">
        <is>
          <t>'000000000000</t>
        </is>
      </c>
      <c r="G6405" s="0" t="inlineStr">
        <is>
          <t>WOMENS</t>
        </is>
      </c>
      <c r="H6405" s="0" t="inlineStr">
        <is>
          <t>M</t>
        </is>
      </c>
      <c r="I6405" s="0">
        <v>39.99</v>
      </c>
      <c r="J6405" s="0">
        <v>67</v>
      </c>
    </row>
    <row r="6406" spans="1:10" customHeight="0">
      <c r="A6406" s="0">
        <f>HYPERLINK("https://dl.dropboxusercontent.com/scl/fi/z963eixe39tcdu80qpe90/jennifer.jpg?rlkey=jd09rl0d1f0h2azebbf97lczr&amp;dl=0","Click to download Image")</f>
      </c>
      <c r="B6406" s="0">
        <f>HYPERLINK("https://dl.dropboxusercontent.com/scl/fi/8zm5tfnx3e2scxauy2a5o/size-chartswomens-standard-ankle-length-leggings.jpg?rlkey=zvtrz4l947itb1nn9h26agfyf&amp;dl=0","Click to download SizeChart")</f>
      </c>
      <c r="C6406" s="0" t="inlineStr">
        <is>
          <t>Jennifer Women's Leggings</t>
        </is>
      </c>
      <c r="D6406" s="0" t="inlineStr">
        <is>
          <t>'98672</t>
        </is>
      </c>
      <c r="E6406" s="0" t="inlineStr">
        <is>
          <t>JENNIFER:98672C-L</t>
        </is>
      </c>
      <c r="F6406" s="0" t="inlineStr">
        <is>
          <t>'000000000000</t>
        </is>
      </c>
      <c r="G6406" s="0" t="inlineStr">
        <is>
          <t>WOMENS</t>
        </is>
      </c>
      <c r="H6406" s="0" t="inlineStr">
        <is>
          <t>L</t>
        </is>
      </c>
      <c r="I6406" s="0">
        <v>39.99</v>
      </c>
      <c r="J6406" s="0">
        <v>95</v>
      </c>
    </row>
    <row r="6407" spans="1:10" customHeight="0">
      <c r="A6407" s="0">
        <f>HYPERLINK("https://dl.dropboxusercontent.com/scl/fi/z963eixe39tcdu80qpe90/jennifer.jpg?rlkey=jd09rl0d1f0h2azebbf97lczr&amp;dl=0","Click to download Image")</f>
      </c>
      <c r="B6407" s="0">
        <f>HYPERLINK("https://dl.dropboxusercontent.com/scl/fi/8zm5tfnx3e2scxauy2a5o/size-chartswomens-standard-ankle-length-leggings.jpg?rlkey=zvtrz4l947itb1nn9h26agfyf&amp;dl=0","Click to download SizeChart")</f>
      </c>
      <c r="C6407" s="0" t="inlineStr">
        <is>
          <t>Jennifer Women's Leggings</t>
        </is>
      </c>
      <c r="D6407" s="0" t="inlineStr">
        <is>
          <t>'98672</t>
        </is>
      </c>
      <c r="E6407" s="0" t="inlineStr">
        <is>
          <t>JENNIFER:98672D-XL</t>
        </is>
      </c>
      <c r="F6407" s="0" t="inlineStr">
        <is>
          <t>'000000000000</t>
        </is>
      </c>
      <c r="G6407" s="0" t="inlineStr">
        <is>
          <t>WOMENS</t>
        </is>
      </c>
      <c r="H6407" s="0" t="inlineStr">
        <is>
          <t>XL</t>
        </is>
      </c>
      <c r="I6407" s="0">
        <v>39.99</v>
      </c>
      <c r="J6407" s="0">
        <v>121</v>
      </c>
    </row>
    <row r="6408" spans="1:10" customHeight="0">
      <c r="A6408" s="0">
        <f>HYPERLINK("https://dl.dropboxusercontent.com/scl/fi/z963eixe39tcdu80qpe90/jennifer.jpg?rlkey=jd09rl0d1f0h2azebbf97lczr&amp;dl=0","Click to download Image")</f>
      </c>
      <c r="B6408" s="0">
        <f>HYPERLINK("https://dl.dropboxusercontent.com/scl/fi/8zm5tfnx3e2scxauy2a5o/size-chartswomens-standard-ankle-length-leggings.jpg?rlkey=zvtrz4l947itb1nn9h26agfyf&amp;dl=0","Click to download SizeChart")</f>
      </c>
      <c r="C6408" s="0" t="inlineStr">
        <is>
          <t>Jennifer Women's Leggings</t>
        </is>
      </c>
      <c r="D6408" s="0" t="inlineStr">
        <is>
          <t>'98672</t>
        </is>
      </c>
      <c r="E6408" s="0" t="inlineStr">
        <is>
          <t>JENNIFER:98672E-2XL</t>
        </is>
      </c>
      <c r="F6408" s="0" t="inlineStr">
        <is>
          <t>'000000000000</t>
        </is>
      </c>
      <c r="G6408" s="0" t="inlineStr">
        <is>
          <t>WOMENS</t>
        </is>
      </c>
      <c r="H6408" s="0" t="inlineStr">
        <is>
          <t>2XL</t>
        </is>
      </c>
      <c r="I6408" s="0">
        <v>41.99</v>
      </c>
      <c r="J6408" s="0">
        <v>45</v>
      </c>
    </row>
    <row r="6409" spans="1:10" customHeight="0">
      <c r="A6409" s="0">
        <f>HYPERLINK("https://dl.dropboxusercontent.com/scl/fi/708u0davqelmesuon0bib/jeffery.jpg?rlkey=cas70vylt3cbb46wgxvnabyt3&amp;dl=0","Click to download Image")</f>
      </c>
      <c r="B6409" s="0">
        <f>HYPERLINK("https://dl.dropboxusercontent.com/scl/fi/5gqea4e7avsfkb7x6x57q/size-chartsmens-standard-relaxed-fit-tshirt.jpg?rlkey=pdk75szuskpqqbz9dld7e3q4c&amp;dl=0","Click to download SizeChart")</f>
      </c>
      <c r="C6409" s="0" t="inlineStr">
        <is>
          <t>Jeffery Men's 1/2 Zip Pullover</t>
        </is>
      </c>
      <c r="D6409" s="0" t="inlineStr">
        <is>
          <t>'98829</t>
        </is>
      </c>
      <c r="E6409" s="0" t="inlineStr">
        <is>
          <t>JEFFERY:98829A-S</t>
        </is>
      </c>
      <c r="F6409" s="0" t="inlineStr">
        <is>
          <t>'000000000000</t>
        </is>
      </c>
      <c r="G6409" s="0" t="inlineStr">
        <is>
          <t>MENS</t>
        </is>
      </c>
      <c r="H6409" s="0" t="inlineStr">
        <is>
          <t>S</t>
        </is>
      </c>
      <c r="I6409" s="0">
        <v>54.99</v>
      </c>
      <c r="J6409" s="0">
        <v>44</v>
      </c>
    </row>
    <row r="6410" spans="1:10" customHeight="0">
      <c r="A6410" s="0">
        <f>HYPERLINK("https://dl.dropboxusercontent.com/scl/fi/708u0davqelmesuon0bib/jeffery.jpg?rlkey=cas70vylt3cbb46wgxvnabyt3&amp;dl=0","Click to download Image")</f>
      </c>
      <c r="B6410" s="0">
        <f>HYPERLINK("https://dl.dropboxusercontent.com/scl/fi/5gqea4e7avsfkb7x6x57q/size-chartsmens-standard-relaxed-fit-tshirt.jpg?rlkey=pdk75szuskpqqbz9dld7e3q4c&amp;dl=0","Click to download SizeChart")</f>
      </c>
      <c r="C6410" s="0" t="inlineStr">
        <is>
          <t>Jeffery Men's 1/2 Zip Pullover</t>
        </is>
      </c>
      <c r="D6410" s="0" t="inlineStr">
        <is>
          <t>'98829</t>
        </is>
      </c>
      <c r="E6410" s="0" t="inlineStr">
        <is>
          <t>JEFFERY:98829B-M</t>
        </is>
      </c>
      <c r="F6410" s="0" t="inlineStr">
        <is>
          <t>'000000000000</t>
        </is>
      </c>
      <c r="G6410" s="0" t="inlineStr">
        <is>
          <t>MENS</t>
        </is>
      </c>
      <c r="H6410" s="0" t="inlineStr">
        <is>
          <t>M</t>
        </is>
      </c>
      <c r="I6410" s="0">
        <v>54.99</v>
      </c>
      <c r="J6410" s="0">
        <v>33</v>
      </c>
    </row>
    <row r="6411" spans="1:10" customHeight="0">
      <c r="A6411" s="0">
        <f>HYPERLINK("https://dl.dropboxusercontent.com/scl/fi/708u0davqelmesuon0bib/jeffery.jpg?rlkey=cas70vylt3cbb46wgxvnabyt3&amp;dl=0","Click to download Image")</f>
      </c>
      <c r="B6411" s="0">
        <f>HYPERLINK("https://dl.dropboxusercontent.com/scl/fi/5gqea4e7avsfkb7x6x57q/size-chartsmens-standard-relaxed-fit-tshirt.jpg?rlkey=pdk75szuskpqqbz9dld7e3q4c&amp;dl=0","Click to download SizeChart")</f>
      </c>
      <c r="C6411" s="0" t="inlineStr">
        <is>
          <t>Jeffery Men's 1/2 Zip Pullover</t>
        </is>
      </c>
      <c r="D6411" s="0" t="inlineStr">
        <is>
          <t>'98829</t>
        </is>
      </c>
      <c r="E6411" s="0" t="inlineStr">
        <is>
          <t>JEFFERY:98829C-L</t>
        </is>
      </c>
      <c r="F6411" s="0" t="inlineStr">
        <is>
          <t>'000000000000</t>
        </is>
      </c>
      <c r="G6411" s="0" t="inlineStr">
        <is>
          <t>MENS</t>
        </is>
      </c>
      <c r="H6411" s="0" t="inlineStr">
        <is>
          <t>L</t>
        </is>
      </c>
      <c r="I6411" s="0">
        <v>54.99</v>
      </c>
      <c r="J6411" s="0">
        <v>1</v>
      </c>
    </row>
    <row r="6412" spans="1:10" customHeight="0">
      <c r="A6412" s="0">
        <f>HYPERLINK("https://dl.dropboxusercontent.com/scl/fi/708u0davqelmesuon0bib/jeffery.jpg?rlkey=cas70vylt3cbb46wgxvnabyt3&amp;dl=0","Click to download Image")</f>
      </c>
      <c r="B6412" s="0">
        <f>HYPERLINK("https://dl.dropboxusercontent.com/scl/fi/5gqea4e7avsfkb7x6x57q/size-chartsmens-standard-relaxed-fit-tshirt.jpg?rlkey=pdk75szuskpqqbz9dld7e3q4c&amp;dl=0","Click to download SizeChart")</f>
      </c>
      <c r="C6412" s="0" t="inlineStr">
        <is>
          <t>Jeffery Men's 1/2 Zip Pullover</t>
        </is>
      </c>
      <c r="D6412" s="0" t="inlineStr">
        <is>
          <t>'98829</t>
        </is>
      </c>
      <c r="E6412" s="0" t="inlineStr">
        <is>
          <t>JEFFERY:98829E-2XL</t>
        </is>
      </c>
      <c r="F6412" s="0" t="inlineStr">
        <is>
          <t>'000000000000</t>
        </is>
      </c>
      <c r="G6412" s="0" t="inlineStr">
        <is>
          <t>MENS</t>
        </is>
      </c>
      <c r="H6412" s="0" t="inlineStr">
        <is>
          <t>2XL</t>
        </is>
      </c>
      <c r="I6412" s="0">
        <v>56.99</v>
      </c>
      <c r="J6412" s="0">
        <v>28</v>
      </c>
    </row>
    <row r="6413" spans="1:10" customHeight="0">
      <c r="A6413" s="0">
        <f>HYPERLINK("https://dl.dropboxusercontent.com/scl/fi/708u0davqelmesuon0bib/jeffery.jpg?rlkey=cas70vylt3cbb46wgxvnabyt3&amp;dl=0","Click to download Image")</f>
      </c>
      <c r="B6413" s="0">
        <f>HYPERLINK("https://dl.dropboxusercontent.com/scl/fi/5gqea4e7avsfkb7x6x57q/size-chartsmens-standard-relaxed-fit-tshirt.jpg?rlkey=pdk75szuskpqqbz9dld7e3q4c&amp;dl=0","Click to download SizeChart")</f>
      </c>
      <c r="C6413" s="0" t="inlineStr">
        <is>
          <t>Jeffery Men's 1/2 Zip Pullover</t>
        </is>
      </c>
      <c r="D6413" s="0" t="inlineStr">
        <is>
          <t>'98829</t>
        </is>
      </c>
      <c r="E6413" s="0" t="inlineStr">
        <is>
          <t>JEFFERY:98829F-3XL</t>
        </is>
      </c>
      <c r="F6413" s="0" t="inlineStr">
        <is>
          <t>'000000000000</t>
        </is>
      </c>
      <c r="G6413" s="0" t="inlineStr">
        <is>
          <t>MENS</t>
        </is>
      </c>
      <c r="H6413" s="0" t="inlineStr">
        <is>
          <t>3XL</t>
        </is>
      </c>
      <c r="I6413" s="0">
        <v>56.99</v>
      </c>
      <c r="J6413" s="0">
        <v>17</v>
      </c>
    </row>
    <row r="6414" spans="1:10" customHeight="0">
      <c r="A6414" s="0">
        <f>HYPERLINK("https://dl.dropboxusercontent.com/scl/fi/5abxaa61kta7zvikmptc9/harpert.jpg?rlkey=jt8kjpn7i76zszocpq3wnh5vi&amp;dl=0","Click to download Image")</f>
      </c>
      <c r="B6414" s="0">
        <f>HYPERLINK("https://dl.dropboxusercontent.com/scl/fi/v7jfxbldq2kuor6ofplke/size-charts-women-s-pants-n.jpg?rlkey=4ukejsxv8qxitq0r3h0dwup9c&amp;dl=0","Click to download SizeChart")</f>
      </c>
      <c r="C6414" s="0" t="inlineStr">
        <is>
          <t>Harper Women's Sweatpants</t>
        </is>
      </c>
      <c r="D6414" s="0" t="inlineStr">
        <is>
          <t>'98615</t>
        </is>
      </c>
      <c r="E6414" s="0" t="inlineStr">
        <is>
          <t>HARPER:98651A-S</t>
        </is>
      </c>
      <c r="F6414" s="0" t="inlineStr">
        <is>
          <t>'000000000000</t>
        </is>
      </c>
      <c r="G6414" s="0" t="inlineStr">
        <is>
          <t>WOMENS</t>
        </is>
      </c>
      <c r="H6414" s="0" t="inlineStr">
        <is>
          <t>S</t>
        </is>
      </c>
      <c r="I6414" s="0">
        <v>29.99</v>
      </c>
      <c r="J6414" s="0">
        <v>20</v>
      </c>
    </row>
    <row r="6415" spans="1:10" customHeight="0">
      <c r="A6415" s="0">
        <f>HYPERLINK("https://dl.dropboxusercontent.com/scl/fi/5abxaa61kta7zvikmptc9/harpert.jpg?rlkey=jt8kjpn7i76zszocpq3wnh5vi&amp;dl=0","Click to download Image")</f>
      </c>
      <c r="B6415" s="0">
        <f>HYPERLINK("https://dl.dropboxusercontent.com/scl/fi/v7jfxbldq2kuor6ofplke/size-charts-women-s-pants-n.jpg?rlkey=4ukejsxv8qxitq0r3h0dwup9c&amp;dl=0","Click to download SizeChart")</f>
      </c>
      <c r="C6415" s="0" t="inlineStr">
        <is>
          <t>Harper Women's Sweatpants</t>
        </is>
      </c>
      <c r="D6415" s="0" t="inlineStr">
        <is>
          <t>'98615</t>
        </is>
      </c>
      <c r="E6415" s="0" t="inlineStr">
        <is>
          <t>HARPER:98651B-M</t>
        </is>
      </c>
      <c r="F6415" s="0" t="inlineStr">
        <is>
          <t>'000000000000</t>
        </is>
      </c>
      <c r="G6415" s="0" t="inlineStr">
        <is>
          <t>WOMENS</t>
        </is>
      </c>
      <c r="H6415" s="0" t="inlineStr">
        <is>
          <t>M</t>
        </is>
      </c>
      <c r="I6415" s="0">
        <v>29.99</v>
      </c>
      <c r="J6415" s="0">
        <v>18</v>
      </c>
    </row>
    <row r="6416" spans="1:10" customHeight="0">
      <c r="A6416" s="0">
        <f>HYPERLINK("https://dl.dropboxusercontent.com/scl/fi/5abxaa61kta7zvikmptc9/harpert.jpg?rlkey=jt8kjpn7i76zszocpq3wnh5vi&amp;dl=0","Click to download Image")</f>
      </c>
      <c r="B6416" s="0">
        <f>HYPERLINK("https://dl.dropboxusercontent.com/scl/fi/v7jfxbldq2kuor6ofplke/size-charts-women-s-pants-n.jpg?rlkey=4ukejsxv8qxitq0r3h0dwup9c&amp;dl=0","Click to download SizeChart")</f>
      </c>
      <c r="C6416" s="0" t="inlineStr">
        <is>
          <t>Harper Women's Sweatpants</t>
        </is>
      </c>
      <c r="D6416" s="0" t="inlineStr">
        <is>
          <t>'98615</t>
        </is>
      </c>
      <c r="E6416" s="0" t="inlineStr">
        <is>
          <t>HARPER:98651C-L</t>
        </is>
      </c>
      <c r="F6416" s="0" t="inlineStr">
        <is>
          <t>'000000000000</t>
        </is>
      </c>
      <c r="G6416" s="0" t="inlineStr">
        <is>
          <t>WOMENS</t>
        </is>
      </c>
      <c r="H6416" s="0" t="inlineStr">
        <is>
          <t>L</t>
        </is>
      </c>
      <c r="I6416" s="0">
        <v>29.99</v>
      </c>
      <c r="J6416" s="0">
        <v>7</v>
      </c>
    </row>
    <row r="6417" spans="1:10" customHeight="0">
      <c r="A6417" s="0">
        <f>HYPERLINK("https://dl.dropboxusercontent.com/scl/fi/5abxaa61kta7zvikmptc9/harpert.jpg?rlkey=jt8kjpn7i76zszocpq3wnh5vi&amp;dl=0","Click to download Image")</f>
      </c>
      <c r="B6417" s="0">
        <f>HYPERLINK("https://dl.dropboxusercontent.com/scl/fi/v7jfxbldq2kuor6ofplke/size-charts-women-s-pants-n.jpg?rlkey=4ukejsxv8qxitq0r3h0dwup9c&amp;dl=0","Click to download SizeChart")</f>
      </c>
      <c r="C6417" s="0" t="inlineStr">
        <is>
          <t>Harper Women's Sweatpants</t>
        </is>
      </c>
      <c r="D6417" s="0" t="inlineStr">
        <is>
          <t>'98615</t>
        </is>
      </c>
      <c r="E6417" s="0" t="inlineStr">
        <is>
          <t>HARPER:98651D-XL</t>
        </is>
      </c>
      <c r="F6417" s="0" t="inlineStr">
        <is>
          <t>'000000000000</t>
        </is>
      </c>
      <c r="G6417" s="0" t="inlineStr">
        <is>
          <t>WOMENS</t>
        </is>
      </c>
      <c r="H6417" s="0" t="inlineStr">
        <is>
          <t>XL</t>
        </is>
      </c>
      <c r="I6417" s="0">
        <v>29.99</v>
      </c>
      <c r="J6417" s="0">
        <v>14</v>
      </c>
    </row>
    <row r="6418" spans="1:10" customHeight="0">
      <c r="A6418" s="0">
        <f>HYPERLINK("https://dl.dropboxusercontent.com/scl/fi/sp9qxcw9phsyjccdrax3j/iagaryaf81667.jpg?rlkey=2ezb5h5b6pzmw3422hp075xio&amp;dl=0","Click to download Image")</f>
      </c>
      <c r="C6418" s="0" t="inlineStr">
        <is>
          <t>Gary Men's Sweatpants</t>
        </is>
      </c>
      <c r="D6418" s="0" t="inlineStr">
        <is>
          <t>'95900</t>
        </is>
      </c>
      <c r="E6418" s="0" t="inlineStr">
        <is>
          <t>GARY:95900A-S</t>
        </is>
      </c>
      <c r="F6418" s="0" t="inlineStr">
        <is>
          <t>'000000000000</t>
        </is>
      </c>
      <c r="G6418" s="0" t="inlineStr">
        <is>
          <t>MENS</t>
        </is>
      </c>
      <c r="H6418" s="0" t="inlineStr">
        <is>
          <t>S</t>
        </is>
      </c>
      <c r="I6418" s="0">
        <v>39.99</v>
      </c>
      <c r="J6418" s="0">
        <v>1</v>
      </c>
    </row>
    <row r="6419" spans="1:10" customHeight="0">
      <c r="A6419" s="0">
        <f>HYPERLINK("https://dl.dropboxusercontent.com/scl/fi/sp9qxcw9phsyjccdrax3j/iagaryaf81667.jpg?rlkey=2ezb5h5b6pzmw3422hp075xio&amp;dl=0","Click to download Image")</f>
      </c>
      <c r="C6419" s="0" t="inlineStr">
        <is>
          <t>Gary Men's Sweatpants</t>
        </is>
      </c>
      <c r="D6419" s="0" t="inlineStr">
        <is>
          <t>'95900</t>
        </is>
      </c>
      <c r="E6419" s="0" t="inlineStr">
        <is>
          <t>GARY:95900B-M</t>
        </is>
      </c>
      <c r="F6419" s="0" t="inlineStr">
        <is>
          <t>'000000000000</t>
        </is>
      </c>
      <c r="G6419" s="0" t="inlineStr">
        <is>
          <t>MENS</t>
        </is>
      </c>
      <c r="H6419" s="0" t="inlineStr">
        <is>
          <t>M</t>
        </is>
      </c>
      <c r="I6419" s="0">
        <v>39.99</v>
      </c>
      <c r="J6419" s="0">
        <v>3</v>
      </c>
    </row>
    <row r="6420" spans="1:10" customHeight="0">
      <c r="A6420" s="0">
        <f>HYPERLINK("https://dl.dropboxusercontent.com/scl/fi/sp9qxcw9phsyjccdrax3j/iagaryaf81667.jpg?rlkey=2ezb5h5b6pzmw3422hp075xio&amp;dl=0","Click to download Image")</f>
      </c>
      <c r="C6420" s="0" t="inlineStr">
        <is>
          <t>Gary Men's Sweatpants</t>
        </is>
      </c>
      <c r="D6420" s="0" t="inlineStr">
        <is>
          <t>'95900</t>
        </is>
      </c>
      <c r="E6420" s="0" t="inlineStr">
        <is>
          <t>GARY:95900C-L</t>
        </is>
      </c>
      <c r="F6420" s="0" t="inlineStr">
        <is>
          <t>'000000000000</t>
        </is>
      </c>
      <c r="G6420" s="0" t="inlineStr">
        <is>
          <t>MENS</t>
        </is>
      </c>
      <c r="H6420" s="0" t="inlineStr">
        <is>
          <t>L</t>
        </is>
      </c>
      <c r="I6420" s="0">
        <v>39.99</v>
      </c>
      <c r="J6420" s="0">
        <v>20</v>
      </c>
    </row>
    <row r="6421" spans="1:10" customHeight="0">
      <c r="A6421" s="0">
        <f>HYPERLINK("https://dl.dropboxusercontent.com/scl/fi/sp9qxcw9phsyjccdrax3j/iagaryaf81667.jpg?rlkey=2ezb5h5b6pzmw3422hp075xio&amp;dl=0","Click to download Image")</f>
      </c>
      <c r="C6421" s="0" t="inlineStr">
        <is>
          <t>Gary Men's Sweatpants</t>
        </is>
      </c>
      <c r="D6421" s="0" t="inlineStr">
        <is>
          <t>'95900</t>
        </is>
      </c>
      <c r="E6421" s="0" t="inlineStr">
        <is>
          <t>GARY:95900D-XL</t>
        </is>
      </c>
      <c r="F6421" s="0" t="inlineStr">
        <is>
          <t>'000000000000</t>
        </is>
      </c>
      <c r="G6421" s="0" t="inlineStr">
        <is>
          <t>MENS</t>
        </is>
      </c>
      <c r="H6421" s="0" t="inlineStr">
        <is>
          <t>XL</t>
        </is>
      </c>
      <c r="I6421" s="0">
        <v>39.99</v>
      </c>
      <c r="J6421" s="0">
        <v>50</v>
      </c>
    </row>
    <row r="6422" spans="1:10" customHeight="0">
      <c r="A6422" s="0">
        <f>HYPERLINK("https://dl.dropboxusercontent.com/scl/fi/sp9qxcw9phsyjccdrax3j/iagaryaf81667.jpg?rlkey=2ezb5h5b6pzmw3422hp075xio&amp;dl=0","Click to download Image")</f>
      </c>
      <c r="C6422" s="0" t="inlineStr">
        <is>
          <t>Gary Men's Sweatpants</t>
        </is>
      </c>
      <c r="D6422" s="0" t="inlineStr">
        <is>
          <t>'95900</t>
        </is>
      </c>
      <c r="E6422" s="0" t="inlineStr">
        <is>
          <t>GARY:95900E-2X</t>
        </is>
      </c>
      <c r="F6422" s="0" t="inlineStr">
        <is>
          <t>'000000000000</t>
        </is>
      </c>
      <c r="G6422" s="0" t="inlineStr">
        <is>
          <t>MENS</t>
        </is>
      </c>
      <c r="H6422" s="0" t="inlineStr">
        <is>
          <t>2XL</t>
        </is>
      </c>
      <c r="I6422" s="0">
        <v>41.99</v>
      </c>
      <c r="J6422" s="0">
        <v>32</v>
      </c>
    </row>
    <row r="6423" spans="1:10" customHeight="0">
      <c r="A6423" s="0">
        <f>HYPERLINK("https://dl.dropboxusercontent.com/scl/fi/sp9qxcw9phsyjccdrax3j/iagaryaf81667.jpg?rlkey=2ezb5h5b6pzmw3422hp075xio&amp;dl=0","Click to download Image")</f>
      </c>
      <c r="C6423" s="0" t="inlineStr">
        <is>
          <t>Gary Men's Sweatpants</t>
        </is>
      </c>
      <c r="D6423" s="0" t="inlineStr">
        <is>
          <t>'95900</t>
        </is>
      </c>
      <c r="E6423" s="0" t="inlineStr">
        <is>
          <t>GARY:95900F-3X</t>
        </is>
      </c>
      <c r="F6423" s="0" t="inlineStr">
        <is>
          <t>'000000000000</t>
        </is>
      </c>
      <c r="G6423" s="0" t="inlineStr">
        <is>
          <t>MENS</t>
        </is>
      </c>
      <c r="H6423" s="0" t="inlineStr">
        <is>
          <t>3XL</t>
        </is>
      </c>
      <c r="I6423" s="0">
        <v>41.99</v>
      </c>
      <c r="J6423" s="0">
        <v>12</v>
      </c>
    </row>
    <row r="6424" spans="1:10" customHeight="0">
      <c r="A6424" s="0">
        <f>HYPERLINK("https://dl.dropboxusercontent.com/scl/fi/1k1y9pbv41qmxjitvzv78/charliet.jpg?rlkey=sifk6scy5dr2bssdtjj162hlp&amp;dl=0","Click to download Image")</f>
      </c>
      <c r="C6424" s="0" t="inlineStr">
        <is>
          <t>Charlie Youth 1/2 Zip Hoodie</t>
        </is>
      </c>
      <c r="D6424" s="0" t="inlineStr">
        <is>
          <t>'98309</t>
        </is>
      </c>
      <c r="E6424" s="0" t="inlineStr">
        <is>
          <t>CHARLIE:98309D-XL</t>
        </is>
      </c>
      <c r="F6424" s="0" t="inlineStr">
        <is>
          <t>'000000000000</t>
        </is>
      </c>
      <c r="G6424" s="0" t="inlineStr">
        <is>
          <t>YOUTH</t>
        </is>
      </c>
      <c r="H6424" s="0" t="inlineStr">
        <is>
          <t>YXL</t>
        </is>
      </c>
      <c r="I6424" s="0">
        <v>39.99</v>
      </c>
      <c r="J6424" s="0">
        <v>22</v>
      </c>
    </row>
    <row r="6425" spans="1:10" customHeight="0">
      <c r="A6425" s="0">
        <f>HYPERLINK("https://dl.dropboxusercontent.com/scl/fi/2u12cldk4ru0z5u3nuf1y/jasper.jpg?rlkey=w2fkfq852bigthomr999i4ze4&amp;dl=0","Click to download Image")</f>
      </c>
      <c r="B6425" s="0">
        <f>HYPERLINK("https://dl.dropboxusercontent.com/scl/fi/xr2btn5t25y3wwtzdpptq/mens-d.jpg?rlkey=2y517p76kz0b9niziv5ut7iaj&amp;dl=0","Click to download SizeChart")</f>
      </c>
      <c r="C6425" s="0" t="inlineStr">
        <is>
          <t>Jasper Realtree Men's Full Zip Hoodie</t>
        </is>
      </c>
      <c r="D6425" s="0" t="inlineStr">
        <is>
          <t>'98559</t>
        </is>
      </c>
      <c r="E6425" s="0" t="inlineStr">
        <is>
          <t>JASPER:98559A-S</t>
        </is>
      </c>
      <c r="F6425" s="0" t="inlineStr">
        <is>
          <t>'000000000000</t>
        </is>
      </c>
      <c r="G6425" s="0" t="inlineStr">
        <is>
          <t>MENS</t>
        </is>
      </c>
      <c r="H6425" s="0" t="inlineStr">
        <is>
          <t>S</t>
        </is>
      </c>
      <c r="I6425" s="0">
        <v>64.99</v>
      </c>
      <c r="J6425" s="0">
        <v>48</v>
      </c>
    </row>
    <row r="6426" spans="1:10" customHeight="0">
      <c r="A6426" s="0">
        <f>HYPERLINK("https://dl.dropboxusercontent.com/scl/fi/2u12cldk4ru0z5u3nuf1y/jasper.jpg?rlkey=w2fkfq852bigthomr999i4ze4&amp;dl=0","Click to download Image")</f>
      </c>
      <c r="B6426" s="0">
        <f>HYPERLINK("https://dl.dropboxusercontent.com/scl/fi/xr2btn5t25y3wwtzdpptq/mens-d.jpg?rlkey=2y517p76kz0b9niziv5ut7iaj&amp;dl=0","Click to download SizeChart")</f>
      </c>
      <c r="C6426" s="0" t="inlineStr">
        <is>
          <t>Jasper Realtree Men's Full Zip Hoodie</t>
        </is>
      </c>
      <c r="D6426" s="0" t="inlineStr">
        <is>
          <t>'98559</t>
        </is>
      </c>
      <c r="E6426" s="0" t="inlineStr">
        <is>
          <t>JASPER:98559B-M</t>
        </is>
      </c>
      <c r="F6426" s="0" t="inlineStr">
        <is>
          <t>'000000000000</t>
        </is>
      </c>
      <c r="G6426" s="0" t="inlineStr">
        <is>
          <t>MENS</t>
        </is>
      </c>
      <c r="H6426" s="0" t="inlineStr">
        <is>
          <t>M</t>
        </is>
      </c>
      <c r="I6426" s="0">
        <v>64.99</v>
      </c>
      <c r="J6426" s="0">
        <v>56</v>
      </c>
    </row>
    <row r="6427" spans="1:10" customHeight="0">
      <c r="A6427" s="0">
        <f>HYPERLINK("https://dl.dropboxusercontent.com/scl/fi/2u12cldk4ru0z5u3nuf1y/jasper.jpg?rlkey=w2fkfq852bigthomr999i4ze4&amp;dl=0","Click to download Image")</f>
      </c>
      <c r="B6427" s="0">
        <f>HYPERLINK("https://dl.dropboxusercontent.com/scl/fi/xr2btn5t25y3wwtzdpptq/mens-d.jpg?rlkey=2y517p76kz0b9niziv5ut7iaj&amp;dl=0","Click to download SizeChart")</f>
      </c>
      <c r="C6427" s="0" t="inlineStr">
        <is>
          <t>Jasper Realtree Men's Full Zip Hoodie</t>
        </is>
      </c>
      <c r="D6427" s="0" t="inlineStr">
        <is>
          <t>'98559</t>
        </is>
      </c>
      <c r="E6427" s="0" t="inlineStr">
        <is>
          <t>JASPER:98559C-L</t>
        </is>
      </c>
      <c r="F6427" s="0" t="inlineStr">
        <is>
          <t>'000000000000</t>
        </is>
      </c>
      <c r="G6427" s="0" t="inlineStr">
        <is>
          <t>MENS</t>
        </is>
      </c>
      <c r="H6427" s="0" t="inlineStr">
        <is>
          <t>L</t>
        </is>
      </c>
      <c r="I6427" s="0">
        <v>64.99</v>
      </c>
      <c r="J6427" s="0">
        <v>47</v>
      </c>
    </row>
    <row r="6428" spans="1:10" customHeight="0">
      <c r="A6428" s="0">
        <f>HYPERLINK("https://dl.dropboxusercontent.com/scl/fi/2u12cldk4ru0z5u3nuf1y/jasper.jpg?rlkey=w2fkfq852bigthomr999i4ze4&amp;dl=0","Click to download Image")</f>
      </c>
      <c r="B6428" s="0">
        <f>HYPERLINK("https://dl.dropboxusercontent.com/scl/fi/xr2btn5t25y3wwtzdpptq/mens-d.jpg?rlkey=2y517p76kz0b9niziv5ut7iaj&amp;dl=0","Click to download SizeChart")</f>
      </c>
      <c r="C6428" s="0" t="inlineStr">
        <is>
          <t>Jasper Realtree Men's Full Zip Hoodie</t>
        </is>
      </c>
      <c r="D6428" s="0" t="inlineStr">
        <is>
          <t>'98559</t>
        </is>
      </c>
      <c r="E6428" s="0" t="inlineStr">
        <is>
          <t>JASPER:98559D-XL</t>
        </is>
      </c>
      <c r="F6428" s="0" t="inlineStr">
        <is>
          <t>'000000000000</t>
        </is>
      </c>
      <c r="G6428" s="0" t="inlineStr">
        <is>
          <t>MENS</t>
        </is>
      </c>
      <c r="H6428" s="0" t="inlineStr">
        <is>
          <t>XL</t>
        </is>
      </c>
      <c r="I6428" s="0">
        <v>64.99</v>
      </c>
      <c r="J6428" s="0">
        <v>49</v>
      </c>
    </row>
    <row r="6429" spans="1:10" customHeight="0">
      <c r="A6429" s="0">
        <f>HYPERLINK("https://dl.dropboxusercontent.com/scl/fi/2u12cldk4ru0z5u3nuf1y/jasper.jpg?rlkey=w2fkfq852bigthomr999i4ze4&amp;dl=0","Click to download Image")</f>
      </c>
      <c r="B6429" s="0">
        <f>HYPERLINK("https://dl.dropboxusercontent.com/scl/fi/xr2btn5t25y3wwtzdpptq/mens-d.jpg?rlkey=2y517p76kz0b9niziv5ut7iaj&amp;dl=0","Click to download SizeChart")</f>
      </c>
      <c r="C6429" s="0" t="inlineStr">
        <is>
          <t>Jasper Realtree Men's Full Zip Hoodie</t>
        </is>
      </c>
      <c r="D6429" s="0" t="inlineStr">
        <is>
          <t>'98559</t>
        </is>
      </c>
      <c r="E6429" s="0" t="inlineStr">
        <is>
          <t>JASPER:98559E-2XL</t>
        </is>
      </c>
      <c r="F6429" s="0" t="inlineStr">
        <is>
          <t>'000000000000</t>
        </is>
      </c>
      <c r="G6429" s="0" t="inlineStr">
        <is>
          <t>MENS</t>
        </is>
      </c>
      <c r="H6429" s="0" t="inlineStr">
        <is>
          <t>2XL</t>
        </is>
      </c>
      <c r="I6429" s="0">
        <v>66.99</v>
      </c>
      <c r="J6429" s="0">
        <v>38</v>
      </c>
    </row>
    <row r="6430" spans="1:10" customHeight="0">
      <c r="A6430" s="0">
        <f>HYPERLINK("https://dl.dropboxusercontent.com/scl/fi/2u12cldk4ru0z5u3nuf1y/jasper.jpg?rlkey=w2fkfq852bigthomr999i4ze4&amp;dl=0","Click to download Image")</f>
      </c>
      <c r="B6430" s="0">
        <f>HYPERLINK("https://dl.dropboxusercontent.com/scl/fi/xr2btn5t25y3wwtzdpptq/mens-d.jpg?rlkey=2y517p76kz0b9niziv5ut7iaj&amp;dl=0","Click to download SizeChart")</f>
      </c>
      <c r="C6430" s="0" t="inlineStr">
        <is>
          <t>Jasper Realtree Men's Full Zip Hoodie</t>
        </is>
      </c>
      <c r="D6430" s="0" t="inlineStr">
        <is>
          <t>'98559</t>
        </is>
      </c>
      <c r="E6430" s="0" t="inlineStr">
        <is>
          <t>JASPER:98559F-3XL</t>
        </is>
      </c>
      <c r="F6430" s="0" t="inlineStr">
        <is>
          <t>'000000000000</t>
        </is>
      </c>
      <c r="G6430" s="0" t="inlineStr">
        <is>
          <t>MENS</t>
        </is>
      </c>
      <c r="H6430" s="0" t="inlineStr">
        <is>
          <t>3XL</t>
        </is>
      </c>
      <c r="I6430" s="0">
        <v>66.99</v>
      </c>
      <c r="J6430" s="0">
        <v>15</v>
      </c>
    </row>
    <row r="6431" spans="1:10" customHeight="0">
      <c r="A6431" s="0">
        <f>HYPERLINK("https://dl.dropboxusercontent.com/scl/fi/pm4niy4wy22rw0a1xkeww/averyt.jpg?rlkey=wxqk6b744cri93xcmb47kqkna&amp;dl=0","Click to download Image")</f>
      </c>
      <c r="C6431" s="0" t="inlineStr">
        <is>
          <t>Avery Women's Keyhole Polo</t>
        </is>
      </c>
      <c r="D6431" s="0" t="inlineStr">
        <is>
          <t>'94645</t>
        </is>
      </c>
      <c r="E6431" s="0" t="inlineStr">
        <is>
          <t>AVERY:94645A-S</t>
        </is>
      </c>
      <c r="F6431" s="0" t="inlineStr">
        <is>
          <t>'000000000000</t>
        </is>
      </c>
      <c r="G6431" s="0" t="inlineStr">
        <is>
          <t>WOMENS</t>
        </is>
      </c>
      <c r="H6431" s="0" t="inlineStr">
        <is>
          <t>S</t>
        </is>
      </c>
      <c r="I6431" s="0">
        <v>22.99</v>
      </c>
      <c r="J6431" s="0">
        <v>24</v>
      </c>
    </row>
    <row r="6432" spans="1:10" customHeight="0">
      <c r="A6432" s="0">
        <f>HYPERLINK("https://dl.dropboxusercontent.com/scl/fi/pm4niy4wy22rw0a1xkeww/averyt.jpg?rlkey=wxqk6b744cri93xcmb47kqkna&amp;dl=0","Click to download Image")</f>
      </c>
      <c r="C6432" s="0" t="inlineStr">
        <is>
          <t>Avery Women's Keyhole Polo</t>
        </is>
      </c>
      <c r="D6432" s="0" t="inlineStr">
        <is>
          <t>'94645</t>
        </is>
      </c>
      <c r="E6432" s="0" t="inlineStr">
        <is>
          <t>AVERY:94645B-M</t>
        </is>
      </c>
      <c r="F6432" s="0" t="inlineStr">
        <is>
          <t>'000000000000</t>
        </is>
      </c>
      <c r="G6432" s="0" t="inlineStr">
        <is>
          <t>WOMENS</t>
        </is>
      </c>
      <c r="H6432" s="0" t="inlineStr">
        <is>
          <t>M</t>
        </is>
      </c>
      <c r="I6432" s="0">
        <v>22.99</v>
      </c>
      <c r="J6432" s="0">
        <v>44</v>
      </c>
    </row>
    <row r="6433" spans="1:10" customHeight="0">
      <c r="A6433" s="0">
        <f>HYPERLINK("https://dl.dropboxusercontent.com/scl/fi/pm4niy4wy22rw0a1xkeww/averyt.jpg?rlkey=wxqk6b744cri93xcmb47kqkna&amp;dl=0","Click to download Image")</f>
      </c>
      <c r="C6433" s="0" t="inlineStr">
        <is>
          <t>Avery Women's Keyhole Polo</t>
        </is>
      </c>
      <c r="D6433" s="0" t="inlineStr">
        <is>
          <t>'94645</t>
        </is>
      </c>
      <c r="E6433" s="0" t="inlineStr">
        <is>
          <t>AVERY:94645C-L</t>
        </is>
      </c>
      <c r="F6433" s="0" t="inlineStr">
        <is>
          <t>'000000000000</t>
        </is>
      </c>
      <c r="G6433" s="0" t="inlineStr">
        <is>
          <t>WOMENS</t>
        </is>
      </c>
      <c r="H6433" s="0" t="inlineStr">
        <is>
          <t>L</t>
        </is>
      </c>
      <c r="I6433" s="0">
        <v>22.99</v>
      </c>
      <c r="J6433" s="0">
        <v>94</v>
      </c>
    </row>
    <row r="6434" spans="1:10" customHeight="0">
      <c r="A6434" s="0">
        <f>HYPERLINK("https://dl.dropboxusercontent.com/scl/fi/pm4niy4wy22rw0a1xkeww/averyt.jpg?rlkey=wxqk6b744cri93xcmb47kqkna&amp;dl=0","Click to download Image")</f>
      </c>
      <c r="C6434" s="0" t="inlineStr">
        <is>
          <t>Avery Women's Keyhole Polo</t>
        </is>
      </c>
      <c r="D6434" s="0" t="inlineStr">
        <is>
          <t>'94645</t>
        </is>
      </c>
      <c r="E6434" s="0" t="inlineStr">
        <is>
          <t>AVERY:94645D-XL</t>
        </is>
      </c>
      <c r="F6434" s="0" t="inlineStr">
        <is>
          <t>'000000000000</t>
        </is>
      </c>
      <c r="G6434" s="0" t="inlineStr">
        <is>
          <t>WOMENS</t>
        </is>
      </c>
      <c r="H6434" s="0" t="inlineStr">
        <is>
          <t>XL</t>
        </is>
      </c>
      <c r="I6434" s="0">
        <v>22.99</v>
      </c>
      <c r="J6434" s="0">
        <v>94</v>
      </c>
    </row>
    <row r="6435" spans="1:10" customHeight="0">
      <c r="A6435" s="0">
        <f>HYPERLINK("https://dl.dropboxusercontent.com/scl/fi/pm4niy4wy22rw0a1xkeww/averyt.jpg?rlkey=wxqk6b744cri93xcmb47kqkna&amp;dl=0","Click to download Image")</f>
      </c>
      <c r="C6435" s="0" t="inlineStr">
        <is>
          <t>Avery Women's Keyhole Polo</t>
        </is>
      </c>
      <c r="D6435" s="0" t="inlineStr">
        <is>
          <t>'94645</t>
        </is>
      </c>
      <c r="E6435" s="0" t="inlineStr">
        <is>
          <t>AVERY:94645E-2XL</t>
        </is>
      </c>
      <c r="F6435" s="0" t="inlineStr">
        <is>
          <t>'000000000000</t>
        </is>
      </c>
      <c r="G6435" s="0" t="inlineStr">
        <is>
          <t>WOMENS</t>
        </is>
      </c>
      <c r="H6435" s="0" t="inlineStr">
        <is>
          <t>2XL</t>
        </is>
      </c>
      <c r="I6435" s="0">
        <v>24.99</v>
      </c>
      <c r="J6435" s="0">
        <v>29</v>
      </c>
    </row>
    <row r="6436" spans="1:10" customHeight="0">
      <c r="A6436" s="0">
        <f>HYPERLINK("https://dl.dropboxusercontent.com/scl/fi/aqfoupup2310sem3u5hpe/99876af66779.jpg?rlkey=l0755yt5zdwnhpvvd91qg6h26&amp;dl=0","Click to download Image")</f>
      </c>
      <c r="B6436" s="0">
        <f>HYPERLINK("https://dl.dropboxusercontent.com/scl/fi/n7s90p50mgi5an0lgma79/size-charts-mens-standard-fit-hoodie.jpg?rlkey=l8ayub6eekx0f9kwiodagkds0&amp;dl=0","Click to download SizeChart")</f>
      </c>
      <c r="C6436" s="0" t="inlineStr">
        <is>
          <t>Brett Men's 1/2 Zip Pullover</t>
        </is>
      </c>
      <c r="D6436" s="0" t="inlineStr">
        <is>
          <t>'99876</t>
        </is>
      </c>
      <c r="E6436" s="0" t="inlineStr">
        <is>
          <t>BRETT:99876F-3XL</t>
        </is>
      </c>
      <c r="F6436" s="0" t="inlineStr">
        <is>
          <t>'000000000000</t>
        </is>
      </c>
      <c r="G6436" s="0" t="inlineStr">
        <is>
          <t>MENS</t>
        </is>
      </c>
      <c r="H6436" s="0" t="inlineStr">
        <is>
          <t>3XL</t>
        </is>
      </c>
      <c r="I6436" s="0">
        <v>61.99</v>
      </c>
      <c r="J6436" s="0">
        <v>7</v>
      </c>
    </row>
    <row r="6437" spans="1:10" customHeight="0">
      <c r="A6437" s="0">
        <f>HYPERLINK("https://dl.dropboxusercontent.com/scl/fi/llz5lmcxc0jirp3r2435y/99881af28740.jpg?rlkey=xo5nzy043e8wl2bfqijmjlmyc&amp;dl=0","Click to download Image")</f>
      </c>
      <c r="B6437" s="0">
        <f>HYPERLINK("https://dl.dropboxusercontent.com/scl/fi/n7s90p50mgi5an0lgma79/size-charts-mens-standard-fit-hoodie.jpg?rlkey=l8ayub6eekx0f9kwiodagkds0&amp;dl=0","Click to download SizeChart")</f>
      </c>
      <c r="C6437" s="0" t="inlineStr">
        <is>
          <t>Brett Men's 1/2 Zip Pullover</t>
        </is>
      </c>
      <c r="D6437" s="0" t="inlineStr">
        <is>
          <t>'99881</t>
        </is>
      </c>
      <c r="E6437" s="0" t="inlineStr">
        <is>
          <t>BRETT:99881A-S</t>
        </is>
      </c>
      <c r="F6437" s="0" t="inlineStr">
        <is>
          <t>'000000000000</t>
        </is>
      </c>
      <c r="G6437" s="0" t="inlineStr">
        <is>
          <t>MENS</t>
        </is>
      </c>
      <c r="H6437" s="0" t="inlineStr">
        <is>
          <t>S</t>
        </is>
      </c>
      <c r="I6437" s="0">
        <v>59.99</v>
      </c>
      <c r="J6437" s="0">
        <v>1</v>
      </c>
    </row>
    <row r="6438" spans="1:10" customHeight="0">
      <c r="A6438" s="0">
        <f>HYPERLINK("https://dl.dropboxusercontent.com/scl/fi/llz5lmcxc0jirp3r2435y/99881af28740.jpg?rlkey=xo5nzy043e8wl2bfqijmjlmyc&amp;dl=0","Click to download Image")</f>
      </c>
      <c r="B6438" s="0">
        <f>HYPERLINK("https://dl.dropboxusercontent.com/scl/fi/n7s90p50mgi5an0lgma79/size-charts-mens-standard-fit-hoodie.jpg?rlkey=l8ayub6eekx0f9kwiodagkds0&amp;dl=0","Click to download SizeChart")</f>
      </c>
      <c r="C6438" s="0" t="inlineStr">
        <is>
          <t>Brett Men's 1/2 Zip Pullover</t>
        </is>
      </c>
      <c r="D6438" s="0" t="inlineStr">
        <is>
          <t>'99881</t>
        </is>
      </c>
      <c r="E6438" s="0" t="inlineStr">
        <is>
          <t>BRETT:99881C-L</t>
        </is>
      </c>
      <c r="F6438" s="0" t="inlineStr">
        <is>
          <t>'000000000000</t>
        </is>
      </c>
      <c r="G6438" s="0" t="inlineStr">
        <is>
          <t>MENS</t>
        </is>
      </c>
      <c r="H6438" s="0" t="inlineStr">
        <is>
          <t>L</t>
        </is>
      </c>
      <c r="I6438" s="0">
        <v>59.99</v>
      </c>
      <c r="J6438" s="0">
        <v>12</v>
      </c>
    </row>
    <row r="6439" spans="1:10" customHeight="0">
      <c r="A6439" s="0">
        <f>HYPERLINK("https://dl.dropboxusercontent.com/scl/fi/7iabipuias6c1pg9oy4fv/janey-t.jpg?rlkey=ym5kzryphj9q9ixldrqpdjn8c&amp;dl=0","Click to download Image")</f>
      </c>
      <c r="B6439" s="0">
        <f>HYPERLINK("https://dl.dropboxusercontent.com/scl/fi/s1q40k98d0pc1tysd0jfp/size-chartladies-e.jpg?rlkey=mkec4m9a3xc55gp4m9x66jfmb&amp;dl=0","Click to download SizeChart")</f>
      </c>
      <c r="C6439" s="0" t="inlineStr">
        <is>
          <t>Janey Women's Tank Top</t>
        </is>
      </c>
      <c r="D6439" s="0" t="inlineStr">
        <is>
          <t>'94185</t>
        </is>
      </c>
      <c r="E6439" s="0" t="inlineStr">
        <is>
          <t>JANEY TANK:94185A-S</t>
        </is>
      </c>
      <c r="F6439" s="0" t="inlineStr">
        <is>
          <t>'000000000000</t>
        </is>
      </c>
      <c r="G6439" s="0" t="inlineStr">
        <is>
          <t>WOMENS</t>
        </is>
      </c>
      <c r="H6439" s="0" t="inlineStr">
        <is>
          <t>S</t>
        </is>
      </c>
      <c r="I6439" s="0">
        <v>39.99</v>
      </c>
      <c r="J6439" s="0">
        <v>9</v>
      </c>
    </row>
    <row r="6440" spans="1:10" customHeight="0">
      <c r="A6440" s="0">
        <f>HYPERLINK("https://dl.dropboxusercontent.com/scl/fi/7iabipuias6c1pg9oy4fv/janey-t.jpg?rlkey=ym5kzryphj9q9ixldrqpdjn8c&amp;dl=0","Click to download Image")</f>
      </c>
      <c r="B6440" s="0">
        <f>HYPERLINK("https://dl.dropboxusercontent.com/scl/fi/s1q40k98d0pc1tysd0jfp/size-chartladies-e.jpg?rlkey=mkec4m9a3xc55gp4m9x66jfmb&amp;dl=0","Click to download SizeChart")</f>
      </c>
      <c r="C6440" s="0" t="inlineStr">
        <is>
          <t>Janey Women's Tank Top</t>
        </is>
      </c>
      <c r="D6440" s="0" t="inlineStr">
        <is>
          <t>'94185</t>
        </is>
      </c>
      <c r="E6440" s="0" t="inlineStr">
        <is>
          <t>JANEY TANK:94185B- M</t>
        </is>
      </c>
      <c r="F6440" s="0" t="inlineStr">
        <is>
          <t>'000000000000</t>
        </is>
      </c>
      <c r="G6440" s="0" t="inlineStr">
        <is>
          <t>WOMENS</t>
        </is>
      </c>
      <c r="H6440" s="0" t="inlineStr">
        <is>
          <t>M</t>
        </is>
      </c>
      <c r="I6440" s="0">
        <v>39.99</v>
      </c>
      <c r="J6440" s="0">
        <v>16</v>
      </c>
    </row>
    <row r="6441" spans="1:10" customHeight="0">
      <c r="A6441" s="0">
        <f>HYPERLINK("https://dl.dropboxusercontent.com/scl/fi/7iabipuias6c1pg9oy4fv/janey-t.jpg?rlkey=ym5kzryphj9q9ixldrqpdjn8c&amp;dl=0","Click to download Image")</f>
      </c>
      <c r="B6441" s="0">
        <f>HYPERLINK("https://dl.dropboxusercontent.com/scl/fi/s1q40k98d0pc1tysd0jfp/size-chartladies-e.jpg?rlkey=mkec4m9a3xc55gp4m9x66jfmb&amp;dl=0","Click to download SizeChart")</f>
      </c>
      <c r="C6441" s="0" t="inlineStr">
        <is>
          <t>Janey Women's Tank Top</t>
        </is>
      </c>
      <c r="D6441" s="0" t="inlineStr">
        <is>
          <t>'94185</t>
        </is>
      </c>
      <c r="E6441" s="0" t="inlineStr">
        <is>
          <t>JANEY TANK:94185C- L</t>
        </is>
      </c>
      <c r="F6441" s="0" t="inlineStr">
        <is>
          <t>'000000000000</t>
        </is>
      </c>
      <c r="G6441" s="0" t="inlineStr">
        <is>
          <t>WOMENS</t>
        </is>
      </c>
      <c r="H6441" s="0" t="inlineStr">
        <is>
          <t>L</t>
        </is>
      </c>
      <c r="I6441" s="0">
        <v>39.99</v>
      </c>
      <c r="J6441" s="0">
        <v>70</v>
      </c>
    </row>
    <row r="6442" spans="1:10" customHeight="0">
      <c r="A6442" s="0">
        <f>HYPERLINK("https://dl.dropboxusercontent.com/scl/fi/7iabipuias6c1pg9oy4fv/janey-t.jpg?rlkey=ym5kzryphj9q9ixldrqpdjn8c&amp;dl=0","Click to download Image")</f>
      </c>
      <c r="B6442" s="0">
        <f>HYPERLINK("https://dl.dropboxusercontent.com/scl/fi/s1q40k98d0pc1tysd0jfp/size-chartladies-e.jpg?rlkey=mkec4m9a3xc55gp4m9x66jfmb&amp;dl=0","Click to download SizeChart")</f>
      </c>
      <c r="C6442" s="0" t="inlineStr">
        <is>
          <t>Janey Women's Tank Top</t>
        </is>
      </c>
      <c r="D6442" s="0" t="inlineStr">
        <is>
          <t>'94185</t>
        </is>
      </c>
      <c r="E6442" s="0" t="inlineStr">
        <is>
          <t>JANEY TANK:94185D- XL</t>
        </is>
      </c>
      <c r="F6442" s="0" t="inlineStr">
        <is>
          <t>'000000000000</t>
        </is>
      </c>
      <c r="G6442" s="0" t="inlineStr">
        <is>
          <t>WOMENS</t>
        </is>
      </c>
      <c r="H6442" s="0" t="inlineStr">
        <is>
          <t>XL</t>
        </is>
      </c>
      <c r="I6442" s="0">
        <v>39.99</v>
      </c>
      <c r="J6442" s="0">
        <v>78</v>
      </c>
    </row>
    <row r="6443" spans="1:10" customHeight="0">
      <c r="A6443" s="0">
        <f>HYPERLINK("https://dl.dropboxusercontent.com/scl/fi/7iabipuias6c1pg9oy4fv/janey-t.jpg?rlkey=ym5kzryphj9q9ixldrqpdjn8c&amp;dl=0","Click to download Image")</f>
      </c>
      <c r="B6443" s="0">
        <f>HYPERLINK("https://dl.dropboxusercontent.com/scl/fi/s1q40k98d0pc1tysd0jfp/size-chartladies-e.jpg?rlkey=mkec4m9a3xc55gp4m9x66jfmb&amp;dl=0","Click to download SizeChart")</f>
      </c>
      <c r="C6443" s="0" t="inlineStr">
        <is>
          <t>Janey Women's Tank Top</t>
        </is>
      </c>
      <c r="D6443" s="0" t="inlineStr">
        <is>
          <t>'94185</t>
        </is>
      </c>
      <c r="E6443" s="0" t="inlineStr">
        <is>
          <t>JANEY TANK:94185E- 2XL</t>
        </is>
      </c>
      <c r="F6443" s="0" t="inlineStr">
        <is>
          <t>'000000000000</t>
        </is>
      </c>
      <c r="G6443" s="0" t="inlineStr">
        <is>
          <t>WOMENS</t>
        </is>
      </c>
      <c r="H6443" s="0" t="inlineStr">
        <is>
          <t>2XL</t>
        </is>
      </c>
      <c r="I6443" s="0">
        <v>41.99</v>
      </c>
      <c r="J6443" s="0">
        <v>10</v>
      </c>
    </row>
    <row r="6444" spans="1:10" customHeight="0">
      <c r="A6444" s="0">
        <f>HYPERLINK("https://dl.dropboxusercontent.com/scl/fi/ij4duiz9wnw3tp43b66w5/janey-j.jpg?rlkey=2hd37rtx6h2elhdi77422d3r2&amp;dl=0","Click to download Image")</f>
      </c>
      <c r="B6444" s="0">
        <f>HYPERLINK("https://dl.dropboxusercontent.com/scl/fi/chp7za4stor2oc5t6so1h/size-chartladies-c.jpg?rlkey=uixmecfp7d7x6gq8akipzd40k&amp;dl=0","Click to download SizeChart")</f>
      </c>
      <c r="C6444" s="0" t="inlineStr">
        <is>
          <t>Janey Women's Jacket - Removable Sleeves</t>
        </is>
      </c>
      <c r="D6444" s="0" t="inlineStr">
        <is>
          <t>'95568</t>
        </is>
      </c>
      <c r="E6444" s="0" t="inlineStr">
        <is>
          <t>JANEY FITNESS:95568A-S</t>
        </is>
      </c>
      <c r="F6444" s="0" t="inlineStr">
        <is>
          <t>'000000000000</t>
        </is>
      </c>
      <c r="G6444" s="0" t="inlineStr">
        <is>
          <t>WOMENS</t>
        </is>
      </c>
      <c r="H6444" s="0" t="inlineStr">
        <is>
          <t>S</t>
        </is>
      </c>
      <c r="I6444" s="0">
        <v>59.99</v>
      </c>
      <c r="J6444" s="0">
        <v>11</v>
      </c>
    </row>
    <row r="6445" spans="1:10" customHeight="0">
      <c r="A6445" s="0">
        <f>HYPERLINK("https://dl.dropboxusercontent.com/scl/fi/ij4duiz9wnw3tp43b66w5/janey-j.jpg?rlkey=2hd37rtx6h2elhdi77422d3r2&amp;dl=0","Click to download Image")</f>
      </c>
      <c r="B6445" s="0">
        <f>HYPERLINK("https://dl.dropboxusercontent.com/scl/fi/chp7za4stor2oc5t6so1h/size-chartladies-c.jpg?rlkey=uixmecfp7d7x6gq8akipzd40k&amp;dl=0","Click to download SizeChart")</f>
      </c>
      <c r="C6445" s="0" t="inlineStr">
        <is>
          <t>Janey Women's Jacket - Removable Sleeves</t>
        </is>
      </c>
      <c r="D6445" s="0" t="inlineStr">
        <is>
          <t>'95568</t>
        </is>
      </c>
      <c r="E6445" s="0" t="inlineStr">
        <is>
          <t>JANEY FITNESS:95568B-M</t>
        </is>
      </c>
      <c r="F6445" s="0" t="inlineStr">
        <is>
          <t>'000000000000</t>
        </is>
      </c>
      <c r="G6445" s="0" t="inlineStr">
        <is>
          <t>WOMENS</t>
        </is>
      </c>
      <c r="H6445" s="0" t="inlineStr">
        <is>
          <t>M</t>
        </is>
      </c>
      <c r="I6445" s="0">
        <v>59.99</v>
      </c>
      <c r="J6445" s="0">
        <v>13</v>
      </c>
    </row>
    <row r="6446" spans="1:10" customHeight="0">
      <c r="A6446" s="0">
        <f>HYPERLINK("https://dl.dropboxusercontent.com/scl/fi/ij4duiz9wnw3tp43b66w5/janey-j.jpg?rlkey=2hd37rtx6h2elhdi77422d3r2&amp;dl=0","Click to download Image")</f>
      </c>
      <c r="B6446" s="0">
        <f>HYPERLINK("https://dl.dropboxusercontent.com/scl/fi/chp7za4stor2oc5t6so1h/size-chartladies-c.jpg?rlkey=uixmecfp7d7x6gq8akipzd40k&amp;dl=0","Click to download SizeChart")</f>
      </c>
      <c r="C6446" s="0" t="inlineStr">
        <is>
          <t>Janey Women's Jacket - Removable Sleeves</t>
        </is>
      </c>
      <c r="D6446" s="0" t="inlineStr">
        <is>
          <t>'95568</t>
        </is>
      </c>
      <c r="E6446" s="0" t="inlineStr">
        <is>
          <t>JANEY FITNESS:95568C-L</t>
        </is>
      </c>
      <c r="F6446" s="0" t="inlineStr">
        <is>
          <t>'000000000000</t>
        </is>
      </c>
      <c r="G6446" s="0" t="inlineStr">
        <is>
          <t>WOMENS</t>
        </is>
      </c>
      <c r="H6446" s="0" t="inlineStr">
        <is>
          <t>L</t>
        </is>
      </c>
      <c r="I6446" s="0">
        <v>59.99</v>
      </c>
      <c r="J6446" s="0">
        <v>4</v>
      </c>
    </row>
    <row r="6447" spans="1:10" customHeight="0">
      <c r="A6447" s="0">
        <f>HYPERLINK("https://dl.dropboxusercontent.com/scl/fi/ij4duiz9wnw3tp43b66w5/janey-j.jpg?rlkey=2hd37rtx6h2elhdi77422d3r2&amp;dl=0","Click to download Image")</f>
      </c>
      <c r="B6447" s="0">
        <f>HYPERLINK("https://dl.dropboxusercontent.com/scl/fi/chp7za4stor2oc5t6so1h/size-chartladies-c.jpg?rlkey=uixmecfp7d7x6gq8akipzd40k&amp;dl=0","Click to download SizeChart")</f>
      </c>
      <c r="C6447" s="0" t="inlineStr">
        <is>
          <t>Janey Women's Jacket - Removable Sleeves</t>
        </is>
      </c>
      <c r="D6447" s="0" t="inlineStr">
        <is>
          <t>'95568</t>
        </is>
      </c>
      <c r="E6447" s="0" t="inlineStr">
        <is>
          <t>JANEY FITNESS:95568D-XL</t>
        </is>
      </c>
      <c r="F6447" s="0" t="inlineStr">
        <is>
          <t>'000000000000</t>
        </is>
      </c>
      <c r="G6447" s="0" t="inlineStr">
        <is>
          <t>WOMENS</t>
        </is>
      </c>
      <c r="H6447" s="0" t="inlineStr">
        <is>
          <t>XL</t>
        </is>
      </c>
      <c r="I6447" s="0">
        <v>59.99</v>
      </c>
      <c r="J6447" s="0">
        <v>25</v>
      </c>
    </row>
    <row r="6448" spans="1:10" customHeight="0">
      <c r="A6448" s="0">
        <f>HYPERLINK("https://dl.dropboxusercontent.com/scl/fi/ij4duiz9wnw3tp43b66w5/janey-j.jpg?rlkey=2hd37rtx6h2elhdi77422d3r2&amp;dl=0","Click to download Image")</f>
      </c>
      <c r="B6448" s="0">
        <f>HYPERLINK("https://dl.dropboxusercontent.com/scl/fi/chp7za4stor2oc5t6so1h/size-chartladies-c.jpg?rlkey=uixmecfp7d7x6gq8akipzd40k&amp;dl=0","Click to download SizeChart")</f>
      </c>
      <c r="C6448" s="0" t="inlineStr">
        <is>
          <t>Janey Women's Jacket - Removable Sleeves</t>
        </is>
      </c>
      <c r="D6448" s="0" t="inlineStr">
        <is>
          <t>'95568</t>
        </is>
      </c>
      <c r="E6448" s="0" t="inlineStr">
        <is>
          <t>JANEY FITNESS:95568E-2XL</t>
        </is>
      </c>
      <c r="F6448" s="0" t="inlineStr">
        <is>
          <t>'000000000000</t>
        </is>
      </c>
      <c r="G6448" s="0" t="inlineStr">
        <is>
          <t>WOMENS</t>
        </is>
      </c>
      <c r="H6448" s="0" t="inlineStr">
        <is>
          <t>2XL</t>
        </is>
      </c>
      <c r="I6448" s="0">
        <v>61.99</v>
      </c>
      <c r="J6448" s="0">
        <v>18</v>
      </c>
    </row>
    <row r="6449" spans="1:10" customHeight="0">
      <c r="A6449" s="0">
        <f>HYPERLINK("https://dl.dropboxusercontent.com/scl/fi/j9024moeac8q6rllm9lbb/youth-masks.jpg?rlkey=b2m9v94y10354b7jwh47kqnnu&amp;dl=0","Click to download Image")</f>
      </c>
      <c r="C6449" s="0" t="inlineStr">
        <is>
          <t>Youth Printed Reusable Face Mask</t>
        </is>
      </c>
      <c r="D6449" s="0" t="inlineStr">
        <is>
          <t>'120154PK</t>
        </is>
      </c>
      <c r="E6449" s="0" t="inlineStr">
        <is>
          <t>IOWA YOUTH MASK:120154PK</t>
        </is>
      </c>
      <c r="F6449" s="0" t="inlineStr">
        <is>
          <t>'000000000000</t>
        </is>
      </c>
      <c r="I6449" s="0">
        <v>59.99</v>
      </c>
      <c r="J6449" s="0">
        <v>920</v>
      </c>
    </row>
    <row r="6450" spans="1:10" customHeight="0">
      <c r="A6450" s="0">
        <f>HYPERLINK("https://dl.dropboxusercontent.com/scl/fi/fewijv3zye12myo2uwfhq/youth-masks.jpg?rlkey=johp7cxaavs002037hgrkqgod&amp;dl=0","Click to download Image")</f>
      </c>
      <c r="C6450" s="0" t="inlineStr">
        <is>
          <t>Youth Printed Reusable Face Mask</t>
        </is>
      </c>
      <c r="D6450" s="0" t="inlineStr">
        <is>
          <t>'120152PK</t>
        </is>
      </c>
      <c r="E6450" s="0" t="inlineStr">
        <is>
          <t>ISU YOUTH MASK:120152PK</t>
        </is>
      </c>
      <c r="F6450" s="0" t="inlineStr">
        <is>
          <t>'000000000000</t>
        </is>
      </c>
      <c r="I6450" s="0">
        <v>59.99</v>
      </c>
      <c r="J6450" s="0">
        <v>384</v>
      </c>
    </row>
    <row r="6451" spans="1:10" customHeight="0">
      <c r="A6451" s="0">
        <f>HYPERLINK("https://dl.dropboxusercontent.com/scl/fi/vio8h448s3u4daralhgkp/youth-face-masks.jpg?rlkey=ht06ut2grs5ab2qa1jatnx494&amp;dl=0","Click to download Image")</f>
      </c>
      <c r="C6451" s="0" t="inlineStr">
        <is>
          <t>Youth Printed Reusable Face Mask</t>
        </is>
      </c>
      <c r="D6451" s="0" t="inlineStr">
        <is>
          <t>'120153PK</t>
        </is>
      </c>
      <c r="E6451" s="0" t="inlineStr">
        <is>
          <t>UNI YOUTH MASK:120153PK</t>
        </is>
      </c>
      <c r="F6451" s="0" t="inlineStr">
        <is>
          <t>'000000000000</t>
        </is>
      </c>
      <c r="I6451" s="0">
        <v>59.99</v>
      </c>
      <c r="J6451" s="0">
        <v>688</v>
      </c>
    </row>
    <row r="6452" spans="1:10" customHeight="0">
      <c r="A6452" s="0">
        <f>HYPERLINK("https://dl.dropboxusercontent.com/scl/fi/70krl81fjk6kzk88bglg2/janey-j-03.jpg?rlkey=kf3c2yvy8kpm0yxh1vbxtwmc8&amp;dl=0","Click to download Image")</f>
      </c>
      <c r="B6452" s="0">
        <f>HYPERLINK("https://dl.dropboxusercontent.com/scl/fi/5yz52dqi7iid4yjg2girm/size-chartladies-e.jpg?rlkey=xrhl7zckoiis3zgid1f2mzzwp&amp;dl=0","Click to download SizeChart")</f>
      </c>
      <c r="C6452" s="0" t="inlineStr">
        <is>
          <t>Janey Women's Lightweight Jacket</t>
        </is>
      </c>
      <c r="D6452" s="0" t="inlineStr">
        <is>
          <t>'96610</t>
        </is>
      </c>
      <c r="E6452" s="0" t="inlineStr">
        <is>
          <t>JANEY FITNESS:96610A-S</t>
        </is>
      </c>
      <c r="F6452" s="0" t="inlineStr">
        <is>
          <t>'000000000000</t>
        </is>
      </c>
      <c r="G6452" s="0" t="inlineStr">
        <is>
          <t>WOMENS</t>
        </is>
      </c>
      <c r="H6452" s="0" t="inlineStr">
        <is>
          <t>S</t>
        </is>
      </c>
      <c r="I6452" s="0">
        <v>54.99</v>
      </c>
      <c r="J6452" s="0">
        <v>40</v>
      </c>
    </row>
    <row r="6453" spans="1:10" customHeight="0">
      <c r="A6453" s="0">
        <f>HYPERLINK("https://dl.dropboxusercontent.com/scl/fi/70krl81fjk6kzk88bglg2/janey-j-03.jpg?rlkey=kf3c2yvy8kpm0yxh1vbxtwmc8&amp;dl=0","Click to download Image")</f>
      </c>
      <c r="B6453" s="0">
        <f>HYPERLINK("https://dl.dropboxusercontent.com/scl/fi/5yz52dqi7iid4yjg2girm/size-chartladies-e.jpg?rlkey=xrhl7zckoiis3zgid1f2mzzwp&amp;dl=0","Click to download SizeChart")</f>
      </c>
      <c r="C6453" s="0" t="inlineStr">
        <is>
          <t>Janey Women's Lightweight Jacket</t>
        </is>
      </c>
      <c r="D6453" s="0" t="inlineStr">
        <is>
          <t>'96610</t>
        </is>
      </c>
      <c r="E6453" s="0" t="inlineStr">
        <is>
          <t>JANEY FITNESS:96610B-M</t>
        </is>
      </c>
      <c r="F6453" s="0" t="inlineStr">
        <is>
          <t>'000000000000</t>
        </is>
      </c>
      <c r="G6453" s="0" t="inlineStr">
        <is>
          <t>WOMENS</t>
        </is>
      </c>
      <c r="H6453" s="0" t="inlineStr">
        <is>
          <t>M</t>
        </is>
      </c>
      <c r="I6453" s="0">
        <v>54.99</v>
      </c>
      <c r="J6453" s="0">
        <v>22</v>
      </c>
    </row>
    <row r="6454" spans="1:10" customHeight="0">
      <c r="A6454" s="0">
        <f>HYPERLINK("https://dl.dropboxusercontent.com/scl/fi/70krl81fjk6kzk88bglg2/janey-j-03.jpg?rlkey=kf3c2yvy8kpm0yxh1vbxtwmc8&amp;dl=0","Click to download Image")</f>
      </c>
      <c r="B6454" s="0">
        <f>HYPERLINK("https://dl.dropboxusercontent.com/scl/fi/5yz52dqi7iid4yjg2girm/size-chartladies-e.jpg?rlkey=xrhl7zckoiis3zgid1f2mzzwp&amp;dl=0","Click to download SizeChart")</f>
      </c>
      <c r="C6454" s="0" t="inlineStr">
        <is>
          <t>Janey Women's Lightweight Jacket</t>
        </is>
      </c>
      <c r="D6454" s="0" t="inlineStr">
        <is>
          <t>'96610</t>
        </is>
      </c>
      <c r="E6454" s="0" t="inlineStr">
        <is>
          <t>JANEY FITNESS:96610C-L</t>
        </is>
      </c>
      <c r="F6454" s="0" t="inlineStr">
        <is>
          <t>'000000000000</t>
        </is>
      </c>
      <c r="G6454" s="0" t="inlineStr">
        <is>
          <t>WOMENS</t>
        </is>
      </c>
      <c r="H6454" s="0" t="inlineStr">
        <is>
          <t>L</t>
        </is>
      </c>
      <c r="I6454" s="0">
        <v>54.99</v>
      </c>
      <c r="J6454" s="0">
        <v>80</v>
      </c>
    </row>
    <row r="6455" spans="1:10" customHeight="0">
      <c r="A6455" s="0">
        <f>HYPERLINK("https://dl.dropboxusercontent.com/scl/fi/70krl81fjk6kzk88bglg2/janey-j-03.jpg?rlkey=kf3c2yvy8kpm0yxh1vbxtwmc8&amp;dl=0","Click to download Image")</f>
      </c>
      <c r="B6455" s="0">
        <f>HYPERLINK("https://dl.dropboxusercontent.com/scl/fi/5yz52dqi7iid4yjg2girm/size-chartladies-e.jpg?rlkey=xrhl7zckoiis3zgid1f2mzzwp&amp;dl=0","Click to download SizeChart")</f>
      </c>
      <c r="C6455" s="0" t="inlineStr">
        <is>
          <t>Janey Women's Lightweight Jacket</t>
        </is>
      </c>
      <c r="D6455" s="0" t="inlineStr">
        <is>
          <t>'96610</t>
        </is>
      </c>
      <c r="E6455" s="0" t="inlineStr">
        <is>
          <t>JANEY FITNESS:96610D-XL</t>
        </is>
      </c>
      <c r="F6455" s="0" t="inlineStr">
        <is>
          <t>'000000000000</t>
        </is>
      </c>
      <c r="G6455" s="0" t="inlineStr">
        <is>
          <t>WOMENS</t>
        </is>
      </c>
      <c r="H6455" s="0" t="inlineStr">
        <is>
          <t>XL</t>
        </is>
      </c>
      <c r="I6455" s="0">
        <v>54.99</v>
      </c>
      <c r="J6455" s="0">
        <v>86</v>
      </c>
    </row>
    <row r="6456" spans="1:10" customHeight="0">
      <c r="A6456" s="0">
        <f>HYPERLINK("https://dl.dropboxusercontent.com/scl/fi/70krl81fjk6kzk88bglg2/janey-j-03.jpg?rlkey=kf3c2yvy8kpm0yxh1vbxtwmc8&amp;dl=0","Click to download Image")</f>
      </c>
      <c r="B6456" s="0">
        <f>HYPERLINK("https://dl.dropboxusercontent.com/scl/fi/5yz52dqi7iid4yjg2girm/size-chartladies-e.jpg?rlkey=xrhl7zckoiis3zgid1f2mzzwp&amp;dl=0","Click to download SizeChart")</f>
      </c>
      <c r="C6456" s="0" t="inlineStr">
        <is>
          <t>Janey Women's Lightweight Jacket</t>
        </is>
      </c>
      <c r="D6456" s="0" t="inlineStr">
        <is>
          <t>'96610</t>
        </is>
      </c>
      <c r="E6456" s="0" t="inlineStr">
        <is>
          <t>JANEY FITNESS:96610E-2XL</t>
        </is>
      </c>
      <c r="F6456" s="0" t="inlineStr">
        <is>
          <t>'000000000000</t>
        </is>
      </c>
      <c r="G6456" s="0" t="inlineStr">
        <is>
          <t>WOMENS</t>
        </is>
      </c>
      <c r="H6456" s="0" t="inlineStr">
        <is>
          <t>2XL</t>
        </is>
      </c>
      <c r="I6456" s="0">
        <v>56.99</v>
      </c>
      <c r="J6456" s="0">
        <v>21</v>
      </c>
    </row>
    <row r="6457" spans="1:10" customHeight="0">
      <c r="A6457" s="0">
        <f>HYPERLINK("https://dl.dropboxusercontent.com/scl/fi/nqbqrlqnaqfrrfn83tqkd/isaiah-03.jpg?rlkey=mtbtwgc58joyv5ndskvnv1x99&amp;dl=0","Click to download Image")</f>
      </c>
      <c r="B6457" s="0">
        <f>HYPERLINK("https://dl.dropboxusercontent.com/scl/fi/z43amls9nn8usrsnhq7vp/mens-d.jpg?rlkey=qdt0qdrtkksxynpjutwrqnybd&amp;dl=0","Click to download SizeChart")</f>
      </c>
      <c r="C6457" s="0" t="inlineStr">
        <is>
          <t>Isaiah Men's 1/2 Zip Hoodie</t>
        </is>
      </c>
      <c r="D6457" s="0" t="inlineStr">
        <is>
          <t>'95562</t>
        </is>
      </c>
      <c r="E6457" s="0" t="inlineStr">
        <is>
          <t>ISAIAH:95562A-S</t>
        </is>
      </c>
      <c r="F6457" s="0" t="inlineStr">
        <is>
          <t>'000000000000</t>
        </is>
      </c>
      <c r="G6457" s="0" t="inlineStr">
        <is>
          <t>MENS</t>
        </is>
      </c>
      <c r="H6457" s="0" t="inlineStr">
        <is>
          <t>S</t>
        </is>
      </c>
      <c r="I6457" s="0">
        <v>49.99</v>
      </c>
      <c r="J6457" s="0">
        <v>20</v>
      </c>
    </row>
    <row r="6458" spans="1:10" customHeight="0">
      <c r="A6458" s="0">
        <f>HYPERLINK("https://dl.dropboxusercontent.com/scl/fi/nqbqrlqnaqfrrfn83tqkd/isaiah-03.jpg?rlkey=mtbtwgc58joyv5ndskvnv1x99&amp;dl=0","Click to download Image")</f>
      </c>
      <c r="B6458" s="0">
        <f>HYPERLINK("https://dl.dropboxusercontent.com/scl/fi/z43amls9nn8usrsnhq7vp/mens-d.jpg?rlkey=qdt0qdrtkksxynpjutwrqnybd&amp;dl=0","Click to download SizeChart")</f>
      </c>
      <c r="C6458" s="0" t="inlineStr">
        <is>
          <t>Isaiah Men's 1/2 Zip Hoodie</t>
        </is>
      </c>
      <c r="D6458" s="0" t="inlineStr">
        <is>
          <t>'95562</t>
        </is>
      </c>
      <c r="E6458" s="0" t="inlineStr">
        <is>
          <t>ISAIAH:95562B-M</t>
        </is>
      </c>
      <c r="F6458" s="0" t="inlineStr">
        <is>
          <t>'000000000000</t>
        </is>
      </c>
      <c r="G6458" s="0" t="inlineStr">
        <is>
          <t>MENS</t>
        </is>
      </c>
      <c r="H6458" s="0" t="inlineStr">
        <is>
          <t>M</t>
        </is>
      </c>
      <c r="I6458" s="0">
        <v>49.99</v>
      </c>
      <c r="J6458" s="0">
        <v>16</v>
      </c>
    </row>
    <row r="6459" spans="1:10" customHeight="0">
      <c r="A6459" s="0">
        <f>HYPERLINK("https://dl.dropboxusercontent.com/scl/fi/nqbqrlqnaqfrrfn83tqkd/isaiah-03.jpg?rlkey=mtbtwgc58joyv5ndskvnv1x99&amp;dl=0","Click to download Image")</f>
      </c>
      <c r="B6459" s="0">
        <f>HYPERLINK("https://dl.dropboxusercontent.com/scl/fi/z43amls9nn8usrsnhq7vp/mens-d.jpg?rlkey=qdt0qdrtkksxynpjutwrqnybd&amp;dl=0","Click to download SizeChart")</f>
      </c>
      <c r="C6459" s="0" t="inlineStr">
        <is>
          <t>Isaiah Men's 1/2 Zip Hoodie</t>
        </is>
      </c>
      <c r="D6459" s="0" t="inlineStr">
        <is>
          <t>'95562</t>
        </is>
      </c>
      <c r="E6459" s="0" t="inlineStr">
        <is>
          <t>ISAIAH:95562F-3X</t>
        </is>
      </c>
      <c r="F6459" s="0" t="inlineStr">
        <is>
          <t>'000000000000</t>
        </is>
      </c>
      <c r="G6459" s="0" t="inlineStr">
        <is>
          <t>MENS</t>
        </is>
      </c>
      <c r="H6459" s="0" t="inlineStr">
        <is>
          <t>3XL</t>
        </is>
      </c>
      <c r="I6459" s="0">
        <v>51.99</v>
      </c>
      <c r="J6459" s="0">
        <v>5</v>
      </c>
    </row>
    <row r="6460" spans="1:10" customHeight="0">
      <c r="A6460" s="0">
        <f>HYPERLINK("https://dl.dropboxusercontent.com/scl/fi/zc4l0oh79qjpno6n2pwup/isaiah-02.jpg?rlkey=lrgnb8ws1j2dej6f6yfrcj1o9&amp;dl=0","Click to download Image")</f>
      </c>
      <c r="B6460" s="0">
        <f>HYPERLINK("https://dl.dropboxusercontent.com/scl/fi/z43amls9nn8usrsnhq7vp/mens-d.jpg?rlkey=qdt0qdrtkksxynpjutwrqnybd&amp;dl=0","Click to download SizeChart")</f>
      </c>
      <c r="C6460" s="0" t="inlineStr">
        <is>
          <t>Isaiah Men's 1/2 Zip Hoodie</t>
        </is>
      </c>
      <c r="D6460" s="0" t="inlineStr">
        <is>
          <t>'95942</t>
        </is>
      </c>
      <c r="E6460" s="0" t="inlineStr">
        <is>
          <t>ISAIAH:95942A-S</t>
        </is>
      </c>
      <c r="F6460" s="0" t="inlineStr">
        <is>
          <t>'000000000000</t>
        </is>
      </c>
      <c r="G6460" s="0" t="inlineStr">
        <is>
          <t>MENS</t>
        </is>
      </c>
      <c r="H6460" s="0" t="inlineStr">
        <is>
          <t>S</t>
        </is>
      </c>
      <c r="I6460" s="0">
        <v>49.99</v>
      </c>
      <c r="J6460" s="0">
        <v>22</v>
      </c>
    </row>
    <row r="6461" spans="1:10" customHeight="0">
      <c r="A6461" s="0">
        <f>HYPERLINK("https://dl.dropboxusercontent.com/scl/fi/zc4l0oh79qjpno6n2pwup/isaiah-02.jpg?rlkey=lrgnb8ws1j2dej6f6yfrcj1o9&amp;dl=0","Click to download Image")</f>
      </c>
      <c r="B6461" s="0">
        <f>HYPERLINK("https://dl.dropboxusercontent.com/scl/fi/z43amls9nn8usrsnhq7vp/mens-d.jpg?rlkey=qdt0qdrtkksxynpjutwrqnybd&amp;dl=0","Click to download SizeChart")</f>
      </c>
      <c r="C6461" s="0" t="inlineStr">
        <is>
          <t>Isaiah Men's 1/2 Zip Hoodie</t>
        </is>
      </c>
      <c r="D6461" s="0" t="inlineStr">
        <is>
          <t>'95942</t>
        </is>
      </c>
      <c r="E6461" s="0" t="inlineStr">
        <is>
          <t>ISAIAH:95942B-M</t>
        </is>
      </c>
      <c r="F6461" s="0" t="inlineStr">
        <is>
          <t>'000000000000</t>
        </is>
      </c>
      <c r="G6461" s="0" t="inlineStr">
        <is>
          <t>MENS</t>
        </is>
      </c>
      <c r="H6461" s="0" t="inlineStr">
        <is>
          <t>M</t>
        </is>
      </c>
      <c r="I6461" s="0">
        <v>49.99</v>
      </c>
      <c r="J6461" s="0">
        <v>29</v>
      </c>
    </row>
    <row r="6462" spans="1:10" customHeight="0">
      <c r="A6462" s="0">
        <f>HYPERLINK("https://dl.dropboxusercontent.com/scl/fi/zc4l0oh79qjpno6n2pwup/isaiah-02.jpg?rlkey=lrgnb8ws1j2dej6f6yfrcj1o9&amp;dl=0","Click to download Image")</f>
      </c>
      <c r="B6462" s="0">
        <f>HYPERLINK("https://dl.dropboxusercontent.com/scl/fi/z43amls9nn8usrsnhq7vp/mens-d.jpg?rlkey=qdt0qdrtkksxynpjutwrqnybd&amp;dl=0","Click to download SizeChart")</f>
      </c>
      <c r="C6462" s="0" t="inlineStr">
        <is>
          <t>Isaiah Men's 1/2 Zip Hoodie</t>
        </is>
      </c>
      <c r="D6462" s="0" t="inlineStr">
        <is>
          <t>'95942</t>
        </is>
      </c>
      <c r="E6462" s="0" t="inlineStr">
        <is>
          <t>ISAIAH:95942D-XL</t>
        </is>
      </c>
      <c r="F6462" s="0" t="inlineStr">
        <is>
          <t>'000000000000</t>
        </is>
      </c>
      <c r="G6462" s="0" t="inlineStr">
        <is>
          <t>MENS</t>
        </is>
      </c>
      <c r="H6462" s="0" t="inlineStr">
        <is>
          <t>XL</t>
        </is>
      </c>
      <c r="I6462" s="0">
        <v>49.99</v>
      </c>
      <c r="J6462" s="0">
        <v>27</v>
      </c>
    </row>
    <row r="6463" spans="1:10" customHeight="0">
      <c r="A6463" s="0">
        <f>HYPERLINK("https://dl.dropboxusercontent.com/scl/fi/zc4l0oh79qjpno6n2pwup/isaiah-02.jpg?rlkey=lrgnb8ws1j2dej6f6yfrcj1o9&amp;dl=0","Click to download Image")</f>
      </c>
      <c r="B6463" s="0">
        <f>HYPERLINK("https://dl.dropboxusercontent.com/scl/fi/z43amls9nn8usrsnhq7vp/mens-d.jpg?rlkey=qdt0qdrtkksxynpjutwrqnybd&amp;dl=0","Click to download SizeChart")</f>
      </c>
      <c r="C6463" s="0" t="inlineStr">
        <is>
          <t>Isaiah Men's 1/2 Zip Hoodie</t>
        </is>
      </c>
      <c r="D6463" s="0" t="inlineStr">
        <is>
          <t>'95942</t>
        </is>
      </c>
      <c r="E6463" s="0" t="inlineStr">
        <is>
          <t>ISAIAH:95942E-2X</t>
        </is>
      </c>
      <c r="F6463" s="0" t="inlineStr">
        <is>
          <t>'000000000000</t>
        </is>
      </c>
      <c r="G6463" s="0" t="inlineStr">
        <is>
          <t>MENS</t>
        </is>
      </c>
      <c r="H6463" s="0" t="inlineStr">
        <is>
          <t>2XL</t>
        </is>
      </c>
      <c r="I6463" s="0">
        <v>51.99</v>
      </c>
      <c r="J6463" s="0">
        <v>27</v>
      </c>
    </row>
    <row r="6464" spans="1:10" customHeight="0">
      <c r="A6464" s="0">
        <f>HYPERLINK("https://dl.dropboxusercontent.com/scl/fi/zc4l0oh79qjpno6n2pwup/isaiah-02.jpg?rlkey=lrgnb8ws1j2dej6f6yfrcj1o9&amp;dl=0","Click to download Image")</f>
      </c>
      <c r="B6464" s="0">
        <f>HYPERLINK("https://dl.dropboxusercontent.com/scl/fi/z43amls9nn8usrsnhq7vp/mens-d.jpg?rlkey=qdt0qdrtkksxynpjutwrqnybd&amp;dl=0","Click to download SizeChart")</f>
      </c>
      <c r="C6464" s="0" t="inlineStr">
        <is>
          <t>Isaiah Men's 1/2 Zip Hoodie</t>
        </is>
      </c>
      <c r="D6464" s="0" t="inlineStr">
        <is>
          <t>'95942</t>
        </is>
      </c>
      <c r="E6464" s="0" t="inlineStr">
        <is>
          <t>ISAIAH:95942F-3X</t>
        </is>
      </c>
      <c r="F6464" s="0" t="inlineStr">
        <is>
          <t>'000000000000</t>
        </is>
      </c>
      <c r="G6464" s="0" t="inlineStr">
        <is>
          <t>MENS</t>
        </is>
      </c>
      <c r="H6464" s="0" t="inlineStr">
        <is>
          <t>3XL</t>
        </is>
      </c>
      <c r="I6464" s="0">
        <v>51.99</v>
      </c>
      <c r="J6464" s="0">
        <v>18</v>
      </c>
    </row>
    <row r="6465" spans="1:10" customHeight="0">
      <c r="A6465" s="0">
        <f>HYPERLINK("https://dl.dropboxusercontent.com/scl/fi/0k8bbqthaxwwqmrkp3j5i/caroline.jpg?rlkey=zpxoaf16km5m8vdi8f7sh3gov&amp;dl=0","Click to download Image")</f>
      </c>
      <c r="C6465" s="0" t="inlineStr">
        <is>
          <t>Caroline Women's Leggings</t>
        </is>
      </c>
      <c r="D6465" s="0" t="inlineStr">
        <is>
          <t>'99895</t>
        </is>
      </c>
      <c r="E6465" s="0" t="inlineStr">
        <is>
          <t>CAROLINE:99895A-S</t>
        </is>
      </c>
      <c r="F6465" s="0" t="inlineStr">
        <is>
          <t>'000000000000</t>
        </is>
      </c>
      <c r="G6465" s="0" t="inlineStr">
        <is>
          <t>WOMENS</t>
        </is>
      </c>
      <c r="H6465" s="0" t="inlineStr">
        <is>
          <t>S</t>
        </is>
      </c>
      <c r="I6465" s="0">
        <v>44.99</v>
      </c>
      <c r="J6465" s="0">
        <v>40</v>
      </c>
    </row>
    <row r="6466" spans="1:10" customHeight="0">
      <c r="A6466" s="0">
        <f>HYPERLINK("https://dl.dropboxusercontent.com/scl/fi/0k8bbqthaxwwqmrkp3j5i/caroline.jpg?rlkey=zpxoaf16km5m8vdi8f7sh3gov&amp;dl=0","Click to download Image")</f>
      </c>
      <c r="C6466" s="0" t="inlineStr">
        <is>
          <t>Caroline Women's Leggings</t>
        </is>
      </c>
      <c r="D6466" s="0" t="inlineStr">
        <is>
          <t>'99895</t>
        </is>
      </c>
      <c r="E6466" s="0" t="inlineStr">
        <is>
          <t>CAROLINE:99895B-M</t>
        </is>
      </c>
      <c r="F6466" s="0" t="inlineStr">
        <is>
          <t>'000000000000</t>
        </is>
      </c>
      <c r="G6466" s="0" t="inlineStr">
        <is>
          <t>WOMENS</t>
        </is>
      </c>
      <c r="H6466" s="0" t="inlineStr">
        <is>
          <t>M</t>
        </is>
      </c>
      <c r="I6466" s="0">
        <v>44.99</v>
      </c>
      <c r="J6466" s="0">
        <v>57</v>
      </c>
    </row>
    <row r="6467" spans="1:10" customHeight="0">
      <c r="A6467" s="0">
        <f>HYPERLINK("https://dl.dropboxusercontent.com/scl/fi/0k8bbqthaxwwqmrkp3j5i/caroline.jpg?rlkey=zpxoaf16km5m8vdi8f7sh3gov&amp;dl=0","Click to download Image")</f>
      </c>
      <c r="C6467" s="0" t="inlineStr">
        <is>
          <t>Caroline Women's Leggings</t>
        </is>
      </c>
      <c r="D6467" s="0" t="inlineStr">
        <is>
          <t>'99895</t>
        </is>
      </c>
      <c r="E6467" s="0" t="inlineStr">
        <is>
          <t>CAROLINE:99895C-L</t>
        </is>
      </c>
      <c r="F6467" s="0" t="inlineStr">
        <is>
          <t>'000000000000</t>
        </is>
      </c>
      <c r="G6467" s="0" t="inlineStr">
        <is>
          <t>WOMENS</t>
        </is>
      </c>
      <c r="H6467" s="0" t="inlineStr">
        <is>
          <t>L</t>
        </is>
      </c>
      <c r="I6467" s="0">
        <v>44.99</v>
      </c>
      <c r="J6467" s="0">
        <v>73</v>
      </c>
    </row>
    <row r="6468" spans="1:10" customHeight="0">
      <c r="A6468" s="0">
        <f>HYPERLINK("https://dl.dropboxusercontent.com/scl/fi/0k8bbqthaxwwqmrkp3j5i/caroline.jpg?rlkey=zpxoaf16km5m8vdi8f7sh3gov&amp;dl=0","Click to download Image")</f>
      </c>
      <c r="C6468" s="0" t="inlineStr">
        <is>
          <t>Caroline Women's Leggings</t>
        </is>
      </c>
      <c r="D6468" s="0" t="inlineStr">
        <is>
          <t>'99895</t>
        </is>
      </c>
      <c r="E6468" s="0" t="inlineStr">
        <is>
          <t>CAROLINE:99895D-XL</t>
        </is>
      </c>
      <c r="F6468" s="0" t="inlineStr">
        <is>
          <t>'000000000000</t>
        </is>
      </c>
      <c r="G6468" s="0" t="inlineStr">
        <is>
          <t>WOMENS</t>
        </is>
      </c>
      <c r="H6468" s="0" t="inlineStr">
        <is>
          <t>XL</t>
        </is>
      </c>
      <c r="I6468" s="0">
        <v>44.99</v>
      </c>
      <c r="J6468" s="0">
        <v>79</v>
      </c>
    </row>
    <row r="6469" spans="1:10" customHeight="0">
      <c r="A6469" s="0">
        <f>HYPERLINK("https://dl.dropboxusercontent.com/scl/fi/0k8bbqthaxwwqmrkp3j5i/caroline.jpg?rlkey=zpxoaf16km5m8vdi8f7sh3gov&amp;dl=0","Click to download Image")</f>
      </c>
      <c r="C6469" s="0" t="inlineStr">
        <is>
          <t>Caroline Women's Leggings</t>
        </is>
      </c>
      <c r="D6469" s="0" t="inlineStr">
        <is>
          <t>'99895</t>
        </is>
      </c>
      <c r="E6469" s="0" t="inlineStr">
        <is>
          <t>CAROLINE:99895E-2XL</t>
        </is>
      </c>
      <c r="F6469" s="0" t="inlineStr">
        <is>
          <t>'000000000000</t>
        </is>
      </c>
      <c r="G6469" s="0" t="inlineStr">
        <is>
          <t>WOMENS</t>
        </is>
      </c>
      <c r="H6469" s="0" t="inlineStr">
        <is>
          <t>2XL</t>
        </is>
      </c>
      <c r="I6469" s="0">
        <v>46.99</v>
      </c>
      <c r="J6469" s="0">
        <v>68</v>
      </c>
    </row>
    <row r="6470" spans="1:10" customHeight="0">
      <c r="A6470" s="0">
        <f>HYPERLINK("https://dl.dropboxusercontent.com/scl/fi/0k8bbqthaxwwqmrkp3j5i/caroline.jpg?rlkey=zpxoaf16km5m8vdi8f7sh3gov&amp;dl=0","Click to download Image")</f>
      </c>
      <c r="C6470" s="0" t="inlineStr">
        <is>
          <t>Caroline Women's Leggings</t>
        </is>
      </c>
      <c r="D6470" s="0" t="inlineStr">
        <is>
          <t>'99895</t>
        </is>
      </c>
      <c r="E6470" s="0" t="inlineStr">
        <is>
          <t>CAROLINE:99895F-3XL</t>
        </is>
      </c>
      <c r="F6470" s="0" t="inlineStr">
        <is>
          <t>'000000000000</t>
        </is>
      </c>
      <c r="G6470" s="0" t="inlineStr">
        <is>
          <t>WOMENS</t>
        </is>
      </c>
      <c r="H6470" s="0" t="inlineStr">
        <is>
          <t>3XL</t>
        </is>
      </c>
      <c r="I6470" s="0">
        <v>46.99</v>
      </c>
      <c r="J6470" s="0">
        <v>12</v>
      </c>
    </row>
    <row r="6471" spans="1:10" customHeight="0">
      <c r="A6471" s="0">
        <f>HYPERLINK("https://dl.dropboxusercontent.com/scl/fi/7z2tyhrthfx6ddi5ff95g/ellist.jpg?rlkey=ay68lz17yi8sxxphmm78g2s7z&amp;dl=0","Click to download Image")</f>
      </c>
      <c r="B6471" s="0">
        <f>HYPERLINK("https://dl.dropboxusercontent.com/scl/fi/09nlpd4157uljur6svlft/mens-e-2.jpg?rlkey=6tw4nrzxbqj58b1vwqyvdd5c6&amp;dl=0","Click to download SizeChart")</f>
      </c>
      <c r="C6471" s="0" t="inlineStr">
        <is>
          <t>Ellis Men's Polo</t>
        </is>
      </c>
      <c r="D6471" s="0" t="inlineStr">
        <is>
          <t>'94646</t>
        </is>
      </c>
      <c r="E6471" s="0" t="inlineStr">
        <is>
          <t>ELLIS:94646A - S</t>
        </is>
      </c>
      <c r="F6471" s="0" t="inlineStr">
        <is>
          <t>'000000000000</t>
        </is>
      </c>
      <c r="G6471" s="0" t="inlineStr">
        <is>
          <t>MENS</t>
        </is>
      </c>
      <c r="H6471" s="0" t="inlineStr">
        <is>
          <t>S</t>
        </is>
      </c>
      <c r="I6471" s="0">
        <v>39.99</v>
      </c>
      <c r="J6471" s="0">
        <v>40</v>
      </c>
    </row>
    <row r="6472" spans="1:10" customHeight="0">
      <c r="A6472" s="0">
        <f>HYPERLINK("https://dl.dropboxusercontent.com/scl/fi/7z2tyhrthfx6ddi5ff95g/ellist.jpg?rlkey=ay68lz17yi8sxxphmm78g2s7z&amp;dl=0","Click to download Image")</f>
      </c>
      <c r="B6472" s="0">
        <f>HYPERLINK("https://dl.dropboxusercontent.com/scl/fi/09nlpd4157uljur6svlft/mens-e-2.jpg?rlkey=6tw4nrzxbqj58b1vwqyvdd5c6&amp;dl=0","Click to download SizeChart")</f>
      </c>
      <c r="C6472" s="0" t="inlineStr">
        <is>
          <t>Ellis Men's Polo</t>
        </is>
      </c>
      <c r="D6472" s="0" t="inlineStr">
        <is>
          <t>'94646</t>
        </is>
      </c>
      <c r="E6472" s="0" t="inlineStr">
        <is>
          <t>ELLIS:94646B - M</t>
        </is>
      </c>
      <c r="F6472" s="0" t="inlineStr">
        <is>
          <t>'000000000000</t>
        </is>
      </c>
      <c r="G6472" s="0" t="inlineStr">
        <is>
          <t>MENS</t>
        </is>
      </c>
      <c r="H6472" s="0" t="inlineStr">
        <is>
          <t>M</t>
        </is>
      </c>
      <c r="I6472" s="0">
        <v>39.99</v>
      </c>
      <c r="J6472" s="0">
        <v>56</v>
      </c>
    </row>
    <row r="6473" spans="1:10" customHeight="0">
      <c r="A6473" s="0">
        <f>HYPERLINK("https://dl.dropboxusercontent.com/scl/fi/7z2tyhrthfx6ddi5ff95g/ellist.jpg?rlkey=ay68lz17yi8sxxphmm78g2s7z&amp;dl=0","Click to download Image")</f>
      </c>
      <c r="B6473" s="0">
        <f>HYPERLINK("https://dl.dropboxusercontent.com/scl/fi/09nlpd4157uljur6svlft/mens-e-2.jpg?rlkey=6tw4nrzxbqj58b1vwqyvdd5c6&amp;dl=0","Click to download SizeChart")</f>
      </c>
      <c r="C6473" s="0" t="inlineStr">
        <is>
          <t>Ellis Men's Polo</t>
        </is>
      </c>
      <c r="D6473" s="0" t="inlineStr">
        <is>
          <t>'94646</t>
        </is>
      </c>
      <c r="E6473" s="0" t="inlineStr">
        <is>
          <t>ELLIS:94646C - L</t>
        </is>
      </c>
      <c r="F6473" s="0" t="inlineStr">
        <is>
          <t>'000000000000</t>
        </is>
      </c>
      <c r="G6473" s="0" t="inlineStr">
        <is>
          <t>MENS</t>
        </is>
      </c>
      <c r="H6473" s="0" t="inlineStr">
        <is>
          <t>L</t>
        </is>
      </c>
      <c r="I6473" s="0">
        <v>39.99</v>
      </c>
      <c r="J6473" s="0">
        <v>80</v>
      </c>
    </row>
    <row r="6474" spans="1:10" customHeight="0">
      <c r="A6474" s="0">
        <f>HYPERLINK("https://dl.dropboxusercontent.com/scl/fi/7z2tyhrthfx6ddi5ff95g/ellist.jpg?rlkey=ay68lz17yi8sxxphmm78g2s7z&amp;dl=0","Click to download Image")</f>
      </c>
      <c r="B6474" s="0">
        <f>HYPERLINK("https://dl.dropboxusercontent.com/scl/fi/09nlpd4157uljur6svlft/mens-e-2.jpg?rlkey=6tw4nrzxbqj58b1vwqyvdd5c6&amp;dl=0","Click to download SizeChart")</f>
      </c>
      <c r="C6474" s="0" t="inlineStr">
        <is>
          <t>Ellis Men's Polo</t>
        </is>
      </c>
      <c r="D6474" s="0" t="inlineStr">
        <is>
          <t>'94646</t>
        </is>
      </c>
      <c r="E6474" s="0" t="inlineStr">
        <is>
          <t>ELLIS:94646D - XL</t>
        </is>
      </c>
      <c r="F6474" s="0" t="inlineStr">
        <is>
          <t>'000000000000</t>
        </is>
      </c>
      <c r="G6474" s="0" t="inlineStr">
        <is>
          <t>MENS</t>
        </is>
      </c>
      <c r="H6474" s="0" t="inlineStr">
        <is>
          <t>XL</t>
        </is>
      </c>
      <c r="I6474" s="0">
        <v>39.99</v>
      </c>
      <c r="J6474" s="0">
        <v>49</v>
      </c>
    </row>
    <row r="6475" spans="1:10" customHeight="0">
      <c r="A6475" s="0">
        <f>HYPERLINK("https://dl.dropboxusercontent.com/scl/fi/7z2tyhrthfx6ddi5ff95g/ellist.jpg?rlkey=ay68lz17yi8sxxphmm78g2s7z&amp;dl=0","Click to download Image")</f>
      </c>
      <c r="B6475" s="0">
        <f>HYPERLINK("https://dl.dropboxusercontent.com/scl/fi/09nlpd4157uljur6svlft/mens-e-2.jpg?rlkey=6tw4nrzxbqj58b1vwqyvdd5c6&amp;dl=0","Click to download SizeChart")</f>
      </c>
      <c r="C6475" s="0" t="inlineStr">
        <is>
          <t>Ellis Men's Polo</t>
        </is>
      </c>
      <c r="D6475" s="0" t="inlineStr">
        <is>
          <t>'94646</t>
        </is>
      </c>
      <c r="E6475" s="0" t="inlineStr">
        <is>
          <t>ELLIS:94646F - 3XL</t>
        </is>
      </c>
      <c r="F6475" s="0" t="inlineStr">
        <is>
          <t>'000000000000</t>
        </is>
      </c>
      <c r="G6475" s="0" t="inlineStr">
        <is>
          <t>MENS</t>
        </is>
      </c>
      <c r="H6475" s="0" t="inlineStr">
        <is>
          <t>3XL</t>
        </is>
      </c>
      <c r="I6475" s="0">
        <v>41.99</v>
      </c>
      <c r="J6475" s="0">
        <v>8</v>
      </c>
    </row>
    <row r="6476" spans="1:10" customHeight="0">
      <c r="A6476" s="0">
        <f>HYPERLINK("https://dl.dropboxusercontent.com/scl/fi/uh1nfan95z959vv2fo851/iris.jpg?rlkey=6a7le5vgi0ux4j95eqsa9h4su&amp;dl=0","Click to download Image")</f>
      </c>
      <c r="B6476" s="0">
        <f>HYPERLINK("https://dl.dropboxusercontent.com/scl/fi/aruuelimyzjb3ligl4vew/size-chartswomens-pants-n.jpg?rlkey=n5lg8zhhe7d7g054sujvocajw&amp;dl=0","Click to download SizeChart")</f>
      </c>
      <c r="C6476" s="0" t="inlineStr">
        <is>
          <t>Iris Women's Joggers</t>
        </is>
      </c>
      <c r="D6476" s="0" t="inlineStr">
        <is>
          <t>'101238</t>
        </is>
      </c>
      <c r="E6476" s="0" t="inlineStr">
        <is>
          <t>IRIS:101238A-S</t>
        </is>
      </c>
      <c r="F6476" s="0" t="inlineStr">
        <is>
          <t>'000000000000</t>
        </is>
      </c>
      <c r="G6476" s="0" t="inlineStr">
        <is>
          <t>WOMENS</t>
        </is>
      </c>
      <c r="H6476" s="0" t="inlineStr">
        <is>
          <t>S</t>
        </is>
      </c>
      <c r="I6476" s="0">
        <v>29.99</v>
      </c>
      <c r="J6476" s="0">
        <v>39</v>
      </c>
    </row>
    <row r="6477" spans="1:10" customHeight="0">
      <c r="A6477" s="0">
        <f>HYPERLINK("https://dl.dropboxusercontent.com/scl/fi/uh1nfan95z959vv2fo851/iris.jpg?rlkey=6a7le5vgi0ux4j95eqsa9h4su&amp;dl=0","Click to download Image")</f>
      </c>
      <c r="B6477" s="0">
        <f>HYPERLINK("https://dl.dropboxusercontent.com/scl/fi/aruuelimyzjb3ligl4vew/size-chartswomens-pants-n.jpg?rlkey=n5lg8zhhe7d7g054sujvocajw&amp;dl=0","Click to download SizeChart")</f>
      </c>
      <c r="C6477" s="0" t="inlineStr">
        <is>
          <t>Iris Women's Joggers</t>
        </is>
      </c>
      <c r="D6477" s="0" t="inlineStr">
        <is>
          <t>'101238</t>
        </is>
      </c>
      <c r="E6477" s="0" t="inlineStr">
        <is>
          <t>IRIS:101238B-M</t>
        </is>
      </c>
      <c r="F6477" s="0" t="inlineStr">
        <is>
          <t>'000000000000</t>
        </is>
      </c>
      <c r="G6477" s="0" t="inlineStr">
        <is>
          <t>WOMENS</t>
        </is>
      </c>
      <c r="H6477" s="0" t="inlineStr">
        <is>
          <t>M</t>
        </is>
      </c>
      <c r="I6477" s="0">
        <v>29.99</v>
      </c>
      <c r="J6477" s="0">
        <v>45</v>
      </c>
    </row>
    <row r="6478" spans="1:10" customHeight="0">
      <c r="A6478" s="0">
        <f>HYPERLINK("https://dl.dropboxusercontent.com/scl/fi/uh1nfan95z959vv2fo851/iris.jpg?rlkey=6a7le5vgi0ux4j95eqsa9h4su&amp;dl=0","Click to download Image")</f>
      </c>
      <c r="B6478" s="0">
        <f>HYPERLINK("https://dl.dropboxusercontent.com/scl/fi/aruuelimyzjb3ligl4vew/size-chartswomens-pants-n.jpg?rlkey=n5lg8zhhe7d7g054sujvocajw&amp;dl=0","Click to download SizeChart")</f>
      </c>
      <c r="C6478" s="0" t="inlineStr">
        <is>
          <t>Iris Women's Joggers</t>
        </is>
      </c>
      <c r="D6478" s="0" t="inlineStr">
        <is>
          <t>'101238</t>
        </is>
      </c>
      <c r="E6478" s="0" t="inlineStr">
        <is>
          <t>IRIS:101238C-L</t>
        </is>
      </c>
      <c r="F6478" s="0" t="inlineStr">
        <is>
          <t>'000000000000</t>
        </is>
      </c>
      <c r="G6478" s="0" t="inlineStr">
        <is>
          <t>WOMENS</t>
        </is>
      </c>
      <c r="H6478" s="0" t="inlineStr">
        <is>
          <t>L</t>
        </is>
      </c>
      <c r="I6478" s="0">
        <v>29.99</v>
      </c>
      <c r="J6478" s="0">
        <v>56</v>
      </c>
    </row>
    <row r="6479" spans="1:10" customHeight="0">
      <c r="A6479" s="0">
        <f>HYPERLINK("https://dl.dropboxusercontent.com/scl/fi/uh1nfan95z959vv2fo851/iris.jpg?rlkey=6a7le5vgi0ux4j95eqsa9h4su&amp;dl=0","Click to download Image")</f>
      </c>
      <c r="B6479" s="0">
        <f>HYPERLINK("https://dl.dropboxusercontent.com/scl/fi/aruuelimyzjb3ligl4vew/size-chartswomens-pants-n.jpg?rlkey=n5lg8zhhe7d7g054sujvocajw&amp;dl=0","Click to download SizeChart")</f>
      </c>
      <c r="C6479" s="0" t="inlineStr">
        <is>
          <t>Iris Women's Joggers</t>
        </is>
      </c>
      <c r="D6479" s="0" t="inlineStr">
        <is>
          <t>'101238</t>
        </is>
      </c>
      <c r="E6479" s="0" t="inlineStr">
        <is>
          <t>IRIS:101238D-XL</t>
        </is>
      </c>
      <c r="F6479" s="0" t="inlineStr">
        <is>
          <t>'000000000000</t>
        </is>
      </c>
      <c r="G6479" s="0" t="inlineStr">
        <is>
          <t>WOMENS</t>
        </is>
      </c>
      <c r="H6479" s="0" t="inlineStr">
        <is>
          <t>XL</t>
        </is>
      </c>
      <c r="I6479" s="0">
        <v>29.99</v>
      </c>
      <c r="J6479" s="0">
        <v>64</v>
      </c>
    </row>
    <row r="6480" spans="1:10" customHeight="0">
      <c r="A6480" s="0">
        <f>HYPERLINK("https://dl.dropboxusercontent.com/scl/fi/uh1nfan95z959vv2fo851/iris.jpg?rlkey=6a7le5vgi0ux4j95eqsa9h4su&amp;dl=0","Click to download Image")</f>
      </c>
      <c r="B6480" s="0">
        <f>HYPERLINK("https://dl.dropboxusercontent.com/scl/fi/aruuelimyzjb3ligl4vew/size-chartswomens-pants-n.jpg?rlkey=n5lg8zhhe7d7g054sujvocajw&amp;dl=0","Click to download SizeChart")</f>
      </c>
      <c r="C6480" s="0" t="inlineStr">
        <is>
          <t>Iris Women's Joggers</t>
        </is>
      </c>
      <c r="D6480" s="0" t="inlineStr">
        <is>
          <t>'101238</t>
        </is>
      </c>
      <c r="E6480" s="0" t="inlineStr">
        <is>
          <t>IRIS:101238E-2XL</t>
        </is>
      </c>
      <c r="F6480" s="0" t="inlineStr">
        <is>
          <t>'000000000000</t>
        </is>
      </c>
      <c r="G6480" s="0" t="inlineStr">
        <is>
          <t>WOMENS</t>
        </is>
      </c>
      <c r="H6480" s="0" t="inlineStr">
        <is>
          <t>2XL</t>
        </is>
      </c>
      <c r="I6480" s="0">
        <v>29.99</v>
      </c>
      <c r="J6480" s="0">
        <v>54</v>
      </c>
    </row>
    <row r="6481" spans="1:10" customHeight="0">
      <c r="A6481" s="0">
        <f>HYPERLINK("https://dl.dropboxusercontent.com/scl/fi/uh1nfan95z959vv2fo851/iris.jpg?rlkey=6a7le5vgi0ux4j95eqsa9h4su&amp;dl=0","Click to download Image")</f>
      </c>
      <c r="B6481" s="0">
        <f>HYPERLINK("https://dl.dropboxusercontent.com/scl/fi/aruuelimyzjb3ligl4vew/size-chartswomens-pants-n.jpg?rlkey=n5lg8zhhe7d7g054sujvocajw&amp;dl=0","Click to download SizeChart")</f>
      </c>
      <c r="C6481" s="0" t="inlineStr">
        <is>
          <t>Iris Women's Joggers</t>
        </is>
      </c>
      <c r="D6481" s="0" t="inlineStr">
        <is>
          <t>'101238</t>
        </is>
      </c>
      <c r="E6481" s="0" t="inlineStr">
        <is>
          <t>IRIS:101238F-3XL</t>
        </is>
      </c>
      <c r="F6481" s="0" t="inlineStr">
        <is>
          <t>'000000000000</t>
        </is>
      </c>
      <c r="G6481" s="0" t="inlineStr">
        <is>
          <t>WOMENS</t>
        </is>
      </c>
      <c r="H6481" s="0" t="inlineStr">
        <is>
          <t>3XL</t>
        </is>
      </c>
      <c r="I6481" s="0">
        <v>29.99</v>
      </c>
      <c r="J6481" s="0">
        <v>2</v>
      </c>
    </row>
    <row r="6482" spans="1:10" customHeight="0">
      <c r="A6482" s="0">
        <f>HYPERLINK("https://dl.dropboxusercontent.com/scl/fi/skwf3byr8aqs8bbvkyfan/hunter.jpg?rlkey=cjnr0472ihfux3fphin22wbtv&amp;dl=0","Click to download Image")</f>
      </c>
      <c r="B6482" s="0">
        <f>HYPERLINK("https://dl.dropboxusercontent.com/scl/fi/8d9tehdwygku8xdxpn7q0/ladies-h-1.jpg?rlkey=svkwoo5br20jc4mjre6ggztl6&amp;dl=0","Click to download SizeChart")</f>
      </c>
      <c r="C6482" s="0" t="inlineStr">
        <is>
          <t>Hunter Women's Camo Hoodie</t>
        </is>
      </c>
      <c r="D6482" s="0" t="inlineStr">
        <is>
          <t>'91817</t>
        </is>
      </c>
      <c r="E6482" s="0" t="inlineStr">
        <is>
          <t>HUNTER:91817A-S</t>
        </is>
      </c>
      <c r="F6482" s="0" t="inlineStr">
        <is>
          <t>'000000000000</t>
        </is>
      </c>
      <c r="G6482" s="0" t="inlineStr">
        <is>
          <t>WOMENS</t>
        </is>
      </c>
      <c r="H6482" s="0" t="inlineStr">
        <is>
          <t>S</t>
        </is>
      </c>
      <c r="I6482" s="0">
        <v>49.99</v>
      </c>
      <c r="J6482" s="0">
        <v>20</v>
      </c>
    </row>
    <row r="6483" spans="1:10" customHeight="0">
      <c r="A6483" s="0">
        <f>HYPERLINK("https://dl.dropboxusercontent.com/scl/fi/skwf3byr8aqs8bbvkyfan/hunter.jpg?rlkey=cjnr0472ihfux3fphin22wbtv&amp;dl=0","Click to download Image")</f>
      </c>
      <c r="B6483" s="0">
        <f>HYPERLINK("https://dl.dropboxusercontent.com/scl/fi/8d9tehdwygku8xdxpn7q0/ladies-h-1.jpg?rlkey=svkwoo5br20jc4mjre6ggztl6&amp;dl=0","Click to download SizeChart")</f>
      </c>
      <c r="C6483" s="0" t="inlineStr">
        <is>
          <t>Hunter Women's Camo Hoodie</t>
        </is>
      </c>
      <c r="D6483" s="0" t="inlineStr">
        <is>
          <t>'91817</t>
        </is>
      </c>
      <c r="E6483" s="0" t="inlineStr">
        <is>
          <t>HUNTER:91817B-M</t>
        </is>
      </c>
      <c r="F6483" s="0" t="inlineStr">
        <is>
          <t>'000000000000</t>
        </is>
      </c>
      <c r="G6483" s="0" t="inlineStr">
        <is>
          <t>WOMENS</t>
        </is>
      </c>
      <c r="H6483" s="0" t="inlineStr">
        <is>
          <t>M</t>
        </is>
      </c>
      <c r="I6483" s="0">
        <v>49.99</v>
      </c>
      <c r="J6483" s="0">
        <v>64</v>
      </c>
    </row>
    <row r="6484" spans="1:10" customHeight="0">
      <c r="A6484" s="0">
        <f>HYPERLINK("https://dl.dropboxusercontent.com/scl/fi/skwf3byr8aqs8bbvkyfan/hunter.jpg?rlkey=cjnr0472ihfux3fphin22wbtv&amp;dl=0","Click to download Image")</f>
      </c>
      <c r="B6484" s="0">
        <f>HYPERLINK("https://dl.dropboxusercontent.com/scl/fi/8d9tehdwygku8xdxpn7q0/ladies-h-1.jpg?rlkey=svkwoo5br20jc4mjre6ggztl6&amp;dl=0","Click to download SizeChart")</f>
      </c>
      <c r="C6484" s="0" t="inlineStr">
        <is>
          <t>Hunter Women's Camo Hoodie</t>
        </is>
      </c>
      <c r="D6484" s="0" t="inlineStr">
        <is>
          <t>'91817</t>
        </is>
      </c>
      <c r="E6484" s="0" t="inlineStr">
        <is>
          <t>HUNTER:91817C-L</t>
        </is>
      </c>
      <c r="F6484" s="0" t="inlineStr">
        <is>
          <t>'000000000000</t>
        </is>
      </c>
      <c r="G6484" s="0" t="inlineStr">
        <is>
          <t>WOMENS</t>
        </is>
      </c>
      <c r="H6484" s="0" t="inlineStr">
        <is>
          <t>L</t>
        </is>
      </c>
      <c r="I6484" s="0">
        <v>49.99</v>
      </c>
      <c r="J6484" s="0">
        <v>42</v>
      </c>
    </row>
    <row r="6485" spans="1:10" customHeight="0">
      <c r="A6485" s="0">
        <f>HYPERLINK("https://dl.dropboxusercontent.com/scl/fi/skwf3byr8aqs8bbvkyfan/hunter.jpg?rlkey=cjnr0472ihfux3fphin22wbtv&amp;dl=0","Click to download Image")</f>
      </c>
      <c r="B6485" s="0">
        <f>HYPERLINK("https://dl.dropboxusercontent.com/scl/fi/8d9tehdwygku8xdxpn7q0/ladies-h-1.jpg?rlkey=svkwoo5br20jc4mjre6ggztl6&amp;dl=0","Click to download SizeChart")</f>
      </c>
      <c r="C6485" s="0" t="inlineStr">
        <is>
          <t>Hunter Women's Camo Hoodie</t>
        </is>
      </c>
      <c r="D6485" s="0" t="inlineStr">
        <is>
          <t>'91817</t>
        </is>
      </c>
      <c r="E6485" s="0" t="inlineStr">
        <is>
          <t>HUNTER:91817D-XL</t>
        </is>
      </c>
      <c r="F6485" s="0" t="inlineStr">
        <is>
          <t>'000000000000</t>
        </is>
      </c>
      <c r="G6485" s="0" t="inlineStr">
        <is>
          <t>WOMENS</t>
        </is>
      </c>
      <c r="H6485" s="0" t="inlineStr">
        <is>
          <t>XL</t>
        </is>
      </c>
      <c r="I6485" s="0">
        <v>49.99</v>
      </c>
      <c r="J6485" s="0">
        <v>37</v>
      </c>
    </row>
    <row r="6486" spans="1:10" customHeight="0">
      <c r="A6486" s="0">
        <f>HYPERLINK("https://dl.dropboxusercontent.com/scl/fi/f56pm11bf5e6fry0t5q4q/intensity-01.jpg?rlkey=ygzmncqxzgl0qf82ut719y3co&amp;dl=0","Click to download Image")</f>
      </c>
      <c r="B6486" s="0">
        <f>HYPERLINK("https://dl.dropboxusercontent.com/scl/fi/c5b0qz47ui4d3vqh74ebu/mens-c.jpg?rlkey=ywh37mrxy4rqfyfdt8cuzzsq0&amp;dl=0","Click to download SizeChart")</f>
      </c>
      <c r="C6486" s="0" t="inlineStr">
        <is>
          <t>Intensity Men's Tank Top</t>
        </is>
      </c>
      <c r="D6486" s="0" t="inlineStr">
        <is>
          <t>'94202</t>
        </is>
      </c>
      <c r="E6486" s="0" t="inlineStr">
        <is>
          <t>INTENSITY TANK:94202A-S</t>
        </is>
      </c>
      <c r="F6486" s="0" t="inlineStr">
        <is>
          <t>'000000000000</t>
        </is>
      </c>
      <c r="G6486" s="0" t="inlineStr">
        <is>
          <t>MENS</t>
        </is>
      </c>
      <c r="H6486" s="0" t="inlineStr">
        <is>
          <t>S</t>
        </is>
      </c>
      <c r="I6486" s="0">
        <v>34.99</v>
      </c>
      <c r="J6486" s="0">
        <v>37</v>
      </c>
    </row>
    <row r="6487" spans="1:10" customHeight="0">
      <c r="A6487" s="0">
        <f>HYPERLINK("https://dl.dropboxusercontent.com/scl/fi/f56pm11bf5e6fry0t5q4q/intensity-01.jpg?rlkey=ygzmncqxzgl0qf82ut719y3co&amp;dl=0","Click to download Image")</f>
      </c>
      <c r="B6487" s="0">
        <f>HYPERLINK("https://dl.dropboxusercontent.com/scl/fi/c5b0qz47ui4d3vqh74ebu/mens-c.jpg?rlkey=ywh37mrxy4rqfyfdt8cuzzsq0&amp;dl=0","Click to download SizeChart")</f>
      </c>
      <c r="C6487" s="0" t="inlineStr">
        <is>
          <t>Intensity Men's Tank Top</t>
        </is>
      </c>
      <c r="D6487" s="0" t="inlineStr">
        <is>
          <t>'94202</t>
        </is>
      </c>
      <c r="E6487" s="0" t="inlineStr">
        <is>
          <t>INTENSITY TANK:94202B-M</t>
        </is>
      </c>
      <c r="F6487" s="0" t="inlineStr">
        <is>
          <t>'000000000000</t>
        </is>
      </c>
      <c r="G6487" s="0" t="inlineStr">
        <is>
          <t>MENS</t>
        </is>
      </c>
      <c r="H6487" s="0" t="inlineStr">
        <is>
          <t>M</t>
        </is>
      </c>
      <c r="I6487" s="0">
        <v>34.99</v>
      </c>
      <c r="J6487" s="0">
        <v>74</v>
      </c>
    </row>
    <row r="6488" spans="1:10" customHeight="0">
      <c r="A6488" s="0">
        <f>HYPERLINK("https://dl.dropboxusercontent.com/scl/fi/f56pm11bf5e6fry0t5q4q/intensity-01.jpg?rlkey=ygzmncqxzgl0qf82ut719y3co&amp;dl=0","Click to download Image")</f>
      </c>
      <c r="B6488" s="0">
        <f>HYPERLINK("https://dl.dropboxusercontent.com/scl/fi/c5b0qz47ui4d3vqh74ebu/mens-c.jpg?rlkey=ywh37mrxy4rqfyfdt8cuzzsq0&amp;dl=0","Click to download SizeChart")</f>
      </c>
      <c r="C6488" s="0" t="inlineStr">
        <is>
          <t>Intensity Men's Tank Top</t>
        </is>
      </c>
      <c r="D6488" s="0" t="inlineStr">
        <is>
          <t>'94202</t>
        </is>
      </c>
      <c r="E6488" s="0" t="inlineStr">
        <is>
          <t>INTENSITY TANK:94202C-L</t>
        </is>
      </c>
      <c r="F6488" s="0" t="inlineStr">
        <is>
          <t>'000000000000</t>
        </is>
      </c>
      <c r="G6488" s="0" t="inlineStr">
        <is>
          <t>MENS</t>
        </is>
      </c>
      <c r="H6488" s="0" t="inlineStr">
        <is>
          <t>L</t>
        </is>
      </c>
      <c r="I6488" s="0">
        <v>34.99</v>
      </c>
      <c r="J6488" s="0">
        <v>122</v>
      </c>
    </row>
    <row r="6489" spans="1:10" customHeight="0">
      <c r="A6489" s="0">
        <f>HYPERLINK("https://dl.dropboxusercontent.com/scl/fi/f56pm11bf5e6fry0t5q4q/intensity-01.jpg?rlkey=ygzmncqxzgl0qf82ut719y3co&amp;dl=0","Click to download Image")</f>
      </c>
      <c r="B6489" s="0">
        <f>HYPERLINK("https://dl.dropboxusercontent.com/scl/fi/c5b0qz47ui4d3vqh74ebu/mens-c.jpg?rlkey=ywh37mrxy4rqfyfdt8cuzzsq0&amp;dl=0","Click to download SizeChart")</f>
      </c>
      <c r="C6489" s="0" t="inlineStr">
        <is>
          <t>Intensity Men's Tank Top</t>
        </is>
      </c>
      <c r="D6489" s="0" t="inlineStr">
        <is>
          <t>'94202</t>
        </is>
      </c>
      <c r="E6489" s="0" t="inlineStr">
        <is>
          <t>INTENSITY TANK:94202D-XL</t>
        </is>
      </c>
      <c r="F6489" s="0" t="inlineStr">
        <is>
          <t>'000000000000</t>
        </is>
      </c>
      <c r="G6489" s="0" t="inlineStr">
        <is>
          <t>MENS</t>
        </is>
      </c>
      <c r="H6489" s="0" t="inlineStr">
        <is>
          <t>XL</t>
        </is>
      </c>
      <c r="I6489" s="0">
        <v>34.99</v>
      </c>
      <c r="J6489" s="0">
        <v>124</v>
      </c>
    </row>
    <row r="6490" spans="1:10" customHeight="0">
      <c r="A6490" s="0">
        <f>HYPERLINK("https://dl.dropboxusercontent.com/scl/fi/f56pm11bf5e6fry0t5q4q/intensity-01.jpg?rlkey=ygzmncqxzgl0qf82ut719y3co&amp;dl=0","Click to download Image")</f>
      </c>
      <c r="B6490" s="0">
        <f>HYPERLINK("https://dl.dropboxusercontent.com/scl/fi/c5b0qz47ui4d3vqh74ebu/mens-c.jpg?rlkey=ywh37mrxy4rqfyfdt8cuzzsq0&amp;dl=0","Click to download SizeChart")</f>
      </c>
      <c r="C6490" s="0" t="inlineStr">
        <is>
          <t>Intensity Men's Tank Top</t>
        </is>
      </c>
      <c r="D6490" s="0" t="inlineStr">
        <is>
          <t>'94202</t>
        </is>
      </c>
      <c r="E6490" s="0" t="inlineStr">
        <is>
          <t>INTENSITY TANK:94202E-2X</t>
        </is>
      </c>
      <c r="F6490" s="0" t="inlineStr">
        <is>
          <t>'000000000000</t>
        </is>
      </c>
      <c r="G6490" s="0" t="inlineStr">
        <is>
          <t>MENS</t>
        </is>
      </c>
      <c r="H6490" s="0" t="inlineStr">
        <is>
          <t>2XL</t>
        </is>
      </c>
      <c r="I6490" s="0">
        <v>36.99</v>
      </c>
      <c r="J6490" s="0">
        <v>77</v>
      </c>
    </row>
    <row r="6491" spans="1:10" customHeight="0">
      <c r="A6491" s="0">
        <f>HYPERLINK("https://dl.dropboxusercontent.com/scl/fi/f56pm11bf5e6fry0t5q4q/intensity-01.jpg?rlkey=ygzmncqxzgl0qf82ut719y3co&amp;dl=0","Click to download Image")</f>
      </c>
      <c r="B6491" s="0">
        <f>HYPERLINK("https://dl.dropboxusercontent.com/scl/fi/c5b0qz47ui4d3vqh74ebu/mens-c.jpg?rlkey=ywh37mrxy4rqfyfdt8cuzzsq0&amp;dl=0","Click to download SizeChart")</f>
      </c>
      <c r="C6491" s="0" t="inlineStr">
        <is>
          <t>Intensity Men's Tank Top</t>
        </is>
      </c>
      <c r="D6491" s="0" t="inlineStr">
        <is>
          <t>'94202</t>
        </is>
      </c>
      <c r="E6491" s="0" t="inlineStr">
        <is>
          <t>INTENSITY TANK:94202F-3X</t>
        </is>
      </c>
      <c r="F6491" s="0" t="inlineStr">
        <is>
          <t>'000000000000</t>
        </is>
      </c>
      <c r="G6491" s="0" t="inlineStr">
        <is>
          <t>MENS</t>
        </is>
      </c>
      <c r="H6491" s="0" t="inlineStr">
        <is>
          <t>3XL</t>
        </is>
      </c>
      <c r="I6491" s="0">
        <v>36.99</v>
      </c>
      <c r="J6491" s="0">
        <v>40</v>
      </c>
    </row>
    <row r="6492" spans="1:10" customHeight="0">
      <c r="A6492" s="0">
        <f>HYPERLINK("https://dl.dropboxusercontent.com/scl/fi/p8v4td0vjavzpyvppt7i9/intensity-02.jpg?rlkey=p1bpjg1p5neg9sa9hs1y8v3vp&amp;dl=0","Click to download Image")</f>
      </c>
      <c r="B6492" s="0">
        <f>HYPERLINK("https://dl.dropboxusercontent.com/scl/fi/6x2zr3vju7g9oivl994fy/size-chartmens-g.jpg?rlkey=7jlakpikwx0ymlywtx2ts147h&amp;dl=0","Click to download SizeChart")</f>
      </c>
      <c r="C6492" s="0" t="inlineStr">
        <is>
          <t>Intensity Men's Athletic Shorts</t>
        </is>
      </c>
      <c r="D6492" s="0" t="inlineStr">
        <is>
          <t>'94565</t>
        </is>
      </c>
      <c r="E6492" s="0" t="inlineStr">
        <is>
          <t>INTENSITY SHORTS:94565A-S</t>
        </is>
      </c>
      <c r="F6492" s="0" t="inlineStr">
        <is>
          <t>'000000000000</t>
        </is>
      </c>
      <c r="G6492" s="0" t="inlineStr">
        <is>
          <t>MENS</t>
        </is>
      </c>
      <c r="H6492" s="0" t="inlineStr">
        <is>
          <t>S</t>
        </is>
      </c>
      <c r="I6492" s="0">
        <v>34.99</v>
      </c>
      <c r="J6492" s="0">
        <v>5</v>
      </c>
    </row>
    <row r="6493" spans="1:10" customHeight="0">
      <c r="A6493" s="0">
        <f>HYPERLINK("https://dl.dropboxusercontent.com/scl/fi/p8v4td0vjavzpyvppt7i9/intensity-02.jpg?rlkey=p1bpjg1p5neg9sa9hs1y8v3vp&amp;dl=0","Click to download Image")</f>
      </c>
      <c r="B6493" s="0">
        <f>HYPERLINK("https://dl.dropboxusercontent.com/scl/fi/6x2zr3vju7g9oivl994fy/size-chartmens-g.jpg?rlkey=7jlakpikwx0ymlywtx2ts147h&amp;dl=0","Click to download SizeChart")</f>
      </c>
      <c r="C6493" s="0" t="inlineStr">
        <is>
          <t>Intensity Men's Athletic Shorts</t>
        </is>
      </c>
      <c r="D6493" s="0" t="inlineStr">
        <is>
          <t>'94565</t>
        </is>
      </c>
      <c r="E6493" s="0" t="inlineStr">
        <is>
          <t>INTENSITY SHORTS:94565D-XL</t>
        </is>
      </c>
      <c r="F6493" s="0" t="inlineStr">
        <is>
          <t>'000000000000</t>
        </is>
      </c>
      <c r="G6493" s="0" t="inlineStr">
        <is>
          <t>MENS</t>
        </is>
      </c>
      <c r="H6493" s="0" t="inlineStr">
        <is>
          <t>XL</t>
        </is>
      </c>
      <c r="I6493" s="0">
        <v>34.99</v>
      </c>
      <c r="J6493" s="0">
        <v>14</v>
      </c>
    </row>
    <row r="6494" spans="1:10" customHeight="0">
      <c r="A6494" s="0">
        <f>HYPERLINK("https://dl.dropboxusercontent.com/scl/fi/p8v4td0vjavzpyvppt7i9/intensity-02.jpg?rlkey=p1bpjg1p5neg9sa9hs1y8v3vp&amp;dl=0","Click to download Image")</f>
      </c>
      <c r="B6494" s="0">
        <f>HYPERLINK("https://dl.dropboxusercontent.com/scl/fi/6x2zr3vju7g9oivl994fy/size-chartmens-g.jpg?rlkey=7jlakpikwx0ymlywtx2ts147h&amp;dl=0","Click to download SizeChart")</f>
      </c>
      <c r="C6494" s="0" t="inlineStr">
        <is>
          <t>Intensity Men's Athletic Shorts</t>
        </is>
      </c>
      <c r="D6494" s="0" t="inlineStr">
        <is>
          <t>'94565</t>
        </is>
      </c>
      <c r="E6494" s="0" t="inlineStr">
        <is>
          <t>INTENSITY SHORTS:94565E-2X</t>
        </is>
      </c>
      <c r="F6494" s="0" t="inlineStr">
        <is>
          <t>'000000000000</t>
        </is>
      </c>
      <c r="G6494" s="0" t="inlineStr">
        <is>
          <t>MENS</t>
        </is>
      </c>
      <c r="H6494" s="0" t="inlineStr">
        <is>
          <t>2XL</t>
        </is>
      </c>
      <c r="I6494" s="0">
        <v>36.99</v>
      </c>
      <c r="J6494" s="0">
        <v>18</v>
      </c>
    </row>
    <row r="6495" spans="1:10" customHeight="0">
      <c r="A6495" s="0">
        <f>HYPERLINK("https://dl.dropboxusercontent.com/scl/fi/p8v4td0vjavzpyvppt7i9/intensity-02.jpg?rlkey=p1bpjg1p5neg9sa9hs1y8v3vp&amp;dl=0","Click to download Image")</f>
      </c>
      <c r="B6495" s="0">
        <f>HYPERLINK("https://dl.dropboxusercontent.com/scl/fi/6x2zr3vju7g9oivl994fy/size-chartmens-g.jpg?rlkey=7jlakpikwx0ymlywtx2ts147h&amp;dl=0","Click to download SizeChart")</f>
      </c>
      <c r="C6495" s="0" t="inlineStr">
        <is>
          <t>Intensity Men's Athletic Shorts</t>
        </is>
      </c>
      <c r="D6495" s="0" t="inlineStr">
        <is>
          <t>'94565</t>
        </is>
      </c>
      <c r="E6495" s="0" t="inlineStr">
        <is>
          <t>INTENSITY SHORTS:94565F-3XL</t>
        </is>
      </c>
      <c r="F6495" s="0" t="inlineStr">
        <is>
          <t>'000000000000</t>
        </is>
      </c>
      <c r="G6495" s="0" t="inlineStr">
        <is>
          <t>MENS</t>
        </is>
      </c>
      <c r="H6495" s="0" t="inlineStr">
        <is>
          <t>3XL</t>
        </is>
      </c>
      <c r="I6495" s="0">
        <v>36.99</v>
      </c>
      <c r="J6495" s="0">
        <v>6</v>
      </c>
    </row>
    <row r="6496" spans="1:10" customHeight="0">
      <c r="A6496" s="0">
        <f>HYPERLINK("https://dl.dropboxusercontent.com/scl/fi/8tp2se89qd0kz51hizyd1/cameron.jpg?rlkey=1nc2ni0t0nvo9plp45b3uqjap&amp;dl=0","Click to download Image")</f>
      </c>
      <c r="C6496" s="0" t="inlineStr">
        <is>
          <t>Cameron Men's Polo</t>
        </is>
      </c>
      <c r="D6496" s="0" t="inlineStr">
        <is>
          <t>'96925</t>
        </is>
      </c>
      <c r="E6496" s="0" t="inlineStr">
        <is>
          <t>CAMERON:96925A-S</t>
        </is>
      </c>
      <c r="F6496" s="0" t="inlineStr">
        <is>
          <t>'000000000000</t>
        </is>
      </c>
      <c r="G6496" s="0" t="inlineStr">
        <is>
          <t>MENS</t>
        </is>
      </c>
      <c r="H6496" s="0" t="inlineStr">
        <is>
          <t>S</t>
        </is>
      </c>
      <c r="I6496" s="0">
        <v>44.99</v>
      </c>
      <c r="J6496" s="0">
        <v>33</v>
      </c>
    </row>
    <row r="6497" spans="1:10" customHeight="0">
      <c r="A6497" s="0">
        <f>HYPERLINK("https://dl.dropboxusercontent.com/scl/fi/8tp2se89qd0kz51hizyd1/cameron.jpg?rlkey=1nc2ni0t0nvo9plp45b3uqjap&amp;dl=0","Click to download Image")</f>
      </c>
      <c r="C6497" s="0" t="inlineStr">
        <is>
          <t>Cameron Men's Polo</t>
        </is>
      </c>
      <c r="D6497" s="0" t="inlineStr">
        <is>
          <t>'96925</t>
        </is>
      </c>
      <c r="E6497" s="0" t="inlineStr">
        <is>
          <t>CAMERON:96925B-M</t>
        </is>
      </c>
      <c r="F6497" s="0" t="inlineStr">
        <is>
          <t>'000000000000</t>
        </is>
      </c>
      <c r="G6497" s="0" t="inlineStr">
        <is>
          <t>MENS</t>
        </is>
      </c>
      <c r="H6497" s="0" t="inlineStr">
        <is>
          <t>M</t>
        </is>
      </c>
      <c r="I6497" s="0">
        <v>44.99</v>
      </c>
      <c r="J6497" s="0">
        <v>65</v>
      </c>
    </row>
    <row r="6498" spans="1:10" customHeight="0">
      <c r="A6498" s="0">
        <f>HYPERLINK("https://dl.dropboxusercontent.com/scl/fi/8tp2se89qd0kz51hizyd1/cameron.jpg?rlkey=1nc2ni0t0nvo9plp45b3uqjap&amp;dl=0","Click to download Image")</f>
      </c>
      <c r="C6498" s="0" t="inlineStr">
        <is>
          <t>Cameron Men's Polo</t>
        </is>
      </c>
      <c r="D6498" s="0" t="inlineStr">
        <is>
          <t>'96925</t>
        </is>
      </c>
      <c r="E6498" s="0" t="inlineStr">
        <is>
          <t>CAMERON:96925C-L</t>
        </is>
      </c>
      <c r="F6498" s="0" t="inlineStr">
        <is>
          <t>'000000000000</t>
        </is>
      </c>
      <c r="G6498" s="0" t="inlineStr">
        <is>
          <t>MENS</t>
        </is>
      </c>
      <c r="H6498" s="0" t="inlineStr">
        <is>
          <t>L</t>
        </is>
      </c>
      <c r="I6498" s="0">
        <v>44.99</v>
      </c>
      <c r="J6498" s="0">
        <v>109</v>
      </c>
    </row>
    <row r="6499" spans="1:10" customHeight="0">
      <c r="A6499" s="0">
        <f>HYPERLINK("https://dl.dropboxusercontent.com/scl/fi/8tp2se89qd0kz51hizyd1/cameron.jpg?rlkey=1nc2ni0t0nvo9plp45b3uqjap&amp;dl=0","Click to download Image")</f>
      </c>
      <c r="C6499" s="0" t="inlineStr">
        <is>
          <t>Cameron Men's Polo</t>
        </is>
      </c>
      <c r="D6499" s="0" t="inlineStr">
        <is>
          <t>'96925</t>
        </is>
      </c>
      <c r="E6499" s="0" t="inlineStr">
        <is>
          <t>CAMERON:96925D-XL</t>
        </is>
      </c>
      <c r="F6499" s="0" t="inlineStr">
        <is>
          <t>'000000000000</t>
        </is>
      </c>
      <c r="G6499" s="0" t="inlineStr">
        <is>
          <t>MENS</t>
        </is>
      </c>
      <c r="H6499" s="0" t="inlineStr">
        <is>
          <t>XL</t>
        </is>
      </c>
      <c r="I6499" s="0">
        <v>44.99</v>
      </c>
      <c r="J6499" s="0">
        <v>103</v>
      </c>
    </row>
    <row r="6500" spans="1:10" customHeight="0">
      <c r="A6500" s="0">
        <f>HYPERLINK("https://dl.dropboxusercontent.com/scl/fi/8tp2se89qd0kz51hizyd1/cameron.jpg?rlkey=1nc2ni0t0nvo9plp45b3uqjap&amp;dl=0","Click to download Image")</f>
      </c>
      <c r="C6500" s="0" t="inlineStr">
        <is>
          <t>Cameron Men's Polo</t>
        </is>
      </c>
      <c r="D6500" s="0" t="inlineStr">
        <is>
          <t>'96925</t>
        </is>
      </c>
      <c r="E6500" s="0" t="inlineStr">
        <is>
          <t>CAMERON:96925E-2XL</t>
        </is>
      </c>
      <c r="F6500" s="0" t="inlineStr">
        <is>
          <t>'000000000000</t>
        </is>
      </c>
      <c r="G6500" s="0" t="inlineStr">
        <is>
          <t>MENS</t>
        </is>
      </c>
      <c r="H6500" s="0" t="inlineStr">
        <is>
          <t>2XL</t>
        </is>
      </c>
      <c r="I6500" s="0">
        <v>46.99</v>
      </c>
      <c r="J6500" s="0">
        <v>64</v>
      </c>
    </row>
    <row r="6501" spans="1:10" customHeight="0">
      <c r="A6501" s="0">
        <f>HYPERLINK("https://dl.dropboxusercontent.com/scl/fi/8tp2se89qd0kz51hizyd1/cameron.jpg?rlkey=1nc2ni0t0nvo9plp45b3uqjap&amp;dl=0","Click to download Image")</f>
      </c>
      <c r="C6501" s="0" t="inlineStr">
        <is>
          <t>Cameron Men's Polo</t>
        </is>
      </c>
      <c r="D6501" s="0" t="inlineStr">
        <is>
          <t>'96925</t>
        </is>
      </c>
      <c r="E6501" s="0" t="inlineStr">
        <is>
          <t>CAMERON:96925F-3XL</t>
        </is>
      </c>
      <c r="F6501" s="0" t="inlineStr">
        <is>
          <t>'000000000000</t>
        </is>
      </c>
      <c r="G6501" s="0" t="inlineStr">
        <is>
          <t>MENS</t>
        </is>
      </c>
      <c r="H6501" s="0" t="inlineStr">
        <is>
          <t>3XL</t>
        </is>
      </c>
      <c r="I6501" s="0">
        <v>46.99</v>
      </c>
      <c r="J6501" s="0">
        <v>29</v>
      </c>
    </row>
    <row r="6502" spans="1:10" customHeight="0">
      <c r="A6502" s="0">
        <f>HYPERLINK("https://dl.dropboxusercontent.com/scl/fi/obgjt6tivo73j0hmz7lsj/ingrid-01.jpg?rlkey=9fzjjn3yph6ci13qxllyzitud&amp;dl=0","Click to download Image")</f>
      </c>
      <c r="B6502" s="0">
        <f>HYPERLINK("https://dl.dropboxusercontent.com/scl/fi/b0k2098ob85nikn3rt9rg/size-chartinfant-toddler-b.jpg?rlkey=62lkrcem1ak7sf64rk842ux8a&amp;dl=0","Click to download SizeChart")</f>
      </c>
      <c r="C6502" s="0" t="inlineStr">
        <is>
          <t>Ingrid Infant Sundress</t>
        </is>
      </c>
      <c r="D6502" s="0" t="inlineStr">
        <is>
          <t>'99841</t>
        </is>
      </c>
      <c r="E6502" s="0" t="inlineStr">
        <is>
          <t>INGRID:99841-6M</t>
        </is>
      </c>
      <c r="F6502" s="0" t="inlineStr">
        <is>
          <t>'000000000000</t>
        </is>
      </c>
      <c r="G6502" s="0" t="inlineStr">
        <is>
          <t>INFANT</t>
        </is>
      </c>
      <c r="H6502" s="0" t="inlineStr">
        <is>
          <t>6M</t>
        </is>
      </c>
      <c r="I6502" s="0">
        <v>26.99</v>
      </c>
      <c r="J6502" s="0">
        <v>45</v>
      </c>
    </row>
    <row r="6503" spans="1:10" customHeight="0">
      <c r="A6503" s="0">
        <f>HYPERLINK("https://dl.dropboxusercontent.com/scl/fi/obgjt6tivo73j0hmz7lsj/ingrid-01.jpg?rlkey=9fzjjn3yph6ci13qxllyzitud&amp;dl=0","Click to download Image")</f>
      </c>
      <c r="B6503" s="0">
        <f>HYPERLINK("https://dl.dropboxusercontent.com/scl/fi/b0k2098ob85nikn3rt9rg/size-chartinfant-toddler-b.jpg?rlkey=62lkrcem1ak7sf64rk842ux8a&amp;dl=0","Click to download SizeChart")</f>
      </c>
      <c r="C6503" s="0" t="inlineStr">
        <is>
          <t>Ingrid Infant Sundress</t>
        </is>
      </c>
      <c r="D6503" s="0" t="inlineStr">
        <is>
          <t>'99841</t>
        </is>
      </c>
      <c r="E6503" s="0" t="inlineStr">
        <is>
          <t>INGRID:99841-12M</t>
        </is>
      </c>
      <c r="F6503" s="0" t="inlineStr">
        <is>
          <t>'000000000000</t>
        </is>
      </c>
      <c r="G6503" s="0" t="inlineStr">
        <is>
          <t>INFANT</t>
        </is>
      </c>
      <c r="H6503" s="0" t="inlineStr">
        <is>
          <t>12M</t>
        </is>
      </c>
      <c r="I6503" s="0">
        <v>26.99</v>
      </c>
      <c r="J6503" s="0">
        <v>31</v>
      </c>
    </row>
    <row r="6504" spans="1:10" customHeight="0">
      <c r="A6504" s="0">
        <f>HYPERLINK("https://dl.dropboxusercontent.com/scl/fi/obgjt6tivo73j0hmz7lsj/ingrid-01.jpg?rlkey=9fzjjn3yph6ci13qxllyzitud&amp;dl=0","Click to download Image")</f>
      </c>
      <c r="B6504" s="0">
        <f>HYPERLINK("https://dl.dropboxusercontent.com/scl/fi/b0k2098ob85nikn3rt9rg/size-chartinfant-toddler-b.jpg?rlkey=62lkrcem1ak7sf64rk842ux8a&amp;dl=0","Click to download SizeChart")</f>
      </c>
      <c r="C6504" s="0" t="inlineStr">
        <is>
          <t>Ingrid Infant Sundress</t>
        </is>
      </c>
      <c r="D6504" s="0" t="inlineStr">
        <is>
          <t>'99841</t>
        </is>
      </c>
      <c r="E6504" s="0" t="inlineStr">
        <is>
          <t>INGRID:99841-18M</t>
        </is>
      </c>
      <c r="F6504" s="0" t="inlineStr">
        <is>
          <t>'000000000000</t>
        </is>
      </c>
      <c r="G6504" s="0" t="inlineStr">
        <is>
          <t>INFANT</t>
        </is>
      </c>
      <c r="H6504" s="0" t="inlineStr">
        <is>
          <t>18M</t>
        </is>
      </c>
      <c r="I6504" s="0">
        <v>26.99</v>
      </c>
      <c r="J6504" s="0">
        <v>6</v>
      </c>
    </row>
    <row r="6505" spans="1:10" customHeight="0">
      <c r="A6505" s="0">
        <f>HYPERLINK("https://dl.dropboxusercontent.com/scl/fi/obgjt6tivo73j0hmz7lsj/ingrid-01.jpg?rlkey=9fzjjn3yph6ci13qxllyzitud&amp;dl=0","Click to download Image")</f>
      </c>
      <c r="B6505" s="0">
        <f>HYPERLINK("https://dl.dropboxusercontent.com/scl/fi/b0k2098ob85nikn3rt9rg/size-chartinfant-toddler-b.jpg?rlkey=62lkrcem1ak7sf64rk842ux8a&amp;dl=0","Click to download SizeChart")</f>
      </c>
      <c r="C6505" s="0" t="inlineStr">
        <is>
          <t>Ingrid Infant Sundress</t>
        </is>
      </c>
      <c r="D6505" s="0" t="inlineStr">
        <is>
          <t>'99841</t>
        </is>
      </c>
      <c r="E6505" s="0" t="inlineStr">
        <is>
          <t>INGRID:99841-24M</t>
        </is>
      </c>
      <c r="F6505" s="0" t="inlineStr">
        <is>
          <t>'000000000000</t>
        </is>
      </c>
      <c r="G6505" s="0" t="inlineStr">
        <is>
          <t>INFANT</t>
        </is>
      </c>
      <c r="H6505" s="0" t="inlineStr">
        <is>
          <t>24M</t>
        </is>
      </c>
      <c r="I6505" s="0">
        <v>26.99</v>
      </c>
      <c r="J6505" s="0">
        <v>4</v>
      </c>
    </row>
    <row r="6506" spans="1:10" customHeight="0">
      <c r="A6506" s="0">
        <f>HYPERLINK("https://dl.dropboxusercontent.com/scl/fi/vdraq7mod58fiz4ku7ysy/ingrid-02.jpg?rlkey=gf8nunf6hbm06ok8f408mupzx&amp;dl=0","Click to download Image")</f>
      </c>
      <c r="B6506" s="0">
        <f>HYPERLINK("https://dl.dropboxusercontent.com/scl/fi/b0k2098ob85nikn3rt9rg/size-chartinfant-toddler-b.jpg?rlkey=62lkrcem1ak7sf64rk842ux8a&amp;dl=0","Click to download SizeChart")</f>
      </c>
      <c r="C6506" s="0" t="inlineStr">
        <is>
          <t>Ingrid Infant Sundress</t>
        </is>
      </c>
      <c r="D6506" s="0" t="inlineStr">
        <is>
          <t>'99831</t>
        </is>
      </c>
      <c r="E6506" s="0" t="inlineStr">
        <is>
          <t>INGRID:99831-6M</t>
        </is>
      </c>
      <c r="F6506" s="0" t="inlineStr">
        <is>
          <t>'000000000000</t>
        </is>
      </c>
      <c r="G6506" s="0" t="inlineStr">
        <is>
          <t>INFANT</t>
        </is>
      </c>
      <c r="H6506" s="0" t="inlineStr">
        <is>
          <t>6M</t>
        </is>
      </c>
      <c r="I6506" s="0">
        <v>26.99</v>
      </c>
      <c r="J6506" s="0">
        <v>52</v>
      </c>
    </row>
    <row r="6507" spans="1:10" customHeight="0">
      <c r="A6507" s="0">
        <f>HYPERLINK("https://dl.dropboxusercontent.com/scl/fi/vdraq7mod58fiz4ku7ysy/ingrid-02.jpg?rlkey=gf8nunf6hbm06ok8f408mupzx&amp;dl=0","Click to download Image")</f>
      </c>
      <c r="B6507" s="0">
        <f>HYPERLINK("https://dl.dropboxusercontent.com/scl/fi/b0k2098ob85nikn3rt9rg/size-chartinfant-toddler-b.jpg?rlkey=62lkrcem1ak7sf64rk842ux8a&amp;dl=0","Click to download SizeChart")</f>
      </c>
      <c r="C6507" s="0" t="inlineStr">
        <is>
          <t>Ingrid Infant Sundress</t>
        </is>
      </c>
      <c r="D6507" s="0" t="inlineStr">
        <is>
          <t>'99831</t>
        </is>
      </c>
      <c r="E6507" s="0" t="inlineStr">
        <is>
          <t>INGRID:99831-12M</t>
        </is>
      </c>
      <c r="F6507" s="0" t="inlineStr">
        <is>
          <t>'000000000000</t>
        </is>
      </c>
      <c r="G6507" s="0" t="inlineStr">
        <is>
          <t>INFANT</t>
        </is>
      </c>
      <c r="H6507" s="0" t="inlineStr">
        <is>
          <t>12M</t>
        </is>
      </c>
      <c r="I6507" s="0">
        <v>26.99</v>
      </c>
      <c r="J6507" s="0">
        <v>47</v>
      </c>
    </row>
    <row r="6508" spans="1:10" customHeight="0">
      <c r="A6508" s="0">
        <f>HYPERLINK("https://dl.dropboxusercontent.com/scl/fi/vdraq7mod58fiz4ku7ysy/ingrid-02.jpg?rlkey=gf8nunf6hbm06ok8f408mupzx&amp;dl=0","Click to download Image")</f>
      </c>
      <c r="B6508" s="0">
        <f>HYPERLINK("https://dl.dropboxusercontent.com/scl/fi/b0k2098ob85nikn3rt9rg/size-chartinfant-toddler-b.jpg?rlkey=62lkrcem1ak7sf64rk842ux8a&amp;dl=0","Click to download SizeChart")</f>
      </c>
      <c r="C6508" s="0" t="inlineStr">
        <is>
          <t>Ingrid Infant Sundress</t>
        </is>
      </c>
      <c r="D6508" s="0" t="inlineStr">
        <is>
          <t>'99831</t>
        </is>
      </c>
      <c r="E6508" s="0" t="inlineStr">
        <is>
          <t>INGRID:99831-18M</t>
        </is>
      </c>
      <c r="F6508" s="0" t="inlineStr">
        <is>
          <t>'000000000000</t>
        </is>
      </c>
      <c r="G6508" s="0" t="inlineStr">
        <is>
          <t>INFANT</t>
        </is>
      </c>
      <c r="H6508" s="0" t="inlineStr">
        <is>
          <t>18M</t>
        </is>
      </c>
      <c r="I6508" s="0">
        <v>26.99</v>
      </c>
      <c r="J6508" s="0">
        <v>19</v>
      </c>
    </row>
    <row r="6509" spans="1:10" customHeight="0">
      <c r="A6509" s="0">
        <f>HYPERLINK("https://dl.dropboxusercontent.com/scl/fi/vdraq7mod58fiz4ku7ysy/ingrid-02.jpg?rlkey=gf8nunf6hbm06ok8f408mupzx&amp;dl=0","Click to download Image")</f>
      </c>
      <c r="B6509" s="0">
        <f>HYPERLINK("https://dl.dropboxusercontent.com/scl/fi/b0k2098ob85nikn3rt9rg/size-chartinfant-toddler-b.jpg?rlkey=62lkrcem1ak7sf64rk842ux8a&amp;dl=0","Click to download SizeChart")</f>
      </c>
      <c r="C6509" s="0" t="inlineStr">
        <is>
          <t>Ingrid Infant Sundress</t>
        </is>
      </c>
      <c r="D6509" s="0" t="inlineStr">
        <is>
          <t>'99831</t>
        </is>
      </c>
      <c r="E6509" s="0" t="inlineStr">
        <is>
          <t>INGRID:99831-24M</t>
        </is>
      </c>
      <c r="F6509" s="0" t="inlineStr">
        <is>
          <t>'000000000000</t>
        </is>
      </c>
      <c r="G6509" s="0" t="inlineStr">
        <is>
          <t>INFANT</t>
        </is>
      </c>
      <c r="H6509" s="0" t="inlineStr">
        <is>
          <t>24M</t>
        </is>
      </c>
      <c r="I6509" s="0">
        <v>26.99</v>
      </c>
      <c r="J6509" s="0">
        <v>7</v>
      </c>
    </row>
    <row r="6510" spans="1:10" customHeight="0">
      <c r="A6510" s="0">
        <f>HYPERLINK("https://dl.dropboxusercontent.com/scl/fi/ujr4krfp1ixerchj48hew/ia-premium.jpg?rlkey=3awwqtytbt20id4vj6t1heiji&amp;dl=0","Click to download Image")</f>
      </c>
      <c r="C6510" s="0" t="inlineStr">
        <is>
          <t>Premium Printed Reusable Face Mask 6pk</t>
        </is>
      </c>
      <c r="D6510" s="0" t="inlineStr">
        <is>
          <t>'119004PK</t>
        </is>
      </c>
      <c r="E6510" s="0" t="inlineStr">
        <is>
          <t>IOWA PREMIUM MASK:119004PK</t>
        </is>
      </c>
      <c r="F6510" s="0" t="inlineStr">
        <is>
          <t>'000000000000</t>
        </is>
      </c>
      <c r="I6510" s="0">
        <v>89.99</v>
      </c>
      <c r="J6510" s="0">
        <v>120</v>
      </c>
    </row>
    <row r="6511" spans="1:10" customHeight="0">
      <c r="A6511" s="0">
        <f>HYPERLINK("https://dl.dropboxusercontent.com/scl/fi/zjlptl8q5wv811ljk8eyv/isu-premium.jpg?rlkey=ppy6nai389atqb969rlsiys8b&amp;dl=0","Click to download Image")</f>
      </c>
      <c r="C6511" s="0" t="inlineStr">
        <is>
          <t>Premium Printed Reusable Face Mask 6pk</t>
        </is>
      </c>
      <c r="D6511" s="0" t="inlineStr">
        <is>
          <t>'119024PK</t>
        </is>
      </c>
      <c r="E6511" s="0" t="inlineStr">
        <is>
          <t>ISU PREMIUM MASK:119024PK</t>
        </is>
      </c>
      <c r="F6511" s="0" t="inlineStr">
        <is>
          <t>'000000000000</t>
        </is>
      </c>
      <c r="I6511" s="0">
        <v>89.99</v>
      </c>
      <c r="J6511" s="0">
        <v>88</v>
      </c>
    </row>
    <row r="6512" spans="1:10" customHeight="0">
      <c r="A6512" s="0">
        <f>HYPERLINK("https://dl.dropboxusercontent.com/scl/fi/usddsbwd3kv1v0rj80ajq/uni-premium.jpg?rlkey=p3aan1gab95hp112pk0iq4b7l&amp;dl=0","Click to download Image")</f>
      </c>
      <c r="C6512" s="0" t="inlineStr">
        <is>
          <t>Premium Printed Reusable Face Mask 6pk</t>
        </is>
      </c>
      <c r="D6512" s="0" t="inlineStr">
        <is>
          <t>'119042PK</t>
        </is>
      </c>
      <c r="E6512" s="0" t="inlineStr">
        <is>
          <t>UNI PREMIUM MASK:119042PK</t>
        </is>
      </c>
      <c r="F6512" s="0" t="inlineStr">
        <is>
          <t>'000000000000</t>
        </is>
      </c>
      <c r="I6512" s="0">
        <v>89.99</v>
      </c>
      <c r="J6512" s="0">
        <v>216</v>
      </c>
    </row>
    <row r="6513" spans="1:10" customHeight="0">
      <c r="A6513" s="0">
        <f>HYPERLINK("https://dl.dropboxusercontent.com/scl/fi/nc7k6hiqd6k93e6p16edw/94381-1.jpg?rlkey=94pl0tv33bl4w4x1mp61431l7&amp;dl=0","Click to download Image")</f>
      </c>
      <c r="B6513" s="0">
        <f>HYPERLINK("https://dl.dropboxusercontent.com/scl/fi/uw0qbgrnvbk4n1ckzuum4/size-chartladies-c.jpg?rlkey=onbcuj5lks3c8qnm7jfk5sv9j&amp;dl=0","Click to download SizeChart")</f>
      </c>
      <c r="C6513" s="0" t="inlineStr">
        <is>
          <t>Blitz Women's Jacket</t>
        </is>
      </c>
      <c r="D6513" s="0" t="inlineStr">
        <is>
          <t>'94381</t>
        </is>
      </c>
      <c r="E6513" s="0" t="inlineStr">
        <is>
          <t>BLITZ:94381A-S</t>
        </is>
      </c>
      <c r="F6513" s="0" t="inlineStr">
        <is>
          <t>'000000000000</t>
        </is>
      </c>
      <c r="G6513" s="0" t="inlineStr">
        <is>
          <t>WOMENS</t>
        </is>
      </c>
      <c r="H6513" s="0" t="inlineStr">
        <is>
          <t>S</t>
        </is>
      </c>
      <c r="I6513" s="0">
        <v>45.99</v>
      </c>
      <c r="J6513" s="0">
        <v>0</v>
      </c>
    </row>
    <row r="6514" spans="1:10" customHeight="0">
      <c r="A6514" s="0">
        <f>HYPERLINK("https://dl.dropboxusercontent.com/scl/fi/nc7k6hiqd6k93e6p16edw/94381-1.jpg?rlkey=94pl0tv33bl4w4x1mp61431l7&amp;dl=0","Click to download Image")</f>
      </c>
      <c r="B6514" s="0">
        <f>HYPERLINK("https://dl.dropboxusercontent.com/scl/fi/uw0qbgrnvbk4n1ckzuum4/size-chartladies-c.jpg?rlkey=onbcuj5lks3c8qnm7jfk5sv9j&amp;dl=0","Click to download SizeChart")</f>
      </c>
      <c r="C6514" s="0" t="inlineStr">
        <is>
          <t>Blitz Women's Jacket</t>
        </is>
      </c>
      <c r="D6514" s="0" t="inlineStr">
        <is>
          <t>'94381</t>
        </is>
      </c>
      <c r="E6514" s="0" t="inlineStr">
        <is>
          <t>BLITZ:94381B-M</t>
        </is>
      </c>
      <c r="F6514" s="0" t="inlineStr">
        <is>
          <t>'000000000000</t>
        </is>
      </c>
      <c r="G6514" s="0" t="inlineStr">
        <is>
          <t>WOMENS</t>
        </is>
      </c>
      <c r="H6514" s="0" t="inlineStr">
        <is>
          <t>M</t>
        </is>
      </c>
      <c r="I6514" s="0">
        <v>45.99</v>
      </c>
      <c r="J6514" s="0">
        <v>1</v>
      </c>
    </row>
    <row r="6515" spans="1:10" customHeight="0">
      <c r="A6515" s="0">
        <f>HYPERLINK("https://dl.dropboxusercontent.com/scl/fi/nc7k6hiqd6k93e6p16edw/94381-1.jpg?rlkey=94pl0tv33bl4w4x1mp61431l7&amp;dl=0","Click to download Image")</f>
      </c>
      <c r="B6515" s="0">
        <f>HYPERLINK("https://dl.dropboxusercontent.com/scl/fi/uw0qbgrnvbk4n1ckzuum4/size-chartladies-c.jpg?rlkey=onbcuj5lks3c8qnm7jfk5sv9j&amp;dl=0","Click to download SizeChart")</f>
      </c>
      <c r="C6515" s="0" t="inlineStr">
        <is>
          <t>Blitz Women's Jacket</t>
        </is>
      </c>
      <c r="D6515" s="0" t="inlineStr">
        <is>
          <t>'94381</t>
        </is>
      </c>
      <c r="E6515" s="0" t="inlineStr">
        <is>
          <t>BLITZ:94381C-L</t>
        </is>
      </c>
      <c r="F6515" s="0" t="inlineStr">
        <is>
          <t>'000000000000</t>
        </is>
      </c>
      <c r="G6515" s="0" t="inlineStr">
        <is>
          <t>WOMENS</t>
        </is>
      </c>
      <c r="H6515" s="0" t="inlineStr">
        <is>
          <t>L</t>
        </is>
      </c>
      <c r="I6515" s="0">
        <v>45.99</v>
      </c>
      <c r="J6515" s="0">
        <v>34</v>
      </c>
    </row>
    <row r="6516" spans="1:10" customHeight="0">
      <c r="A6516" s="0">
        <f>HYPERLINK("https://dl.dropboxusercontent.com/scl/fi/nc7k6hiqd6k93e6p16edw/94381-1.jpg?rlkey=94pl0tv33bl4w4x1mp61431l7&amp;dl=0","Click to download Image")</f>
      </c>
      <c r="B6516" s="0">
        <f>HYPERLINK("https://dl.dropboxusercontent.com/scl/fi/uw0qbgrnvbk4n1ckzuum4/size-chartladies-c.jpg?rlkey=onbcuj5lks3c8qnm7jfk5sv9j&amp;dl=0","Click to download SizeChart")</f>
      </c>
      <c r="C6516" s="0" t="inlineStr">
        <is>
          <t>Blitz Women's Jacket</t>
        </is>
      </c>
      <c r="D6516" s="0" t="inlineStr">
        <is>
          <t>'94381</t>
        </is>
      </c>
      <c r="E6516" s="0" t="inlineStr">
        <is>
          <t>BLITZ:94381D-XL</t>
        </is>
      </c>
      <c r="F6516" s="0" t="inlineStr">
        <is>
          <t>'000000000000</t>
        </is>
      </c>
      <c r="G6516" s="0" t="inlineStr">
        <is>
          <t>WOMENS</t>
        </is>
      </c>
      <c r="H6516" s="0" t="inlineStr">
        <is>
          <t>XL</t>
        </is>
      </c>
      <c r="I6516" s="0">
        <v>45.99</v>
      </c>
      <c r="J6516" s="0">
        <v>1</v>
      </c>
    </row>
    <row r="6517" spans="1:10" customHeight="0">
      <c r="A6517" s="0">
        <f>HYPERLINK("https://dl.dropboxusercontent.com/scl/fi/nc7k6hiqd6k93e6p16edw/94381-1.jpg?rlkey=94pl0tv33bl4w4x1mp61431l7&amp;dl=0","Click to download Image")</f>
      </c>
      <c r="B6517" s="0">
        <f>HYPERLINK("https://dl.dropboxusercontent.com/scl/fi/uw0qbgrnvbk4n1ckzuum4/size-chartladies-c.jpg?rlkey=onbcuj5lks3c8qnm7jfk5sv9j&amp;dl=0","Click to download SizeChart")</f>
      </c>
      <c r="C6517" s="0" t="inlineStr">
        <is>
          <t>Blitz Women's Jacket</t>
        </is>
      </c>
      <c r="D6517" s="0" t="inlineStr">
        <is>
          <t>'94381</t>
        </is>
      </c>
      <c r="E6517" s="0" t="inlineStr">
        <is>
          <t>BLITZ:94381E-2XL</t>
        </is>
      </c>
      <c r="F6517" s="0" t="inlineStr">
        <is>
          <t>'000000000000</t>
        </is>
      </c>
      <c r="G6517" s="0" t="inlineStr">
        <is>
          <t>WOMENS</t>
        </is>
      </c>
      <c r="H6517" s="0" t="inlineStr">
        <is>
          <t>2XL</t>
        </is>
      </c>
      <c r="I6517" s="0">
        <v>45.99</v>
      </c>
      <c r="J6517" s="0">
        <v>1</v>
      </c>
    </row>
    <row r="6518" spans="1:10" customHeight="0">
      <c r="A6518" s="0">
        <f>HYPERLINK("https://dl.dropboxusercontent.com/scl/fi/3evpior3g1x67qkn70eqr/95580fa.jpg?rlkey=sjs7u7z2jyzasuxh5yp7somah&amp;dl=0","Click to download Image")</f>
      </c>
      <c r="B6518" s="0">
        <f>HYPERLINK("https://dl.dropboxusercontent.com/scl/fi/uw0qbgrnvbk4n1ckzuum4/size-chartladies-c.jpg?rlkey=onbcuj5lks3c8qnm7jfk5sv9j&amp;dl=0","Click to download SizeChart")</f>
      </c>
      <c r="C6518" s="0" t="inlineStr">
        <is>
          <t>Blitz Women's Jacket</t>
        </is>
      </c>
      <c r="D6518" s="0" t="inlineStr">
        <is>
          <t>'95580</t>
        </is>
      </c>
      <c r="E6518" s="0" t="inlineStr">
        <is>
          <t>BLITZ:95580A-S</t>
        </is>
      </c>
      <c r="F6518" s="0" t="inlineStr">
        <is>
          <t>'000000000000</t>
        </is>
      </c>
      <c r="G6518" s="0" t="inlineStr">
        <is>
          <t>WOMENS</t>
        </is>
      </c>
      <c r="H6518" s="0" t="inlineStr">
        <is>
          <t>S</t>
        </is>
      </c>
      <c r="I6518" s="0">
        <v>45.99</v>
      </c>
      <c r="J6518" s="0">
        <v>19</v>
      </c>
    </row>
    <row r="6519" spans="1:10" customHeight="0">
      <c r="A6519" s="0">
        <f>HYPERLINK("https://dl.dropboxusercontent.com/scl/fi/3evpior3g1x67qkn70eqr/95580fa.jpg?rlkey=sjs7u7z2jyzasuxh5yp7somah&amp;dl=0","Click to download Image")</f>
      </c>
      <c r="B6519" s="0">
        <f>HYPERLINK("https://dl.dropboxusercontent.com/scl/fi/uw0qbgrnvbk4n1ckzuum4/size-chartladies-c.jpg?rlkey=onbcuj5lks3c8qnm7jfk5sv9j&amp;dl=0","Click to download SizeChart")</f>
      </c>
      <c r="C6519" s="0" t="inlineStr">
        <is>
          <t>Blitz Women's Jacket</t>
        </is>
      </c>
      <c r="D6519" s="0" t="inlineStr">
        <is>
          <t>'95580</t>
        </is>
      </c>
      <c r="E6519" s="0" t="inlineStr">
        <is>
          <t>BLITZ:95580B-M</t>
        </is>
      </c>
      <c r="F6519" s="0" t="inlineStr">
        <is>
          <t>'000000000000</t>
        </is>
      </c>
      <c r="G6519" s="0" t="inlineStr">
        <is>
          <t>WOMENS</t>
        </is>
      </c>
      <c r="H6519" s="0" t="inlineStr">
        <is>
          <t>M</t>
        </is>
      </c>
      <c r="I6519" s="0">
        <v>45.99</v>
      </c>
      <c r="J6519" s="0">
        <v>0</v>
      </c>
    </row>
    <row r="6520" spans="1:10" customHeight="0">
      <c r="A6520" s="0">
        <f>HYPERLINK("https://dl.dropboxusercontent.com/scl/fi/3evpior3g1x67qkn70eqr/95580fa.jpg?rlkey=sjs7u7z2jyzasuxh5yp7somah&amp;dl=0","Click to download Image")</f>
      </c>
      <c r="B6520" s="0">
        <f>HYPERLINK("https://dl.dropboxusercontent.com/scl/fi/uw0qbgrnvbk4n1ckzuum4/size-chartladies-c.jpg?rlkey=onbcuj5lks3c8qnm7jfk5sv9j&amp;dl=0","Click to download SizeChart")</f>
      </c>
      <c r="C6520" s="0" t="inlineStr">
        <is>
          <t>Blitz Women's Jacket</t>
        </is>
      </c>
      <c r="D6520" s="0" t="inlineStr">
        <is>
          <t>'95580</t>
        </is>
      </c>
      <c r="E6520" s="0" t="inlineStr">
        <is>
          <t>BLITZ:95580C-L</t>
        </is>
      </c>
      <c r="F6520" s="0" t="inlineStr">
        <is>
          <t>'000000000000</t>
        </is>
      </c>
      <c r="G6520" s="0" t="inlineStr">
        <is>
          <t>WOMENS</t>
        </is>
      </c>
      <c r="H6520" s="0" t="inlineStr">
        <is>
          <t>L</t>
        </is>
      </c>
      <c r="I6520" s="0">
        <v>45.99</v>
      </c>
      <c r="J6520" s="0">
        <v>41</v>
      </c>
    </row>
    <row r="6521" spans="1:10" customHeight="0">
      <c r="A6521" s="0">
        <f>HYPERLINK("https://dl.dropboxusercontent.com/scl/fi/3evpior3g1x67qkn70eqr/95580fa.jpg?rlkey=sjs7u7z2jyzasuxh5yp7somah&amp;dl=0","Click to download Image")</f>
      </c>
      <c r="B6521" s="0">
        <f>HYPERLINK("https://dl.dropboxusercontent.com/scl/fi/uw0qbgrnvbk4n1ckzuum4/size-chartladies-c.jpg?rlkey=onbcuj5lks3c8qnm7jfk5sv9j&amp;dl=0","Click to download SizeChart")</f>
      </c>
      <c r="C6521" s="0" t="inlineStr">
        <is>
          <t>Blitz Women's Jacket</t>
        </is>
      </c>
      <c r="D6521" s="0" t="inlineStr">
        <is>
          <t>'95580</t>
        </is>
      </c>
      <c r="E6521" s="0" t="inlineStr">
        <is>
          <t>BLITZ:95580D-XL</t>
        </is>
      </c>
      <c r="F6521" s="0" t="inlineStr">
        <is>
          <t>'000000000000</t>
        </is>
      </c>
      <c r="G6521" s="0" t="inlineStr">
        <is>
          <t>WOMENS</t>
        </is>
      </c>
      <c r="H6521" s="0" t="inlineStr">
        <is>
          <t>XL</t>
        </is>
      </c>
      <c r="I6521" s="0">
        <v>45.99</v>
      </c>
      <c r="J6521" s="0">
        <v>50</v>
      </c>
    </row>
    <row r="6522" spans="1:10" customHeight="0">
      <c r="A6522" s="0">
        <f>HYPERLINK("https://dl.dropboxusercontent.com/scl/fi/3evpior3g1x67qkn70eqr/95580fa.jpg?rlkey=sjs7u7z2jyzasuxh5yp7somah&amp;dl=0","Click to download Image")</f>
      </c>
      <c r="B6522" s="0">
        <f>HYPERLINK("https://dl.dropboxusercontent.com/scl/fi/uw0qbgrnvbk4n1ckzuum4/size-chartladies-c.jpg?rlkey=onbcuj5lks3c8qnm7jfk5sv9j&amp;dl=0","Click to download SizeChart")</f>
      </c>
      <c r="C6522" s="0" t="inlineStr">
        <is>
          <t>Blitz Women's Jacket</t>
        </is>
      </c>
      <c r="D6522" s="0" t="inlineStr">
        <is>
          <t>'95580</t>
        </is>
      </c>
      <c r="E6522" s="0" t="inlineStr">
        <is>
          <t>BLITZ:95580E-2XL</t>
        </is>
      </c>
      <c r="F6522" s="0" t="inlineStr">
        <is>
          <t>'000000000000</t>
        </is>
      </c>
      <c r="G6522" s="0" t="inlineStr">
        <is>
          <t>WOMENS</t>
        </is>
      </c>
      <c r="H6522" s="0" t="inlineStr">
        <is>
          <t>2XL</t>
        </is>
      </c>
      <c r="I6522" s="0">
        <v>45.99</v>
      </c>
      <c r="J6522" s="0">
        <v>5</v>
      </c>
    </row>
    <row r="6523" spans="1:10" customHeight="0">
      <c r="A6523" s="0">
        <f>HYPERLINK("https://dl.dropboxusercontent.com/scl/fi/jhu16mkzbnhhmuxovz7cv/98716af.jpg?rlkey=mn648gk7w5a9oz62q04z8kb0c&amp;dl=0","Click to download Image")</f>
      </c>
      <c r="B6523" s="0">
        <f>HYPERLINK("https://dl.dropboxusercontent.com/scl/fi/auzd2zpf5s5g8fyik7pk1/mens-a.jpg?rlkey=tdtia9o2l5gtyp72w4tflg8ww&amp;dl=0","Click to download SizeChart")</f>
      </c>
      <c r="C6523" s="0" t="inlineStr">
        <is>
          <t>Bryan Men's Polo</t>
        </is>
      </c>
      <c r="D6523" s="0" t="inlineStr">
        <is>
          <t>'98716</t>
        </is>
      </c>
      <c r="E6523" s="0" t="inlineStr">
        <is>
          <t>BRYAN:98716A-S</t>
        </is>
      </c>
      <c r="F6523" s="0" t="inlineStr">
        <is>
          <t>'000000000000</t>
        </is>
      </c>
      <c r="G6523" s="0" t="inlineStr">
        <is>
          <t>MENS</t>
        </is>
      </c>
      <c r="H6523" s="0" t="inlineStr">
        <is>
          <t>S</t>
        </is>
      </c>
      <c r="I6523" s="0">
        <v>49.99</v>
      </c>
      <c r="J6523" s="0">
        <v>66</v>
      </c>
    </row>
    <row r="6524" spans="1:10" customHeight="0">
      <c r="A6524" s="0">
        <f>HYPERLINK("https://dl.dropboxusercontent.com/scl/fi/jhu16mkzbnhhmuxovz7cv/98716af.jpg?rlkey=mn648gk7w5a9oz62q04z8kb0c&amp;dl=0","Click to download Image")</f>
      </c>
      <c r="B6524" s="0">
        <f>HYPERLINK("https://dl.dropboxusercontent.com/scl/fi/auzd2zpf5s5g8fyik7pk1/mens-a.jpg?rlkey=tdtia9o2l5gtyp72w4tflg8ww&amp;dl=0","Click to download SizeChart")</f>
      </c>
      <c r="C6524" s="0" t="inlineStr">
        <is>
          <t>Bryan Men's Polo</t>
        </is>
      </c>
      <c r="D6524" s="0" t="inlineStr">
        <is>
          <t>'98716</t>
        </is>
      </c>
      <c r="E6524" s="0" t="inlineStr">
        <is>
          <t>BRYAN:98716B-M</t>
        </is>
      </c>
      <c r="F6524" s="0" t="inlineStr">
        <is>
          <t>'000000000000</t>
        </is>
      </c>
      <c r="G6524" s="0" t="inlineStr">
        <is>
          <t>MENS</t>
        </is>
      </c>
      <c r="H6524" s="0" t="inlineStr">
        <is>
          <t>M</t>
        </is>
      </c>
      <c r="I6524" s="0">
        <v>49.99</v>
      </c>
      <c r="J6524" s="0">
        <v>79</v>
      </c>
    </row>
    <row r="6525" spans="1:10" customHeight="0">
      <c r="A6525" s="0">
        <f>HYPERLINK("https://dl.dropboxusercontent.com/scl/fi/jhu16mkzbnhhmuxovz7cv/98716af.jpg?rlkey=mn648gk7w5a9oz62q04z8kb0c&amp;dl=0","Click to download Image")</f>
      </c>
      <c r="B6525" s="0">
        <f>HYPERLINK("https://dl.dropboxusercontent.com/scl/fi/auzd2zpf5s5g8fyik7pk1/mens-a.jpg?rlkey=tdtia9o2l5gtyp72w4tflg8ww&amp;dl=0","Click to download SizeChart")</f>
      </c>
      <c r="C6525" s="0" t="inlineStr">
        <is>
          <t>Bryan Men's Polo</t>
        </is>
      </c>
      <c r="D6525" s="0" t="inlineStr">
        <is>
          <t>'98716</t>
        </is>
      </c>
      <c r="E6525" s="0" t="inlineStr">
        <is>
          <t>BRYAN:98716C-L</t>
        </is>
      </c>
      <c r="F6525" s="0" t="inlineStr">
        <is>
          <t>'000000000000</t>
        </is>
      </c>
      <c r="G6525" s="0" t="inlineStr">
        <is>
          <t>MENS</t>
        </is>
      </c>
      <c r="H6525" s="0" t="inlineStr">
        <is>
          <t>L</t>
        </is>
      </c>
      <c r="I6525" s="0">
        <v>49.99</v>
      </c>
      <c r="J6525" s="0">
        <v>90</v>
      </c>
    </row>
    <row r="6526" spans="1:10" customHeight="0">
      <c r="A6526" s="0">
        <f>HYPERLINK("https://dl.dropboxusercontent.com/scl/fi/jhu16mkzbnhhmuxovz7cv/98716af.jpg?rlkey=mn648gk7w5a9oz62q04z8kb0c&amp;dl=0","Click to download Image")</f>
      </c>
      <c r="B6526" s="0">
        <f>HYPERLINK("https://dl.dropboxusercontent.com/scl/fi/auzd2zpf5s5g8fyik7pk1/mens-a.jpg?rlkey=tdtia9o2l5gtyp72w4tflg8ww&amp;dl=0","Click to download SizeChart")</f>
      </c>
      <c r="C6526" s="0" t="inlineStr">
        <is>
          <t>Bryan Men's Polo</t>
        </is>
      </c>
      <c r="D6526" s="0" t="inlineStr">
        <is>
          <t>'98716</t>
        </is>
      </c>
      <c r="E6526" s="0" t="inlineStr">
        <is>
          <t>BRYAN:98716D-XL</t>
        </is>
      </c>
      <c r="F6526" s="0" t="inlineStr">
        <is>
          <t>'000000000000</t>
        </is>
      </c>
      <c r="G6526" s="0" t="inlineStr">
        <is>
          <t>MENS</t>
        </is>
      </c>
      <c r="H6526" s="0" t="inlineStr">
        <is>
          <t>XL</t>
        </is>
      </c>
      <c r="I6526" s="0">
        <v>49.99</v>
      </c>
      <c r="J6526" s="0">
        <v>91</v>
      </c>
    </row>
    <row r="6527" spans="1:10" customHeight="0">
      <c r="A6527" s="0">
        <f>HYPERLINK("https://dl.dropboxusercontent.com/scl/fi/jhu16mkzbnhhmuxovz7cv/98716af.jpg?rlkey=mn648gk7w5a9oz62q04z8kb0c&amp;dl=0","Click to download Image")</f>
      </c>
      <c r="B6527" s="0">
        <f>HYPERLINK("https://dl.dropboxusercontent.com/scl/fi/auzd2zpf5s5g8fyik7pk1/mens-a.jpg?rlkey=tdtia9o2l5gtyp72w4tflg8ww&amp;dl=0","Click to download SizeChart")</f>
      </c>
      <c r="C6527" s="0" t="inlineStr">
        <is>
          <t>Bryan Men's Polo</t>
        </is>
      </c>
      <c r="D6527" s="0" t="inlineStr">
        <is>
          <t>'98716</t>
        </is>
      </c>
      <c r="E6527" s="0" t="inlineStr">
        <is>
          <t>BRYAN:98716E-2XL</t>
        </is>
      </c>
      <c r="F6527" s="0" t="inlineStr">
        <is>
          <t>'000000000000</t>
        </is>
      </c>
      <c r="G6527" s="0" t="inlineStr">
        <is>
          <t>MENS</t>
        </is>
      </c>
      <c r="H6527" s="0" t="inlineStr">
        <is>
          <t>2XL</t>
        </is>
      </c>
      <c r="I6527" s="0">
        <v>51.99</v>
      </c>
      <c r="J6527" s="0">
        <v>67</v>
      </c>
    </row>
    <row r="6528" spans="1:10" customHeight="0">
      <c r="A6528" s="0">
        <f>HYPERLINK("https://dl.dropboxusercontent.com/scl/fi/jhu16mkzbnhhmuxovz7cv/98716af.jpg?rlkey=mn648gk7w5a9oz62q04z8kb0c&amp;dl=0","Click to download Image")</f>
      </c>
      <c r="B6528" s="0">
        <f>HYPERLINK("https://dl.dropboxusercontent.com/scl/fi/auzd2zpf5s5g8fyik7pk1/mens-a.jpg?rlkey=tdtia9o2l5gtyp72w4tflg8ww&amp;dl=0","Click to download SizeChart")</f>
      </c>
      <c r="C6528" s="0" t="inlineStr">
        <is>
          <t>Bryan Men's Polo</t>
        </is>
      </c>
      <c r="D6528" s="0" t="inlineStr">
        <is>
          <t>'98716</t>
        </is>
      </c>
      <c r="E6528" s="0" t="inlineStr">
        <is>
          <t>BRYAN:98716F-3XL</t>
        </is>
      </c>
      <c r="F6528" s="0" t="inlineStr">
        <is>
          <t>'000000000000</t>
        </is>
      </c>
      <c r="G6528" s="0" t="inlineStr">
        <is>
          <t>MENS</t>
        </is>
      </c>
      <c r="H6528" s="0" t="inlineStr">
        <is>
          <t>3XL</t>
        </is>
      </c>
      <c r="I6528" s="0">
        <v>51.99</v>
      </c>
      <c r="J6528" s="0">
        <v>33</v>
      </c>
    </row>
    <row r="6529" spans="1:10" customHeight="0">
      <c r="A6529" s="0">
        <f>HYPERLINK("https://dl.dropboxusercontent.com/scl/fi/n4tti9e6gl3o50yjza302/98862af.jpg?rlkey=miyd5jyllbqa26161hmnb2xx4&amp;dl=0","Click to download Image")</f>
      </c>
      <c r="B6529" s="0">
        <f>HYPERLINK("https://dl.dropboxusercontent.com/scl/fi/auzd2zpf5s5g8fyik7pk1/mens-a.jpg?rlkey=tdtia9o2l5gtyp72w4tflg8ww&amp;dl=0","Click to download SizeChart")</f>
      </c>
      <c r="C6529" s="0" t="inlineStr">
        <is>
          <t>Bryan Men's Polo</t>
        </is>
      </c>
      <c r="D6529" s="0" t="inlineStr">
        <is>
          <t>'98862</t>
        </is>
      </c>
      <c r="E6529" s="0" t="inlineStr">
        <is>
          <t>BRYAN:98862A-S</t>
        </is>
      </c>
      <c r="F6529" s="0" t="inlineStr">
        <is>
          <t>'000000000000</t>
        </is>
      </c>
      <c r="G6529" s="0" t="inlineStr">
        <is>
          <t>MENS</t>
        </is>
      </c>
      <c r="H6529" s="0" t="inlineStr">
        <is>
          <t>S</t>
        </is>
      </c>
      <c r="I6529" s="0">
        <v>49.99</v>
      </c>
      <c r="J6529" s="0">
        <v>30</v>
      </c>
    </row>
    <row r="6530" spans="1:10" customHeight="0">
      <c r="A6530" s="0">
        <f>HYPERLINK("https://dl.dropboxusercontent.com/scl/fi/n4tti9e6gl3o50yjza302/98862af.jpg?rlkey=miyd5jyllbqa26161hmnb2xx4&amp;dl=0","Click to download Image")</f>
      </c>
      <c r="B6530" s="0">
        <f>HYPERLINK("https://dl.dropboxusercontent.com/scl/fi/auzd2zpf5s5g8fyik7pk1/mens-a.jpg?rlkey=tdtia9o2l5gtyp72w4tflg8ww&amp;dl=0","Click to download SizeChart")</f>
      </c>
      <c r="C6530" s="0" t="inlineStr">
        <is>
          <t>Bryan Men's Polo</t>
        </is>
      </c>
      <c r="D6530" s="0" t="inlineStr">
        <is>
          <t>'98862</t>
        </is>
      </c>
      <c r="E6530" s="0" t="inlineStr">
        <is>
          <t>BRYAN:98862B-M</t>
        </is>
      </c>
      <c r="F6530" s="0" t="inlineStr">
        <is>
          <t>'000000000000</t>
        </is>
      </c>
      <c r="G6530" s="0" t="inlineStr">
        <is>
          <t>MENS</t>
        </is>
      </c>
      <c r="H6530" s="0" t="inlineStr">
        <is>
          <t>M</t>
        </is>
      </c>
      <c r="I6530" s="0">
        <v>49.99</v>
      </c>
      <c r="J6530" s="0">
        <v>33</v>
      </c>
    </row>
    <row r="6531" spans="1:10" customHeight="0">
      <c r="A6531" s="0">
        <f>HYPERLINK("https://dl.dropboxusercontent.com/scl/fi/n4tti9e6gl3o50yjza302/98862af.jpg?rlkey=miyd5jyllbqa26161hmnb2xx4&amp;dl=0","Click to download Image")</f>
      </c>
      <c r="B6531" s="0">
        <f>HYPERLINK("https://dl.dropboxusercontent.com/scl/fi/auzd2zpf5s5g8fyik7pk1/mens-a.jpg?rlkey=tdtia9o2l5gtyp72w4tflg8ww&amp;dl=0","Click to download SizeChart")</f>
      </c>
      <c r="C6531" s="0" t="inlineStr">
        <is>
          <t>Bryan Men's Polo</t>
        </is>
      </c>
      <c r="D6531" s="0" t="inlineStr">
        <is>
          <t>'98862</t>
        </is>
      </c>
      <c r="E6531" s="0" t="inlineStr">
        <is>
          <t>BRYAN:98862C-L</t>
        </is>
      </c>
      <c r="F6531" s="0" t="inlineStr">
        <is>
          <t>'000000000000</t>
        </is>
      </c>
      <c r="G6531" s="0" t="inlineStr">
        <is>
          <t>MENS</t>
        </is>
      </c>
      <c r="H6531" s="0" t="inlineStr">
        <is>
          <t>L</t>
        </is>
      </c>
      <c r="I6531" s="0">
        <v>49.99</v>
      </c>
      <c r="J6531" s="0">
        <v>35</v>
      </c>
    </row>
    <row r="6532" spans="1:10" customHeight="0">
      <c r="A6532" s="0">
        <f>HYPERLINK("https://dl.dropboxusercontent.com/scl/fi/n4tti9e6gl3o50yjza302/98862af.jpg?rlkey=miyd5jyllbqa26161hmnb2xx4&amp;dl=0","Click to download Image")</f>
      </c>
      <c r="B6532" s="0">
        <f>HYPERLINK("https://dl.dropboxusercontent.com/scl/fi/auzd2zpf5s5g8fyik7pk1/mens-a.jpg?rlkey=tdtia9o2l5gtyp72w4tflg8ww&amp;dl=0","Click to download SizeChart")</f>
      </c>
      <c r="C6532" s="0" t="inlineStr">
        <is>
          <t>Bryan Men's Polo</t>
        </is>
      </c>
      <c r="D6532" s="0" t="inlineStr">
        <is>
          <t>'98862</t>
        </is>
      </c>
      <c r="E6532" s="0" t="inlineStr">
        <is>
          <t>BRYAN:98862D-XL</t>
        </is>
      </c>
      <c r="F6532" s="0" t="inlineStr">
        <is>
          <t>'000000000000</t>
        </is>
      </c>
      <c r="G6532" s="0" t="inlineStr">
        <is>
          <t>MENS</t>
        </is>
      </c>
      <c r="H6532" s="0" t="inlineStr">
        <is>
          <t>XL</t>
        </is>
      </c>
      <c r="I6532" s="0">
        <v>49.99</v>
      </c>
      <c r="J6532" s="0">
        <v>29</v>
      </c>
    </row>
    <row r="6533" spans="1:10" customHeight="0">
      <c r="A6533" s="0">
        <f>HYPERLINK("https://dl.dropboxusercontent.com/scl/fi/n4tti9e6gl3o50yjza302/98862af.jpg?rlkey=miyd5jyllbqa26161hmnb2xx4&amp;dl=0","Click to download Image")</f>
      </c>
      <c r="B6533" s="0">
        <f>HYPERLINK("https://dl.dropboxusercontent.com/scl/fi/auzd2zpf5s5g8fyik7pk1/mens-a.jpg?rlkey=tdtia9o2l5gtyp72w4tflg8ww&amp;dl=0","Click to download SizeChart")</f>
      </c>
      <c r="C6533" s="0" t="inlineStr">
        <is>
          <t>Bryan Men's Polo</t>
        </is>
      </c>
      <c r="D6533" s="0" t="inlineStr">
        <is>
          <t>'98862</t>
        </is>
      </c>
      <c r="E6533" s="0" t="inlineStr">
        <is>
          <t>BRYAN:98862E-2XL</t>
        </is>
      </c>
      <c r="F6533" s="0" t="inlineStr">
        <is>
          <t>'000000000000</t>
        </is>
      </c>
      <c r="G6533" s="0" t="inlineStr">
        <is>
          <t>MENS</t>
        </is>
      </c>
      <c r="H6533" s="0" t="inlineStr">
        <is>
          <t>2XL</t>
        </is>
      </c>
      <c r="I6533" s="0">
        <v>51.99</v>
      </c>
      <c r="J6533" s="0">
        <v>25</v>
      </c>
    </row>
    <row r="6534" spans="1:10" customHeight="0">
      <c r="A6534" s="0">
        <f>HYPERLINK("https://dl.dropboxusercontent.com/scl/fi/n4tti9e6gl3o50yjza302/98862af.jpg?rlkey=miyd5jyllbqa26161hmnb2xx4&amp;dl=0","Click to download Image")</f>
      </c>
      <c r="B6534" s="0">
        <f>HYPERLINK("https://dl.dropboxusercontent.com/scl/fi/auzd2zpf5s5g8fyik7pk1/mens-a.jpg?rlkey=tdtia9o2l5gtyp72w4tflg8ww&amp;dl=0","Click to download SizeChart")</f>
      </c>
      <c r="C6534" s="0" t="inlineStr">
        <is>
          <t>Bryan Men's Polo</t>
        </is>
      </c>
      <c r="D6534" s="0" t="inlineStr">
        <is>
          <t>'98862</t>
        </is>
      </c>
      <c r="E6534" s="0" t="inlineStr">
        <is>
          <t>BRYAN:98862F-3XL</t>
        </is>
      </c>
      <c r="F6534" s="0" t="inlineStr">
        <is>
          <t>'000000000000</t>
        </is>
      </c>
      <c r="G6534" s="0" t="inlineStr">
        <is>
          <t>MENS</t>
        </is>
      </c>
      <c r="H6534" s="0" t="inlineStr">
        <is>
          <t>3XL</t>
        </is>
      </c>
      <c r="I6534" s="0">
        <v>51.99</v>
      </c>
      <c r="J6534" s="0">
        <v>23</v>
      </c>
    </row>
    <row r="6535" spans="1:10" customHeight="0">
      <c r="A6535" s="0">
        <f>HYPERLINK("https://dl.dropboxusercontent.com/scl/fi/v5ffsprp10x7f3leqshlk/90790af.jpg?rlkey=9qce6h31b7kne2loxzffp3wtz&amp;dl=0","Click to download Image")</f>
      </c>
      <c r="B6535" s="0">
        <f>HYPERLINK("https://dl.dropboxusercontent.com/scl/fi/r48gjyhfhmo1e0m7ndaev/mens-a.jpg?rlkey=z0tccthvfqj7wq9fnl1rs7j34&amp;dl=0","Click to download SizeChart")</f>
      </c>
      <c r="C6535" s="0" t="inlineStr">
        <is>
          <t>Bowman Men's Jacket</t>
        </is>
      </c>
      <c r="D6535" s="0" t="inlineStr">
        <is>
          <t>'96355</t>
        </is>
      </c>
      <c r="E6535" s="0" t="inlineStr">
        <is>
          <t>BOWMAN:96355A-S</t>
        </is>
      </c>
      <c r="F6535" s="0" t="inlineStr">
        <is>
          <t>'000000000000</t>
        </is>
      </c>
      <c r="G6535" s="0" t="inlineStr">
        <is>
          <t>MENS</t>
        </is>
      </c>
      <c r="H6535" s="0" t="inlineStr">
        <is>
          <t>S</t>
        </is>
      </c>
      <c r="I6535" s="0">
        <v>59.99</v>
      </c>
      <c r="J6535" s="0">
        <v>0</v>
      </c>
    </row>
    <row r="6536" spans="1:10" customHeight="0">
      <c r="A6536" s="0">
        <f>HYPERLINK("https://dl.dropboxusercontent.com/scl/fi/v5ffsprp10x7f3leqshlk/90790af.jpg?rlkey=9qce6h31b7kne2loxzffp3wtz&amp;dl=0","Click to download Image")</f>
      </c>
      <c r="B6536" s="0">
        <f>HYPERLINK("https://dl.dropboxusercontent.com/scl/fi/r48gjyhfhmo1e0m7ndaev/mens-a.jpg?rlkey=z0tccthvfqj7wq9fnl1rs7j34&amp;dl=0","Click to download SizeChart")</f>
      </c>
      <c r="C6536" s="0" t="inlineStr">
        <is>
          <t>Bowman Men's Jacket</t>
        </is>
      </c>
      <c r="D6536" s="0" t="inlineStr">
        <is>
          <t>'96355</t>
        </is>
      </c>
      <c r="E6536" s="0" t="inlineStr">
        <is>
          <t>BOWMAN:96355B-M</t>
        </is>
      </c>
      <c r="F6536" s="0" t="inlineStr">
        <is>
          <t>'000000000000</t>
        </is>
      </c>
      <c r="G6536" s="0" t="inlineStr">
        <is>
          <t>MENS</t>
        </is>
      </c>
      <c r="H6536" s="0" t="inlineStr">
        <is>
          <t>M</t>
        </is>
      </c>
      <c r="I6536" s="0">
        <v>59.99</v>
      </c>
      <c r="J6536" s="0">
        <v>0</v>
      </c>
    </row>
    <row r="6537" spans="1:10" customHeight="0">
      <c r="A6537" s="0">
        <f>HYPERLINK("https://dl.dropboxusercontent.com/scl/fi/v5ffsprp10x7f3leqshlk/90790af.jpg?rlkey=9qce6h31b7kne2loxzffp3wtz&amp;dl=0","Click to download Image")</f>
      </c>
      <c r="B6537" s="0">
        <f>HYPERLINK("https://dl.dropboxusercontent.com/scl/fi/r48gjyhfhmo1e0m7ndaev/mens-a.jpg?rlkey=z0tccthvfqj7wq9fnl1rs7j34&amp;dl=0","Click to download SizeChart")</f>
      </c>
      <c r="C6537" s="0" t="inlineStr">
        <is>
          <t>Bowman Men's Jacket</t>
        </is>
      </c>
      <c r="D6537" s="0" t="inlineStr">
        <is>
          <t>'96355</t>
        </is>
      </c>
      <c r="E6537" s="0" t="inlineStr">
        <is>
          <t>BOWMAN:96355C-L</t>
        </is>
      </c>
      <c r="F6537" s="0" t="inlineStr">
        <is>
          <t>'000000000000</t>
        </is>
      </c>
      <c r="G6537" s="0" t="inlineStr">
        <is>
          <t>MENS</t>
        </is>
      </c>
      <c r="H6537" s="0" t="inlineStr">
        <is>
          <t>L</t>
        </is>
      </c>
      <c r="I6537" s="0">
        <v>59.99</v>
      </c>
      <c r="J6537" s="0">
        <v>0</v>
      </c>
    </row>
    <row r="6538" spans="1:10" customHeight="0">
      <c r="A6538" s="0">
        <f>HYPERLINK("https://dl.dropboxusercontent.com/scl/fi/v5ffsprp10x7f3leqshlk/90790af.jpg?rlkey=9qce6h31b7kne2loxzffp3wtz&amp;dl=0","Click to download Image")</f>
      </c>
      <c r="B6538" s="0">
        <f>HYPERLINK("https://dl.dropboxusercontent.com/scl/fi/r48gjyhfhmo1e0m7ndaev/mens-a.jpg?rlkey=z0tccthvfqj7wq9fnl1rs7j34&amp;dl=0","Click to download SizeChart")</f>
      </c>
      <c r="C6538" s="0" t="inlineStr">
        <is>
          <t>Bowman Men's Jacket</t>
        </is>
      </c>
      <c r="D6538" s="0" t="inlineStr">
        <is>
          <t>'96355</t>
        </is>
      </c>
      <c r="E6538" s="0" t="inlineStr">
        <is>
          <t>BOWMAN:96355D-XL</t>
        </is>
      </c>
      <c r="F6538" s="0" t="inlineStr">
        <is>
          <t>'000000000000</t>
        </is>
      </c>
      <c r="G6538" s="0" t="inlineStr">
        <is>
          <t>MENS</t>
        </is>
      </c>
      <c r="H6538" s="0" t="inlineStr">
        <is>
          <t>XL</t>
        </is>
      </c>
      <c r="I6538" s="0">
        <v>59.99</v>
      </c>
      <c r="J6538" s="0">
        <v>0</v>
      </c>
    </row>
    <row r="6539" spans="1:10" customHeight="0">
      <c r="A6539" s="0">
        <f>HYPERLINK("https://dl.dropboxusercontent.com/scl/fi/v5ffsprp10x7f3leqshlk/90790af.jpg?rlkey=9qce6h31b7kne2loxzffp3wtz&amp;dl=0","Click to download Image")</f>
      </c>
      <c r="B6539" s="0">
        <f>HYPERLINK("https://dl.dropboxusercontent.com/scl/fi/r48gjyhfhmo1e0m7ndaev/mens-a.jpg?rlkey=z0tccthvfqj7wq9fnl1rs7j34&amp;dl=0","Click to download SizeChart")</f>
      </c>
      <c r="C6539" s="0" t="inlineStr">
        <is>
          <t>Bowman Men's Jacket</t>
        </is>
      </c>
      <c r="D6539" s="0" t="inlineStr">
        <is>
          <t>'96355</t>
        </is>
      </c>
      <c r="E6539" s="0" t="inlineStr">
        <is>
          <t>BOWMAN:96355E-2XL</t>
        </is>
      </c>
      <c r="F6539" s="0" t="inlineStr">
        <is>
          <t>'000000000000</t>
        </is>
      </c>
      <c r="G6539" s="0" t="inlineStr">
        <is>
          <t>MENS</t>
        </is>
      </c>
      <c r="H6539" s="0" t="inlineStr">
        <is>
          <t>2XL</t>
        </is>
      </c>
      <c r="I6539" s="0">
        <v>61.99</v>
      </c>
      <c r="J6539" s="0">
        <v>0</v>
      </c>
    </row>
    <row r="6540" spans="1:10" customHeight="0">
      <c r="A6540" s="0">
        <f>HYPERLINK("https://dl.dropboxusercontent.com/scl/fi/v5ffsprp10x7f3leqshlk/90790af.jpg?rlkey=9qce6h31b7kne2loxzffp3wtz&amp;dl=0","Click to download Image")</f>
      </c>
      <c r="B6540" s="0">
        <f>HYPERLINK("https://dl.dropboxusercontent.com/scl/fi/r48gjyhfhmo1e0m7ndaev/mens-a.jpg?rlkey=z0tccthvfqj7wq9fnl1rs7j34&amp;dl=0","Click to download SizeChart")</f>
      </c>
      <c r="C6540" s="0" t="inlineStr">
        <is>
          <t>Bowman Men's Jacket</t>
        </is>
      </c>
      <c r="D6540" s="0" t="inlineStr">
        <is>
          <t>'96355</t>
        </is>
      </c>
      <c r="E6540" s="0" t="inlineStr">
        <is>
          <t>BOWMAN:96355F-3XL</t>
        </is>
      </c>
      <c r="F6540" s="0" t="inlineStr">
        <is>
          <t>'000000000000</t>
        </is>
      </c>
      <c r="G6540" s="0" t="inlineStr">
        <is>
          <t>MENS</t>
        </is>
      </c>
      <c r="H6540" s="0" t="inlineStr">
        <is>
          <t>3XL</t>
        </is>
      </c>
      <c r="I6540" s="0">
        <v>61.99</v>
      </c>
      <c r="J6540" s="0">
        <v>9</v>
      </c>
    </row>
    <row r="6541" spans="1:10" customHeight="0">
      <c r="A6541" s="0">
        <f>HYPERLINK("https://dl.dropboxusercontent.com/scl/fi/0xpeqxtgbsesxf1fl8ogj/90790af.jpg?rlkey=8lwhvbt8m4m2cb0ajpe0filjt&amp;dl=0","Click to download Image")</f>
      </c>
      <c r="B6541" s="0">
        <f>HYPERLINK("https://dl.dropboxusercontent.com/scl/fi/r48gjyhfhmo1e0m7ndaev/mens-a.jpg?rlkey=z0tccthvfqj7wq9fnl1rs7j34&amp;dl=0","Click to download SizeChart")</f>
      </c>
      <c r="C6541" s="0" t="inlineStr">
        <is>
          <t>Bowman Men's Jacket</t>
        </is>
      </c>
      <c r="D6541" s="0" t="inlineStr">
        <is>
          <t>'95584</t>
        </is>
      </c>
      <c r="E6541" s="0" t="inlineStr">
        <is>
          <t>BOWMAN:95584A-S</t>
        </is>
      </c>
      <c r="F6541" s="0" t="inlineStr">
        <is>
          <t>'000000000000</t>
        </is>
      </c>
      <c r="G6541" s="0" t="inlineStr">
        <is>
          <t>MENS</t>
        </is>
      </c>
      <c r="H6541" s="0" t="inlineStr">
        <is>
          <t>S</t>
        </is>
      </c>
      <c r="I6541" s="0">
        <v>59.99</v>
      </c>
      <c r="J6541" s="0">
        <v>22</v>
      </c>
    </row>
    <row r="6542" spans="1:10" customHeight="0">
      <c r="A6542" s="0">
        <f>HYPERLINK("https://dl.dropboxusercontent.com/scl/fi/0xpeqxtgbsesxf1fl8ogj/90790af.jpg?rlkey=8lwhvbt8m4m2cb0ajpe0filjt&amp;dl=0","Click to download Image")</f>
      </c>
      <c r="B6542" s="0">
        <f>HYPERLINK("https://dl.dropboxusercontent.com/scl/fi/r48gjyhfhmo1e0m7ndaev/mens-a.jpg?rlkey=z0tccthvfqj7wq9fnl1rs7j34&amp;dl=0","Click to download SizeChart")</f>
      </c>
      <c r="C6542" s="0" t="inlineStr">
        <is>
          <t>Bowman Men's Jacket</t>
        </is>
      </c>
      <c r="D6542" s="0" t="inlineStr">
        <is>
          <t>'95584</t>
        </is>
      </c>
      <c r="E6542" s="0" t="inlineStr">
        <is>
          <t>BOWMAN:95584B-M</t>
        </is>
      </c>
      <c r="F6542" s="0" t="inlineStr">
        <is>
          <t>'000000000000</t>
        </is>
      </c>
      <c r="G6542" s="0" t="inlineStr">
        <is>
          <t>MENS</t>
        </is>
      </c>
      <c r="H6542" s="0" t="inlineStr">
        <is>
          <t>M</t>
        </is>
      </c>
      <c r="I6542" s="0">
        <v>59.99</v>
      </c>
      <c r="J6542" s="0">
        <v>11</v>
      </c>
    </row>
    <row r="6543" spans="1:10" customHeight="0">
      <c r="A6543" s="0">
        <f>HYPERLINK("https://dl.dropboxusercontent.com/scl/fi/0xpeqxtgbsesxf1fl8ogj/90790af.jpg?rlkey=8lwhvbt8m4m2cb0ajpe0filjt&amp;dl=0","Click to download Image")</f>
      </c>
      <c r="B6543" s="0">
        <f>HYPERLINK("https://dl.dropboxusercontent.com/scl/fi/r48gjyhfhmo1e0m7ndaev/mens-a.jpg?rlkey=z0tccthvfqj7wq9fnl1rs7j34&amp;dl=0","Click to download SizeChart")</f>
      </c>
      <c r="C6543" s="0" t="inlineStr">
        <is>
          <t>Bowman Men's Jacket</t>
        </is>
      </c>
      <c r="D6543" s="0" t="inlineStr">
        <is>
          <t>'95584</t>
        </is>
      </c>
      <c r="E6543" s="0" t="inlineStr">
        <is>
          <t>BOWMAN:95584C-L</t>
        </is>
      </c>
      <c r="F6543" s="0" t="inlineStr">
        <is>
          <t>'000000000000</t>
        </is>
      </c>
      <c r="G6543" s="0" t="inlineStr">
        <is>
          <t>MENS</t>
        </is>
      </c>
      <c r="H6543" s="0" t="inlineStr">
        <is>
          <t>L</t>
        </is>
      </c>
      <c r="I6543" s="0">
        <v>59.99</v>
      </c>
      <c r="J6543" s="0">
        <v>5</v>
      </c>
    </row>
    <row r="6544" spans="1:10" customHeight="0">
      <c r="A6544" s="0">
        <f>HYPERLINK("https://dl.dropboxusercontent.com/scl/fi/0xpeqxtgbsesxf1fl8ogj/90790af.jpg?rlkey=8lwhvbt8m4m2cb0ajpe0filjt&amp;dl=0","Click to download Image")</f>
      </c>
      <c r="B6544" s="0">
        <f>HYPERLINK("https://dl.dropboxusercontent.com/scl/fi/r48gjyhfhmo1e0m7ndaev/mens-a.jpg?rlkey=z0tccthvfqj7wq9fnl1rs7j34&amp;dl=0","Click to download SizeChart")</f>
      </c>
      <c r="C6544" s="0" t="inlineStr">
        <is>
          <t>Bowman Men's Jacket</t>
        </is>
      </c>
      <c r="D6544" s="0" t="inlineStr">
        <is>
          <t>'95584</t>
        </is>
      </c>
      <c r="E6544" s="0" t="inlineStr">
        <is>
          <t>BOWMAN:95584D-XL</t>
        </is>
      </c>
      <c r="F6544" s="0" t="inlineStr">
        <is>
          <t>'000000000000</t>
        </is>
      </c>
      <c r="G6544" s="0" t="inlineStr">
        <is>
          <t>MENS</t>
        </is>
      </c>
      <c r="H6544" s="0" t="inlineStr">
        <is>
          <t>XL</t>
        </is>
      </c>
      <c r="I6544" s="0">
        <v>59.99</v>
      </c>
      <c r="J6544" s="0">
        <v>10</v>
      </c>
    </row>
    <row r="6545" spans="1:10" customHeight="0">
      <c r="A6545" s="0">
        <f>HYPERLINK("https://dl.dropboxusercontent.com/scl/fi/0xpeqxtgbsesxf1fl8ogj/90790af.jpg?rlkey=8lwhvbt8m4m2cb0ajpe0filjt&amp;dl=0","Click to download Image")</f>
      </c>
      <c r="B6545" s="0">
        <f>HYPERLINK("https://dl.dropboxusercontent.com/scl/fi/r48gjyhfhmo1e0m7ndaev/mens-a.jpg?rlkey=z0tccthvfqj7wq9fnl1rs7j34&amp;dl=0","Click to download SizeChart")</f>
      </c>
      <c r="C6545" s="0" t="inlineStr">
        <is>
          <t>Bowman Men's Jacket</t>
        </is>
      </c>
      <c r="D6545" s="0" t="inlineStr">
        <is>
          <t>'95584</t>
        </is>
      </c>
      <c r="E6545" s="0" t="inlineStr">
        <is>
          <t>BOWMAN:95584E-2XL</t>
        </is>
      </c>
      <c r="F6545" s="0" t="inlineStr">
        <is>
          <t>'000000000000</t>
        </is>
      </c>
      <c r="G6545" s="0" t="inlineStr">
        <is>
          <t>MENS</t>
        </is>
      </c>
      <c r="H6545" s="0" t="inlineStr">
        <is>
          <t>2XL</t>
        </is>
      </c>
      <c r="I6545" s="0">
        <v>61.99</v>
      </c>
      <c r="J6545" s="0">
        <v>11</v>
      </c>
    </row>
    <row r="6546" spans="1:10" customHeight="0">
      <c r="A6546" s="0">
        <f>HYPERLINK("https://dl.dropboxusercontent.com/scl/fi/0xpeqxtgbsesxf1fl8ogj/90790af.jpg?rlkey=8lwhvbt8m4m2cb0ajpe0filjt&amp;dl=0","Click to download Image")</f>
      </c>
      <c r="B6546" s="0">
        <f>HYPERLINK("https://dl.dropboxusercontent.com/scl/fi/r48gjyhfhmo1e0m7ndaev/mens-a.jpg?rlkey=z0tccthvfqj7wq9fnl1rs7j34&amp;dl=0","Click to download SizeChart")</f>
      </c>
      <c r="C6546" s="0" t="inlineStr">
        <is>
          <t>Bowman Men's Jacket</t>
        </is>
      </c>
      <c r="D6546" s="0" t="inlineStr">
        <is>
          <t>'95584</t>
        </is>
      </c>
      <c r="E6546" s="0" t="inlineStr">
        <is>
          <t>BOWMAN:95584F-3XL</t>
        </is>
      </c>
      <c r="F6546" s="0" t="inlineStr">
        <is>
          <t>'000000000000</t>
        </is>
      </c>
      <c r="G6546" s="0" t="inlineStr">
        <is>
          <t>MENS</t>
        </is>
      </c>
      <c r="H6546" s="0" t="inlineStr">
        <is>
          <t>3XL</t>
        </is>
      </c>
      <c r="I6546" s="0">
        <v>61.99</v>
      </c>
      <c r="J6546" s="0">
        <v>28</v>
      </c>
    </row>
    <row r="6547" spans="1:10" customHeight="0">
      <c r="A6547" s="0">
        <f>HYPERLINK("https://dl.dropboxusercontent.com/scl/fi/mnbiacii9yb6i970hgzal/90790af.jpg?rlkey=yd6yy1tjnyrm1ywtnrq10t4e8&amp;dl=0","Click to download Image")</f>
      </c>
      <c r="B6547" s="0">
        <f>HYPERLINK("https://dl.dropboxusercontent.com/scl/fi/r48gjyhfhmo1e0m7ndaev/mens-a.jpg?rlkey=z0tccthvfqj7wq9fnl1rs7j34&amp;dl=0","Click to download SizeChart")</f>
      </c>
      <c r="C6547" s="0" t="inlineStr">
        <is>
          <t>Bowman Men's Jacket</t>
        </is>
      </c>
      <c r="D6547" s="0" t="inlineStr">
        <is>
          <t>'103261</t>
        </is>
      </c>
      <c r="E6547" s="0" t="inlineStr">
        <is>
          <t>BOWMAN:103261A-S</t>
        </is>
      </c>
      <c r="F6547" s="0" t="inlineStr">
        <is>
          <t>'000000000000</t>
        </is>
      </c>
      <c r="G6547" s="0" t="inlineStr">
        <is>
          <t>MENS</t>
        </is>
      </c>
      <c r="H6547" s="0" t="inlineStr">
        <is>
          <t>S</t>
        </is>
      </c>
      <c r="I6547" s="0">
        <v>59.99</v>
      </c>
      <c r="J6547" s="0">
        <v>13</v>
      </c>
    </row>
    <row r="6548" spans="1:10" customHeight="0">
      <c r="A6548" s="0">
        <f>HYPERLINK("https://dl.dropboxusercontent.com/scl/fi/mnbiacii9yb6i970hgzal/90790af.jpg?rlkey=yd6yy1tjnyrm1ywtnrq10t4e8&amp;dl=0","Click to download Image")</f>
      </c>
      <c r="B6548" s="0">
        <f>HYPERLINK("https://dl.dropboxusercontent.com/scl/fi/r48gjyhfhmo1e0m7ndaev/mens-a.jpg?rlkey=z0tccthvfqj7wq9fnl1rs7j34&amp;dl=0","Click to download SizeChart")</f>
      </c>
      <c r="C6548" s="0" t="inlineStr">
        <is>
          <t>Bowman Men's Jacket</t>
        </is>
      </c>
      <c r="D6548" s="0" t="inlineStr">
        <is>
          <t>'103261</t>
        </is>
      </c>
      <c r="E6548" s="0" t="inlineStr">
        <is>
          <t>BOWMAN:103261B-M</t>
        </is>
      </c>
      <c r="F6548" s="0" t="inlineStr">
        <is>
          <t>'000000000000</t>
        </is>
      </c>
      <c r="G6548" s="0" t="inlineStr">
        <is>
          <t>MENS</t>
        </is>
      </c>
      <c r="H6548" s="0" t="inlineStr">
        <is>
          <t>M</t>
        </is>
      </c>
      <c r="I6548" s="0">
        <v>59.99</v>
      </c>
      <c r="J6548" s="0">
        <v>14</v>
      </c>
    </row>
    <row r="6549" spans="1:10" customHeight="0">
      <c r="A6549" s="0">
        <f>HYPERLINK("https://dl.dropboxusercontent.com/scl/fi/mnbiacii9yb6i970hgzal/90790af.jpg?rlkey=yd6yy1tjnyrm1ywtnrq10t4e8&amp;dl=0","Click to download Image")</f>
      </c>
      <c r="B6549" s="0">
        <f>HYPERLINK("https://dl.dropboxusercontent.com/scl/fi/r48gjyhfhmo1e0m7ndaev/mens-a.jpg?rlkey=z0tccthvfqj7wq9fnl1rs7j34&amp;dl=0","Click to download SizeChart")</f>
      </c>
      <c r="C6549" s="0" t="inlineStr">
        <is>
          <t>Bowman Men's Jacket</t>
        </is>
      </c>
      <c r="D6549" s="0" t="inlineStr">
        <is>
          <t>'103261</t>
        </is>
      </c>
      <c r="E6549" s="0" t="inlineStr">
        <is>
          <t>BOWMAN:103261C-L</t>
        </is>
      </c>
      <c r="F6549" s="0" t="inlineStr">
        <is>
          <t>'000000000000</t>
        </is>
      </c>
      <c r="G6549" s="0" t="inlineStr">
        <is>
          <t>MENS</t>
        </is>
      </c>
      <c r="H6549" s="0" t="inlineStr">
        <is>
          <t>L</t>
        </is>
      </c>
      <c r="I6549" s="0">
        <v>59.99</v>
      </c>
      <c r="J6549" s="0">
        <v>26</v>
      </c>
    </row>
    <row r="6550" spans="1:10" customHeight="0">
      <c r="A6550" s="0">
        <f>HYPERLINK("https://dl.dropboxusercontent.com/scl/fi/mnbiacii9yb6i970hgzal/90790af.jpg?rlkey=yd6yy1tjnyrm1ywtnrq10t4e8&amp;dl=0","Click to download Image")</f>
      </c>
      <c r="B6550" s="0">
        <f>HYPERLINK("https://dl.dropboxusercontent.com/scl/fi/r48gjyhfhmo1e0m7ndaev/mens-a.jpg?rlkey=z0tccthvfqj7wq9fnl1rs7j34&amp;dl=0","Click to download SizeChart")</f>
      </c>
      <c r="C6550" s="0" t="inlineStr">
        <is>
          <t>Bowman Men's Jacket</t>
        </is>
      </c>
      <c r="D6550" s="0" t="inlineStr">
        <is>
          <t>'103261</t>
        </is>
      </c>
      <c r="E6550" s="0" t="inlineStr">
        <is>
          <t>BOWMAN:103261D-XL</t>
        </is>
      </c>
      <c r="F6550" s="0" t="inlineStr">
        <is>
          <t>'000000000000</t>
        </is>
      </c>
      <c r="G6550" s="0" t="inlineStr">
        <is>
          <t>MENS</t>
        </is>
      </c>
      <c r="H6550" s="0" t="inlineStr">
        <is>
          <t>XL</t>
        </is>
      </c>
      <c r="I6550" s="0">
        <v>59.99</v>
      </c>
      <c r="J6550" s="0">
        <v>27</v>
      </c>
    </row>
    <row r="6551" spans="1:10" customHeight="0">
      <c r="A6551" s="0">
        <f>HYPERLINK("https://dl.dropboxusercontent.com/scl/fi/mnbiacii9yb6i970hgzal/90790af.jpg?rlkey=yd6yy1tjnyrm1ywtnrq10t4e8&amp;dl=0","Click to download Image")</f>
      </c>
      <c r="B6551" s="0">
        <f>HYPERLINK("https://dl.dropboxusercontent.com/scl/fi/r48gjyhfhmo1e0m7ndaev/mens-a.jpg?rlkey=z0tccthvfqj7wq9fnl1rs7j34&amp;dl=0","Click to download SizeChart")</f>
      </c>
      <c r="C6551" s="0" t="inlineStr">
        <is>
          <t>Bowman Men's Jacket</t>
        </is>
      </c>
      <c r="D6551" s="0" t="inlineStr">
        <is>
          <t>'103261</t>
        </is>
      </c>
      <c r="E6551" s="0" t="inlineStr">
        <is>
          <t>BOWMAN:103261E-2XL</t>
        </is>
      </c>
      <c r="F6551" s="0" t="inlineStr">
        <is>
          <t>'000000000000</t>
        </is>
      </c>
      <c r="G6551" s="0" t="inlineStr">
        <is>
          <t>MENS</t>
        </is>
      </c>
      <c r="H6551" s="0" t="inlineStr">
        <is>
          <t>2XL</t>
        </is>
      </c>
      <c r="I6551" s="0">
        <v>61.99</v>
      </c>
      <c r="J6551" s="0">
        <v>14</v>
      </c>
    </row>
    <row r="6552" spans="1:10" customHeight="0">
      <c r="A6552" s="0">
        <f>HYPERLINK("https://dl.dropboxusercontent.com/scl/fi/mnbiacii9yb6i970hgzal/90790af.jpg?rlkey=yd6yy1tjnyrm1ywtnrq10t4e8&amp;dl=0","Click to download Image")</f>
      </c>
      <c r="B6552" s="0">
        <f>HYPERLINK("https://dl.dropboxusercontent.com/scl/fi/r48gjyhfhmo1e0m7ndaev/mens-a.jpg?rlkey=z0tccthvfqj7wq9fnl1rs7j34&amp;dl=0","Click to download SizeChart")</f>
      </c>
      <c r="C6552" s="0" t="inlineStr">
        <is>
          <t>Bowman Men's Jacket</t>
        </is>
      </c>
      <c r="D6552" s="0" t="inlineStr">
        <is>
          <t>'103261</t>
        </is>
      </c>
      <c r="E6552" s="0" t="inlineStr">
        <is>
          <t>BOWMAN:103261F-3XL</t>
        </is>
      </c>
      <c r="F6552" s="0" t="inlineStr">
        <is>
          <t>'000000000000</t>
        </is>
      </c>
      <c r="G6552" s="0" t="inlineStr">
        <is>
          <t>MENS</t>
        </is>
      </c>
      <c r="H6552" s="0" t="inlineStr">
        <is>
          <t>3XL</t>
        </is>
      </c>
      <c r="I6552" s="0">
        <v>61.99</v>
      </c>
      <c r="J6552" s="0">
        <v>10</v>
      </c>
    </row>
    <row r="6553" spans="1:10" customHeight="0">
      <c r="A6553" s="0">
        <f>HYPERLINK("https://dl.dropboxusercontent.com/scl/fi/5rcyv2q8bxrld2c9alhj9/97005af.jpg?rlkey=wko4o1ga0z6w8s6uw42g5lnmz&amp;dl=0","Click to download Image")</f>
      </c>
      <c r="B6553" s="0">
        <f>HYPERLINK("https://dl.dropboxusercontent.com/scl/fi/unt08fjm8hwpxpzfq7g18/mens-a.jpg?rlkey=hcifokfkqyzr97kefy1c0h3o6&amp;dl=0","Click to download SizeChart")</f>
      </c>
      <c r="C6553" s="0" t="inlineStr">
        <is>
          <t>Gabriel Men's Polo</t>
        </is>
      </c>
      <c r="D6553" s="0" t="inlineStr">
        <is>
          <t>'97005</t>
        </is>
      </c>
      <c r="E6553" s="0" t="inlineStr">
        <is>
          <t>GABRIEL:97005A-S</t>
        </is>
      </c>
      <c r="F6553" s="0" t="inlineStr">
        <is>
          <t>'000000000000</t>
        </is>
      </c>
      <c r="G6553" s="0" t="inlineStr">
        <is>
          <t>MENS</t>
        </is>
      </c>
      <c r="H6553" s="0" t="inlineStr">
        <is>
          <t>S</t>
        </is>
      </c>
      <c r="I6553" s="0">
        <v>41.99</v>
      </c>
      <c r="J6553" s="0">
        <v>21</v>
      </c>
    </row>
    <row r="6554" spans="1:10" customHeight="0">
      <c r="A6554" s="0">
        <f>HYPERLINK("https://dl.dropboxusercontent.com/scl/fi/5rcyv2q8bxrld2c9alhj9/97005af.jpg?rlkey=wko4o1ga0z6w8s6uw42g5lnmz&amp;dl=0","Click to download Image")</f>
      </c>
      <c r="B6554" s="0">
        <f>HYPERLINK("https://dl.dropboxusercontent.com/scl/fi/unt08fjm8hwpxpzfq7g18/mens-a.jpg?rlkey=hcifokfkqyzr97kefy1c0h3o6&amp;dl=0","Click to download SizeChart")</f>
      </c>
      <c r="C6554" s="0" t="inlineStr">
        <is>
          <t>Gabriel Men's Polo</t>
        </is>
      </c>
      <c r="D6554" s="0" t="inlineStr">
        <is>
          <t>'97005</t>
        </is>
      </c>
      <c r="E6554" s="0" t="inlineStr">
        <is>
          <t>GABRIEL:97005B-M</t>
        </is>
      </c>
      <c r="F6554" s="0" t="inlineStr">
        <is>
          <t>'000000000000</t>
        </is>
      </c>
      <c r="G6554" s="0" t="inlineStr">
        <is>
          <t>MENS</t>
        </is>
      </c>
      <c r="H6554" s="0" t="inlineStr">
        <is>
          <t>M</t>
        </is>
      </c>
      <c r="I6554" s="0">
        <v>41.99</v>
      </c>
      <c r="J6554" s="0">
        <v>34</v>
      </c>
    </row>
    <row r="6555" spans="1:10" customHeight="0">
      <c r="A6555" s="0">
        <f>HYPERLINK("https://dl.dropboxusercontent.com/scl/fi/5rcyv2q8bxrld2c9alhj9/97005af.jpg?rlkey=wko4o1ga0z6w8s6uw42g5lnmz&amp;dl=0","Click to download Image")</f>
      </c>
      <c r="B6555" s="0">
        <f>HYPERLINK("https://dl.dropboxusercontent.com/scl/fi/unt08fjm8hwpxpzfq7g18/mens-a.jpg?rlkey=hcifokfkqyzr97kefy1c0h3o6&amp;dl=0","Click to download SizeChart")</f>
      </c>
      <c r="C6555" s="0" t="inlineStr">
        <is>
          <t>Gabriel Men's Polo</t>
        </is>
      </c>
      <c r="D6555" s="0" t="inlineStr">
        <is>
          <t>'97005</t>
        </is>
      </c>
      <c r="E6555" s="0" t="inlineStr">
        <is>
          <t>GABRIEL:97005C-L</t>
        </is>
      </c>
      <c r="F6555" s="0" t="inlineStr">
        <is>
          <t>'000000000000</t>
        </is>
      </c>
      <c r="G6555" s="0" t="inlineStr">
        <is>
          <t>MENS</t>
        </is>
      </c>
      <c r="H6555" s="0" t="inlineStr">
        <is>
          <t>L</t>
        </is>
      </c>
      <c r="I6555" s="0">
        <v>41.99</v>
      </c>
      <c r="J6555" s="0">
        <v>49</v>
      </c>
    </row>
    <row r="6556" spans="1:10" customHeight="0">
      <c r="A6556" s="0">
        <f>HYPERLINK("https://dl.dropboxusercontent.com/scl/fi/5rcyv2q8bxrld2c9alhj9/97005af.jpg?rlkey=wko4o1ga0z6w8s6uw42g5lnmz&amp;dl=0","Click to download Image")</f>
      </c>
      <c r="B6556" s="0">
        <f>HYPERLINK("https://dl.dropboxusercontent.com/scl/fi/unt08fjm8hwpxpzfq7g18/mens-a.jpg?rlkey=hcifokfkqyzr97kefy1c0h3o6&amp;dl=0","Click to download SizeChart")</f>
      </c>
      <c r="C6556" s="0" t="inlineStr">
        <is>
          <t>Gabriel Men's Polo</t>
        </is>
      </c>
      <c r="D6556" s="0" t="inlineStr">
        <is>
          <t>'97005</t>
        </is>
      </c>
      <c r="E6556" s="0" t="inlineStr">
        <is>
          <t>GABRIEL:97005D-XL</t>
        </is>
      </c>
      <c r="F6556" s="0" t="inlineStr">
        <is>
          <t>'000000000000</t>
        </is>
      </c>
      <c r="G6556" s="0" t="inlineStr">
        <is>
          <t>MENS</t>
        </is>
      </c>
      <c r="H6556" s="0" t="inlineStr">
        <is>
          <t>XL</t>
        </is>
      </c>
      <c r="I6556" s="0">
        <v>41.99</v>
      </c>
      <c r="J6556" s="0">
        <v>50</v>
      </c>
    </row>
    <row r="6557" spans="1:10" customHeight="0">
      <c r="A6557" s="0">
        <f>HYPERLINK("https://dl.dropboxusercontent.com/scl/fi/5rcyv2q8bxrld2c9alhj9/97005af.jpg?rlkey=wko4o1ga0z6w8s6uw42g5lnmz&amp;dl=0","Click to download Image")</f>
      </c>
      <c r="B6557" s="0">
        <f>HYPERLINK("https://dl.dropboxusercontent.com/scl/fi/unt08fjm8hwpxpzfq7g18/mens-a.jpg?rlkey=hcifokfkqyzr97kefy1c0h3o6&amp;dl=0","Click to download SizeChart")</f>
      </c>
      <c r="C6557" s="0" t="inlineStr">
        <is>
          <t>Gabriel Men's Polo</t>
        </is>
      </c>
      <c r="D6557" s="0" t="inlineStr">
        <is>
          <t>'97005</t>
        </is>
      </c>
      <c r="E6557" s="0" t="inlineStr">
        <is>
          <t>GABRIEL:97005E-2XL</t>
        </is>
      </c>
      <c r="F6557" s="0" t="inlineStr">
        <is>
          <t>'000000000000</t>
        </is>
      </c>
      <c r="G6557" s="0" t="inlineStr">
        <is>
          <t>MENS</t>
        </is>
      </c>
      <c r="H6557" s="0" t="inlineStr">
        <is>
          <t>2XL</t>
        </is>
      </c>
      <c r="I6557" s="0">
        <v>43.99</v>
      </c>
      <c r="J6557" s="0">
        <v>28</v>
      </c>
    </row>
    <row r="6558" spans="1:10" customHeight="0">
      <c r="A6558" s="0">
        <f>HYPERLINK("https://dl.dropboxusercontent.com/scl/fi/5rcyv2q8bxrld2c9alhj9/97005af.jpg?rlkey=wko4o1ga0z6w8s6uw42g5lnmz&amp;dl=0","Click to download Image")</f>
      </c>
      <c r="B6558" s="0">
        <f>HYPERLINK("https://dl.dropboxusercontent.com/scl/fi/unt08fjm8hwpxpzfq7g18/mens-a.jpg?rlkey=hcifokfkqyzr97kefy1c0h3o6&amp;dl=0","Click to download SizeChart")</f>
      </c>
      <c r="C6558" s="0" t="inlineStr">
        <is>
          <t>Gabriel Men's Polo</t>
        </is>
      </c>
      <c r="D6558" s="0" t="inlineStr">
        <is>
          <t>'97005</t>
        </is>
      </c>
      <c r="E6558" s="0" t="inlineStr">
        <is>
          <t>GABRIEL:97005F-3XL</t>
        </is>
      </c>
      <c r="F6558" s="0" t="inlineStr">
        <is>
          <t>'000000000000</t>
        </is>
      </c>
      <c r="G6558" s="0" t="inlineStr">
        <is>
          <t>MENS</t>
        </is>
      </c>
      <c r="H6558" s="0" t="inlineStr">
        <is>
          <t>3XL</t>
        </is>
      </c>
      <c r="I6558" s="0">
        <v>43.99</v>
      </c>
      <c r="J6558" s="0">
        <v>13</v>
      </c>
    </row>
    <row r="6559" spans="1:10" customHeight="0">
      <c r="A6559" s="0">
        <f>HYPERLINK("https://dl.dropboxusercontent.com/scl/fi/qqs61pid5glg94591y1c1/97248af.jpg?rlkey=n20ck2qj87nvatvhq1i34zgvg&amp;dl=0","Click to download Image")</f>
      </c>
      <c r="B6559" s="0">
        <f>HYPERLINK("https://dl.dropboxusercontent.com/scl/fi/unt08fjm8hwpxpzfq7g18/mens-a.jpg?rlkey=hcifokfkqyzr97kefy1c0h3o6&amp;dl=0","Click to download SizeChart")</f>
      </c>
      <c r="C6559" s="0" t="inlineStr">
        <is>
          <t>Gabriel Men's Polo</t>
        </is>
      </c>
      <c r="D6559" s="0" t="inlineStr">
        <is>
          <t>'97248</t>
        </is>
      </c>
      <c r="E6559" s="0" t="inlineStr">
        <is>
          <t>GABRIEL:97248A-S</t>
        </is>
      </c>
      <c r="F6559" s="0" t="inlineStr">
        <is>
          <t>'000000000000</t>
        </is>
      </c>
      <c r="G6559" s="0" t="inlineStr">
        <is>
          <t>MENS</t>
        </is>
      </c>
      <c r="H6559" s="0" t="inlineStr">
        <is>
          <t>S</t>
        </is>
      </c>
      <c r="I6559" s="0">
        <v>41.99</v>
      </c>
      <c r="J6559" s="0">
        <v>22</v>
      </c>
    </row>
    <row r="6560" spans="1:10" customHeight="0">
      <c r="A6560" s="0">
        <f>HYPERLINK("https://dl.dropboxusercontent.com/scl/fi/qqs61pid5glg94591y1c1/97248af.jpg?rlkey=n20ck2qj87nvatvhq1i34zgvg&amp;dl=0","Click to download Image")</f>
      </c>
      <c r="B6560" s="0">
        <f>HYPERLINK("https://dl.dropboxusercontent.com/scl/fi/unt08fjm8hwpxpzfq7g18/mens-a.jpg?rlkey=hcifokfkqyzr97kefy1c0h3o6&amp;dl=0","Click to download SizeChart")</f>
      </c>
      <c r="C6560" s="0" t="inlineStr">
        <is>
          <t>Gabriel Men's Polo</t>
        </is>
      </c>
      <c r="D6560" s="0" t="inlineStr">
        <is>
          <t>'97248</t>
        </is>
      </c>
      <c r="E6560" s="0" t="inlineStr">
        <is>
          <t>GABRIEL:97248B-M</t>
        </is>
      </c>
      <c r="F6560" s="0" t="inlineStr">
        <is>
          <t>'000000000000</t>
        </is>
      </c>
      <c r="G6560" s="0" t="inlineStr">
        <is>
          <t>MENS</t>
        </is>
      </c>
      <c r="H6560" s="0" t="inlineStr">
        <is>
          <t>M</t>
        </is>
      </c>
      <c r="I6560" s="0">
        <v>41.99</v>
      </c>
      <c r="J6560" s="0">
        <v>25</v>
      </c>
    </row>
    <row r="6561" spans="1:10" customHeight="0">
      <c r="A6561" s="0">
        <f>HYPERLINK("https://dl.dropboxusercontent.com/scl/fi/qqs61pid5glg94591y1c1/97248af.jpg?rlkey=n20ck2qj87nvatvhq1i34zgvg&amp;dl=0","Click to download Image")</f>
      </c>
      <c r="B6561" s="0">
        <f>HYPERLINK("https://dl.dropboxusercontent.com/scl/fi/unt08fjm8hwpxpzfq7g18/mens-a.jpg?rlkey=hcifokfkqyzr97kefy1c0h3o6&amp;dl=0","Click to download SizeChart")</f>
      </c>
      <c r="C6561" s="0" t="inlineStr">
        <is>
          <t>Gabriel Men's Polo</t>
        </is>
      </c>
      <c r="D6561" s="0" t="inlineStr">
        <is>
          <t>'97248</t>
        </is>
      </c>
      <c r="E6561" s="0" t="inlineStr">
        <is>
          <t>GABRIEL:97248C-L</t>
        </is>
      </c>
      <c r="F6561" s="0" t="inlineStr">
        <is>
          <t>'000000000000</t>
        </is>
      </c>
      <c r="G6561" s="0" t="inlineStr">
        <is>
          <t>MENS</t>
        </is>
      </c>
      <c r="H6561" s="0" t="inlineStr">
        <is>
          <t>L</t>
        </is>
      </c>
      <c r="I6561" s="0">
        <v>41.99</v>
      </c>
      <c r="J6561" s="0">
        <v>15</v>
      </c>
    </row>
    <row r="6562" spans="1:10" customHeight="0">
      <c r="A6562" s="0">
        <f>HYPERLINK("https://dl.dropboxusercontent.com/scl/fi/qqs61pid5glg94591y1c1/97248af.jpg?rlkey=n20ck2qj87nvatvhq1i34zgvg&amp;dl=0","Click to download Image")</f>
      </c>
      <c r="B6562" s="0">
        <f>HYPERLINK("https://dl.dropboxusercontent.com/scl/fi/unt08fjm8hwpxpzfq7g18/mens-a.jpg?rlkey=hcifokfkqyzr97kefy1c0h3o6&amp;dl=0","Click to download SizeChart")</f>
      </c>
      <c r="C6562" s="0" t="inlineStr">
        <is>
          <t>Gabriel Men's Polo</t>
        </is>
      </c>
      <c r="D6562" s="0" t="inlineStr">
        <is>
          <t>'97248</t>
        </is>
      </c>
      <c r="E6562" s="0" t="inlineStr">
        <is>
          <t>GABRIEL:97248D-XL</t>
        </is>
      </c>
      <c r="F6562" s="0" t="inlineStr">
        <is>
          <t>'000000000000</t>
        </is>
      </c>
      <c r="G6562" s="0" t="inlineStr">
        <is>
          <t>MENS</t>
        </is>
      </c>
      <c r="H6562" s="0" t="inlineStr">
        <is>
          <t>XL</t>
        </is>
      </c>
      <c r="I6562" s="0">
        <v>41.99</v>
      </c>
      <c r="J6562" s="0">
        <v>15</v>
      </c>
    </row>
    <row r="6563" spans="1:10" customHeight="0">
      <c r="A6563" s="0">
        <f>HYPERLINK("https://dl.dropboxusercontent.com/scl/fi/qqs61pid5glg94591y1c1/97248af.jpg?rlkey=n20ck2qj87nvatvhq1i34zgvg&amp;dl=0","Click to download Image")</f>
      </c>
      <c r="B6563" s="0">
        <f>HYPERLINK("https://dl.dropboxusercontent.com/scl/fi/unt08fjm8hwpxpzfq7g18/mens-a.jpg?rlkey=hcifokfkqyzr97kefy1c0h3o6&amp;dl=0","Click to download SizeChart")</f>
      </c>
      <c r="C6563" s="0" t="inlineStr">
        <is>
          <t>Gabriel Men's Polo</t>
        </is>
      </c>
      <c r="D6563" s="0" t="inlineStr">
        <is>
          <t>'97248</t>
        </is>
      </c>
      <c r="E6563" s="0" t="inlineStr">
        <is>
          <t>GABRIEL:97248E-2XL</t>
        </is>
      </c>
      <c r="F6563" s="0" t="inlineStr">
        <is>
          <t>'000000000000</t>
        </is>
      </c>
      <c r="G6563" s="0" t="inlineStr">
        <is>
          <t>MENS</t>
        </is>
      </c>
      <c r="H6563" s="0" t="inlineStr">
        <is>
          <t>2XL</t>
        </is>
      </c>
      <c r="I6563" s="0">
        <v>43.99</v>
      </c>
      <c r="J6563" s="0">
        <v>20</v>
      </c>
    </row>
    <row r="6564" spans="1:10" customHeight="0">
      <c r="A6564" s="0">
        <f>HYPERLINK("https://dl.dropboxusercontent.com/scl/fi/qqs61pid5glg94591y1c1/97248af.jpg?rlkey=n20ck2qj87nvatvhq1i34zgvg&amp;dl=0","Click to download Image")</f>
      </c>
      <c r="B6564" s="0">
        <f>HYPERLINK("https://dl.dropboxusercontent.com/scl/fi/unt08fjm8hwpxpzfq7g18/mens-a.jpg?rlkey=hcifokfkqyzr97kefy1c0h3o6&amp;dl=0","Click to download SizeChart")</f>
      </c>
      <c r="C6564" s="0" t="inlineStr">
        <is>
          <t>Gabriel Men's Polo</t>
        </is>
      </c>
      <c r="D6564" s="0" t="inlineStr">
        <is>
          <t>'97248</t>
        </is>
      </c>
      <c r="E6564" s="0" t="inlineStr">
        <is>
          <t>GABRIEL:97248F-3XL</t>
        </is>
      </c>
      <c r="F6564" s="0" t="inlineStr">
        <is>
          <t>'000000000000</t>
        </is>
      </c>
      <c r="G6564" s="0" t="inlineStr">
        <is>
          <t>MENS</t>
        </is>
      </c>
      <c r="H6564" s="0" t="inlineStr">
        <is>
          <t>3XL</t>
        </is>
      </c>
      <c r="I6564" s="0">
        <v>43.99</v>
      </c>
      <c r="J6564" s="0">
        <v>17</v>
      </c>
    </row>
    <row r="6565" spans="1:10" customHeight="0">
      <c r="A6565" s="0">
        <f>HYPERLINK("https://dl.dropboxusercontent.com/scl/fi/l8nlz92642ozpk3uzbb2l/95402af.jpg?rlkey=qc4iisgnefrks5o3iqzlckyzy&amp;dl=0","Click to download Image")</f>
      </c>
      <c r="B6565" s="0">
        <f>HYPERLINK("https://dl.dropboxusercontent.com/scl/fi/3kx08aj0bvura1zurgxet/size-chartladies-c.jpg?rlkey=4m5u19yfoot2m8ksu4b422wr9&amp;dl=0","Click to download SizeChart")</f>
      </c>
      <c r="C6565" s="0" t="inlineStr">
        <is>
          <t>Cassandra Women's Half Zip</t>
        </is>
      </c>
      <c r="D6565" s="0" t="inlineStr">
        <is>
          <t>'95402</t>
        </is>
      </c>
      <c r="E6565" s="0" t="inlineStr">
        <is>
          <t>CASSANDRA:95402A-S</t>
        </is>
      </c>
      <c r="F6565" s="0" t="inlineStr">
        <is>
          <t>'000000000000</t>
        </is>
      </c>
      <c r="G6565" s="0" t="inlineStr">
        <is>
          <t>WOMENS</t>
        </is>
      </c>
      <c r="H6565" s="0" t="inlineStr">
        <is>
          <t>S</t>
        </is>
      </c>
      <c r="I6565" s="0">
        <v>54.99</v>
      </c>
      <c r="J6565" s="0">
        <v>0</v>
      </c>
    </row>
    <row r="6566" spans="1:10" customHeight="0">
      <c r="A6566" s="0">
        <f>HYPERLINK("https://dl.dropboxusercontent.com/scl/fi/l8nlz92642ozpk3uzbb2l/95402af.jpg?rlkey=qc4iisgnefrks5o3iqzlckyzy&amp;dl=0","Click to download Image")</f>
      </c>
      <c r="B6566" s="0">
        <f>HYPERLINK("https://dl.dropboxusercontent.com/scl/fi/3kx08aj0bvura1zurgxet/size-chartladies-c.jpg?rlkey=4m5u19yfoot2m8ksu4b422wr9&amp;dl=0","Click to download SizeChart")</f>
      </c>
      <c r="C6566" s="0" t="inlineStr">
        <is>
          <t>Cassandra Women's Half Zip</t>
        </is>
      </c>
      <c r="D6566" s="0" t="inlineStr">
        <is>
          <t>'95402</t>
        </is>
      </c>
      <c r="E6566" s="0" t="inlineStr">
        <is>
          <t>CASSANDRA:95402B-M</t>
        </is>
      </c>
      <c r="F6566" s="0" t="inlineStr">
        <is>
          <t>'000000000000</t>
        </is>
      </c>
      <c r="G6566" s="0" t="inlineStr">
        <is>
          <t>WOMENS</t>
        </is>
      </c>
      <c r="H6566" s="0" t="inlineStr">
        <is>
          <t>M</t>
        </is>
      </c>
      <c r="I6566" s="0">
        <v>54.99</v>
      </c>
      <c r="J6566" s="0">
        <v>3</v>
      </c>
    </row>
    <row r="6567" spans="1:10" customHeight="0">
      <c r="A6567" s="0">
        <f>HYPERLINK("https://dl.dropboxusercontent.com/scl/fi/l8nlz92642ozpk3uzbb2l/95402af.jpg?rlkey=qc4iisgnefrks5o3iqzlckyzy&amp;dl=0","Click to download Image")</f>
      </c>
      <c r="B6567" s="0">
        <f>HYPERLINK("https://dl.dropboxusercontent.com/scl/fi/3kx08aj0bvura1zurgxet/size-chartladies-c.jpg?rlkey=4m5u19yfoot2m8ksu4b422wr9&amp;dl=0","Click to download SizeChart")</f>
      </c>
      <c r="C6567" s="0" t="inlineStr">
        <is>
          <t>Cassandra Women's Half Zip</t>
        </is>
      </c>
      <c r="D6567" s="0" t="inlineStr">
        <is>
          <t>'95402</t>
        </is>
      </c>
      <c r="E6567" s="0" t="inlineStr">
        <is>
          <t>CASSANDRA:95402C-L</t>
        </is>
      </c>
      <c r="F6567" s="0" t="inlineStr">
        <is>
          <t>'000000000000</t>
        </is>
      </c>
      <c r="G6567" s="0" t="inlineStr">
        <is>
          <t>WOMENS</t>
        </is>
      </c>
      <c r="H6567" s="0" t="inlineStr">
        <is>
          <t>L</t>
        </is>
      </c>
      <c r="I6567" s="0">
        <v>54.99</v>
      </c>
      <c r="J6567" s="0">
        <v>0</v>
      </c>
    </row>
    <row r="6568" spans="1:10" customHeight="0">
      <c r="A6568" s="0">
        <f>HYPERLINK("https://dl.dropboxusercontent.com/scl/fi/l8nlz92642ozpk3uzbb2l/95402af.jpg?rlkey=qc4iisgnefrks5o3iqzlckyzy&amp;dl=0","Click to download Image")</f>
      </c>
      <c r="B6568" s="0">
        <f>HYPERLINK("https://dl.dropboxusercontent.com/scl/fi/3kx08aj0bvura1zurgxet/size-chartladies-c.jpg?rlkey=4m5u19yfoot2m8ksu4b422wr9&amp;dl=0","Click to download SizeChart")</f>
      </c>
      <c r="C6568" s="0" t="inlineStr">
        <is>
          <t>Cassandra Women's Half Zip</t>
        </is>
      </c>
      <c r="D6568" s="0" t="inlineStr">
        <is>
          <t>'95402</t>
        </is>
      </c>
      <c r="E6568" s="0" t="inlineStr">
        <is>
          <t>CASSANDRA:95402D-XL</t>
        </is>
      </c>
      <c r="F6568" s="0" t="inlineStr">
        <is>
          <t>'000000000000</t>
        </is>
      </c>
      <c r="G6568" s="0" t="inlineStr">
        <is>
          <t>WOMENS</t>
        </is>
      </c>
      <c r="H6568" s="0" t="inlineStr">
        <is>
          <t>XL</t>
        </is>
      </c>
      <c r="I6568" s="0">
        <v>54.99</v>
      </c>
      <c r="J6568" s="0">
        <v>0</v>
      </c>
    </row>
    <row r="6569" spans="1:10" customHeight="0">
      <c r="A6569" s="0">
        <f>HYPERLINK("https://dl.dropboxusercontent.com/scl/fi/l8nlz92642ozpk3uzbb2l/95402af.jpg?rlkey=qc4iisgnefrks5o3iqzlckyzy&amp;dl=0","Click to download Image")</f>
      </c>
      <c r="B6569" s="0">
        <f>HYPERLINK("https://dl.dropboxusercontent.com/scl/fi/3kx08aj0bvura1zurgxet/size-chartladies-c.jpg?rlkey=4m5u19yfoot2m8ksu4b422wr9&amp;dl=0","Click to download SizeChart")</f>
      </c>
      <c r="C6569" s="0" t="inlineStr">
        <is>
          <t>Cassandra Women's Half Zip</t>
        </is>
      </c>
      <c r="D6569" s="0" t="inlineStr">
        <is>
          <t>'95402</t>
        </is>
      </c>
      <c r="E6569" s="0" t="inlineStr">
        <is>
          <t>CASSANDRA:95402E-2X</t>
        </is>
      </c>
      <c r="F6569" s="0" t="inlineStr">
        <is>
          <t>'000000000000</t>
        </is>
      </c>
      <c r="G6569" s="0" t="inlineStr">
        <is>
          <t>WOMENS</t>
        </is>
      </c>
      <c r="H6569" s="0" t="inlineStr">
        <is>
          <t>2XL</t>
        </is>
      </c>
      <c r="I6569" s="0">
        <v>56.99</v>
      </c>
      <c r="J6569" s="0">
        <v>0</v>
      </c>
    </row>
    <row r="6570" spans="1:10" customHeight="0">
      <c r="A6570" s="0">
        <f>HYPERLINK("https://dl.dropboxusercontent.com/scl/fi/l8nlz92642ozpk3uzbb2l/95402af.jpg?rlkey=qc4iisgnefrks5o3iqzlckyzy&amp;dl=0","Click to download Image")</f>
      </c>
      <c r="B6570" s="0">
        <f>HYPERLINK("https://dl.dropboxusercontent.com/scl/fi/3kx08aj0bvura1zurgxet/size-chartladies-c.jpg?rlkey=4m5u19yfoot2m8ksu4b422wr9&amp;dl=0","Click to download SizeChart")</f>
      </c>
      <c r="C6570" s="0" t="inlineStr">
        <is>
          <t>Cassandra Women's Half Zip</t>
        </is>
      </c>
      <c r="D6570" s="0" t="inlineStr">
        <is>
          <t>'95402</t>
        </is>
      </c>
      <c r="E6570" s="0" t="inlineStr">
        <is>
          <t>CASSANDRA:95402F-3X</t>
        </is>
      </c>
      <c r="F6570" s="0" t="inlineStr">
        <is>
          <t>'000000000000</t>
        </is>
      </c>
      <c r="G6570" s="0" t="inlineStr">
        <is>
          <t>WOMENS</t>
        </is>
      </c>
      <c r="H6570" s="0" t="inlineStr">
        <is>
          <t>3XL</t>
        </is>
      </c>
      <c r="I6570" s="0">
        <v>56.99</v>
      </c>
      <c r="J6570" s="0">
        <v>39</v>
      </c>
    </row>
    <row r="6571" spans="1:10" customHeight="0">
      <c r="A6571" s="0">
        <f>HYPERLINK("https://dl.dropboxusercontent.com/scl/fi/7ey31v2xcpgz1nqhg8ech/95945af.jpg?rlkey=0sq1rzn3hekvdtcjcta92m0il&amp;dl=0","Click to download Image")</f>
      </c>
      <c r="B6571" s="0">
        <f>HYPERLINK("https://dl.dropboxusercontent.com/scl/fi/3kx08aj0bvura1zurgxet/size-chartladies-c.jpg?rlkey=4m5u19yfoot2m8ksu4b422wr9&amp;dl=0","Click to download SizeChart")</f>
      </c>
      <c r="C6571" s="0" t="inlineStr">
        <is>
          <t>Cassandra Women's Half Zip</t>
        </is>
      </c>
      <c r="D6571" s="0" t="inlineStr">
        <is>
          <t>'95945</t>
        </is>
      </c>
      <c r="E6571" s="0" t="inlineStr">
        <is>
          <t>CASSANDRA:95945A-S</t>
        </is>
      </c>
      <c r="F6571" s="0" t="inlineStr">
        <is>
          <t>'000000000000</t>
        </is>
      </c>
      <c r="G6571" s="0" t="inlineStr">
        <is>
          <t>WOMENS</t>
        </is>
      </c>
      <c r="H6571" s="0" t="inlineStr">
        <is>
          <t>S</t>
        </is>
      </c>
      <c r="I6571" s="0">
        <v>54.99</v>
      </c>
      <c r="J6571" s="0">
        <v>45</v>
      </c>
    </row>
    <row r="6572" spans="1:10" customHeight="0">
      <c r="A6572" s="0">
        <f>HYPERLINK("https://dl.dropboxusercontent.com/scl/fi/7ey31v2xcpgz1nqhg8ech/95945af.jpg?rlkey=0sq1rzn3hekvdtcjcta92m0il&amp;dl=0","Click to download Image")</f>
      </c>
      <c r="B6572" s="0">
        <f>HYPERLINK("https://dl.dropboxusercontent.com/scl/fi/3kx08aj0bvura1zurgxet/size-chartladies-c.jpg?rlkey=4m5u19yfoot2m8ksu4b422wr9&amp;dl=0","Click to download SizeChart")</f>
      </c>
      <c r="C6572" s="0" t="inlineStr">
        <is>
          <t>Cassandra Women's Half Zip</t>
        </is>
      </c>
      <c r="D6572" s="0" t="inlineStr">
        <is>
          <t>'95945</t>
        </is>
      </c>
      <c r="E6572" s="0" t="inlineStr">
        <is>
          <t>CASSANDRA:95945B-M</t>
        </is>
      </c>
      <c r="F6572" s="0" t="inlineStr">
        <is>
          <t>'000000000000</t>
        </is>
      </c>
      <c r="G6572" s="0" t="inlineStr">
        <is>
          <t>WOMENS</t>
        </is>
      </c>
      <c r="H6572" s="0" t="inlineStr">
        <is>
          <t>M</t>
        </is>
      </c>
      <c r="I6572" s="0">
        <v>54.99</v>
      </c>
      <c r="J6572" s="0">
        <v>0</v>
      </c>
    </row>
    <row r="6573" spans="1:10" customHeight="0">
      <c r="A6573" s="0">
        <f>HYPERLINK("https://dl.dropboxusercontent.com/scl/fi/7ey31v2xcpgz1nqhg8ech/95945af.jpg?rlkey=0sq1rzn3hekvdtcjcta92m0il&amp;dl=0","Click to download Image")</f>
      </c>
      <c r="B6573" s="0">
        <f>HYPERLINK("https://dl.dropboxusercontent.com/scl/fi/3kx08aj0bvura1zurgxet/size-chartladies-c.jpg?rlkey=4m5u19yfoot2m8ksu4b422wr9&amp;dl=0","Click to download SizeChart")</f>
      </c>
      <c r="C6573" s="0" t="inlineStr">
        <is>
          <t>Cassandra Women's Half Zip</t>
        </is>
      </c>
      <c r="D6573" s="0" t="inlineStr">
        <is>
          <t>'95945</t>
        </is>
      </c>
      <c r="E6573" s="0" t="inlineStr">
        <is>
          <t>CASSANDRA:95945C-L</t>
        </is>
      </c>
      <c r="F6573" s="0" t="inlineStr">
        <is>
          <t>'000000000000</t>
        </is>
      </c>
      <c r="G6573" s="0" t="inlineStr">
        <is>
          <t>WOMENS</t>
        </is>
      </c>
      <c r="H6573" s="0" t="inlineStr">
        <is>
          <t>L</t>
        </is>
      </c>
      <c r="I6573" s="0">
        <v>54.99</v>
      </c>
      <c r="J6573" s="0">
        <v>5</v>
      </c>
    </row>
    <row r="6574" spans="1:10" customHeight="0">
      <c r="A6574" s="0">
        <f>HYPERLINK("https://dl.dropboxusercontent.com/scl/fi/7ey31v2xcpgz1nqhg8ech/95945af.jpg?rlkey=0sq1rzn3hekvdtcjcta92m0il&amp;dl=0","Click to download Image")</f>
      </c>
      <c r="B6574" s="0">
        <f>HYPERLINK("https://dl.dropboxusercontent.com/scl/fi/3kx08aj0bvura1zurgxet/size-chartladies-c.jpg?rlkey=4m5u19yfoot2m8ksu4b422wr9&amp;dl=0","Click to download SizeChart")</f>
      </c>
      <c r="C6574" s="0" t="inlineStr">
        <is>
          <t>Cassandra Women's Half Zip</t>
        </is>
      </c>
      <c r="D6574" s="0" t="inlineStr">
        <is>
          <t>'95945</t>
        </is>
      </c>
      <c r="E6574" s="0" t="inlineStr">
        <is>
          <t>CASSANDRA:95945D-XL</t>
        </is>
      </c>
      <c r="F6574" s="0" t="inlineStr">
        <is>
          <t>'000000000000</t>
        </is>
      </c>
      <c r="G6574" s="0" t="inlineStr">
        <is>
          <t>WOMENS</t>
        </is>
      </c>
      <c r="H6574" s="0" t="inlineStr">
        <is>
          <t>XL</t>
        </is>
      </c>
      <c r="I6574" s="0">
        <v>54.99</v>
      </c>
      <c r="J6574" s="0">
        <v>21</v>
      </c>
    </row>
    <row r="6575" spans="1:10" customHeight="0">
      <c r="A6575" s="0">
        <f>HYPERLINK("https://dl.dropboxusercontent.com/scl/fi/7ey31v2xcpgz1nqhg8ech/95945af.jpg?rlkey=0sq1rzn3hekvdtcjcta92m0il&amp;dl=0","Click to download Image")</f>
      </c>
      <c r="B6575" s="0">
        <f>HYPERLINK("https://dl.dropboxusercontent.com/scl/fi/3kx08aj0bvura1zurgxet/size-chartladies-c.jpg?rlkey=4m5u19yfoot2m8ksu4b422wr9&amp;dl=0","Click to download SizeChart")</f>
      </c>
      <c r="C6575" s="0" t="inlineStr">
        <is>
          <t>Cassandra Women's Half Zip</t>
        </is>
      </c>
      <c r="D6575" s="0" t="inlineStr">
        <is>
          <t>'95945</t>
        </is>
      </c>
      <c r="E6575" s="0" t="inlineStr">
        <is>
          <t>CASSANDRA:95945E-2X</t>
        </is>
      </c>
      <c r="F6575" s="0" t="inlineStr">
        <is>
          <t>'000000000000</t>
        </is>
      </c>
      <c r="G6575" s="0" t="inlineStr">
        <is>
          <t>WOMENS</t>
        </is>
      </c>
      <c r="H6575" s="0" t="inlineStr">
        <is>
          <t>2XL</t>
        </is>
      </c>
      <c r="I6575" s="0">
        <v>56.99</v>
      </c>
      <c r="J6575" s="0">
        <v>31</v>
      </c>
    </row>
    <row r="6576" spans="1:10" customHeight="0">
      <c r="A6576" s="0">
        <f>HYPERLINK("https://dl.dropboxusercontent.com/scl/fi/7ey31v2xcpgz1nqhg8ech/95945af.jpg?rlkey=0sq1rzn3hekvdtcjcta92m0il&amp;dl=0","Click to download Image")</f>
      </c>
      <c r="B6576" s="0">
        <f>HYPERLINK("https://dl.dropboxusercontent.com/scl/fi/3kx08aj0bvura1zurgxet/size-chartladies-c.jpg?rlkey=4m5u19yfoot2m8ksu4b422wr9&amp;dl=0","Click to download SizeChart")</f>
      </c>
      <c r="C6576" s="0" t="inlineStr">
        <is>
          <t>Cassandra Women's Half Zip</t>
        </is>
      </c>
      <c r="D6576" s="0" t="inlineStr">
        <is>
          <t>'95945</t>
        </is>
      </c>
      <c r="E6576" s="0" t="inlineStr">
        <is>
          <t>CASSANDRA:95945F-3X</t>
        </is>
      </c>
      <c r="F6576" s="0" t="inlineStr">
        <is>
          <t>'000000000000</t>
        </is>
      </c>
      <c r="G6576" s="0" t="inlineStr">
        <is>
          <t>WOMENS</t>
        </is>
      </c>
      <c r="H6576" s="0" t="inlineStr">
        <is>
          <t>3XL</t>
        </is>
      </c>
      <c r="I6576" s="0">
        <v>56.99</v>
      </c>
      <c r="J6576" s="0">
        <v>6</v>
      </c>
    </row>
    <row r="6577" spans="1:10" customHeight="0">
      <c r="A6577" s="0">
        <f>HYPERLINK("https://dl.dropboxusercontent.com/scl/fi/y45j14efe8znt1h0ilas9/95850af.jpg?rlkey=j0frqhz4e1zp73t8tcceq5gp1&amp;dl=0","Click to download Image")</f>
      </c>
      <c r="B6577" s="0">
        <f>HYPERLINK("https://dl.dropboxusercontent.com/scl/fi/v5nhndbtgbsmpf5aqoafn/size-chartladies-c.jpg?rlkey=sv907wnz2y44nx4wetoip1srw&amp;dl=0","Click to download SizeChart")</f>
      </c>
      <c r="C6577" s="0" t="inlineStr">
        <is>
          <t>Alice Women's Jacket</t>
        </is>
      </c>
      <c r="D6577" s="0" t="inlineStr">
        <is>
          <t>'95850</t>
        </is>
      </c>
      <c r="E6577" s="0" t="inlineStr">
        <is>
          <t>ALICE:95850A-S</t>
        </is>
      </c>
      <c r="F6577" s="0" t="inlineStr">
        <is>
          <t>'000000000000</t>
        </is>
      </c>
      <c r="G6577" s="0" t="inlineStr">
        <is>
          <t>WOMENS</t>
        </is>
      </c>
      <c r="H6577" s="0" t="inlineStr">
        <is>
          <t>S</t>
        </is>
      </c>
      <c r="I6577" s="0">
        <v>49.99</v>
      </c>
      <c r="J6577" s="0">
        <v>19</v>
      </c>
    </row>
    <row r="6578" spans="1:10" customHeight="0">
      <c r="A6578" s="0">
        <f>HYPERLINK("https://dl.dropboxusercontent.com/scl/fi/y45j14efe8znt1h0ilas9/95850af.jpg?rlkey=j0frqhz4e1zp73t8tcceq5gp1&amp;dl=0","Click to download Image")</f>
      </c>
      <c r="B6578" s="0">
        <f>HYPERLINK("https://dl.dropboxusercontent.com/scl/fi/v5nhndbtgbsmpf5aqoafn/size-chartladies-c.jpg?rlkey=sv907wnz2y44nx4wetoip1srw&amp;dl=0","Click to download SizeChart")</f>
      </c>
      <c r="C6578" s="0" t="inlineStr">
        <is>
          <t>Alice Women's Jacket</t>
        </is>
      </c>
      <c r="D6578" s="0" t="inlineStr">
        <is>
          <t>'95850</t>
        </is>
      </c>
      <c r="E6578" s="0" t="inlineStr">
        <is>
          <t>ALICE:95850B-M</t>
        </is>
      </c>
      <c r="F6578" s="0" t="inlineStr">
        <is>
          <t>'000000000000</t>
        </is>
      </c>
      <c r="G6578" s="0" t="inlineStr">
        <is>
          <t>WOMENS</t>
        </is>
      </c>
      <c r="H6578" s="0" t="inlineStr">
        <is>
          <t>M</t>
        </is>
      </c>
      <c r="I6578" s="0">
        <v>49.99</v>
      </c>
      <c r="J6578" s="0">
        <v>13</v>
      </c>
    </row>
    <row r="6579" spans="1:10" customHeight="0">
      <c r="A6579" s="0">
        <f>HYPERLINK("https://dl.dropboxusercontent.com/scl/fi/y45j14efe8znt1h0ilas9/95850af.jpg?rlkey=j0frqhz4e1zp73t8tcceq5gp1&amp;dl=0","Click to download Image")</f>
      </c>
      <c r="B6579" s="0">
        <f>HYPERLINK("https://dl.dropboxusercontent.com/scl/fi/v5nhndbtgbsmpf5aqoafn/size-chartladies-c.jpg?rlkey=sv907wnz2y44nx4wetoip1srw&amp;dl=0","Click to download SizeChart")</f>
      </c>
      <c r="C6579" s="0" t="inlineStr">
        <is>
          <t>Alice Women's Jacket</t>
        </is>
      </c>
      <c r="D6579" s="0" t="inlineStr">
        <is>
          <t>'95850</t>
        </is>
      </c>
      <c r="E6579" s="0" t="inlineStr">
        <is>
          <t>ALICE:95850C-L</t>
        </is>
      </c>
      <c r="F6579" s="0" t="inlineStr">
        <is>
          <t>'000000000000</t>
        </is>
      </c>
      <c r="G6579" s="0" t="inlineStr">
        <is>
          <t>WOMENS</t>
        </is>
      </c>
      <c r="H6579" s="0" t="inlineStr">
        <is>
          <t>L</t>
        </is>
      </c>
      <c r="I6579" s="0">
        <v>49.99</v>
      </c>
      <c r="J6579" s="0">
        <v>7</v>
      </c>
    </row>
    <row r="6580" spans="1:10" customHeight="0">
      <c r="A6580" s="0">
        <f>HYPERLINK("https://dl.dropboxusercontent.com/scl/fi/y45j14efe8znt1h0ilas9/95850af.jpg?rlkey=j0frqhz4e1zp73t8tcceq5gp1&amp;dl=0","Click to download Image")</f>
      </c>
      <c r="B6580" s="0">
        <f>HYPERLINK("https://dl.dropboxusercontent.com/scl/fi/v5nhndbtgbsmpf5aqoafn/size-chartladies-c.jpg?rlkey=sv907wnz2y44nx4wetoip1srw&amp;dl=0","Click to download SizeChart")</f>
      </c>
      <c r="C6580" s="0" t="inlineStr">
        <is>
          <t>Alice Women's Jacket</t>
        </is>
      </c>
      <c r="D6580" s="0" t="inlineStr">
        <is>
          <t>'95850</t>
        </is>
      </c>
      <c r="E6580" s="0" t="inlineStr">
        <is>
          <t>ALICE:95850D-XL</t>
        </is>
      </c>
      <c r="F6580" s="0" t="inlineStr">
        <is>
          <t>'000000000000</t>
        </is>
      </c>
      <c r="G6580" s="0" t="inlineStr">
        <is>
          <t>WOMENS</t>
        </is>
      </c>
      <c r="H6580" s="0" t="inlineStr">
        <is>
          <t>XL</t>
        </is>
      </c>
      <c r="I6580" s="0">
        <v>49.99</v>
      </c>
      <c r="J6580" s="0">
        <v>69</v>
      </c>
    </row>
    <row r="6581" spans="1:10" customHeight="0">
      <c r="A6581" s="0">
        <f>HYPERLINK("https://dl.dropboxusercontent.com/scl/fi/y45j14efe8znt1h0ilas9/95850af.jpg?rlkey=j0frqhz4e1zp73t8tcceq5gp1&amp;dl=0","Click to download Image")</f>
      </c>
      <c r="B6581" s="0">
        <f>HYPERLINK("https://dl.dropboxusercontent.com/scl/fi/v5nhndbtgbsmpf5aqoafn/size-chartladies-c.jpg?rlkey=sv907wnz2y44nx4wetoip1srw&amp;dl=0","Click to download SizeChart")</f>
      </c>
      <c r="C6581" s="0" t="inlineStr">
        <is>
          <t>Alice Women's Jacket</t>
        </is>
      </c>
      <c r="D6581" s="0" t="inlineStr">
        <is>
          <t>'95850</t>
        </is>
      </c>
      <c r="E6581" s="0" t="inlineStr">
        <is>
          <t>ALICE:95850E-2X</t>
        </is>
      </c>
      <c r="F6581" s="0" t="inlineStr">
        <is>
          <t>'000000000000</t>
        </is>
      </c>
      <c r="G6581" s="0" t="inlineStr">
        <is>
          <t>WOMENS</t>
        </is>
      </c>
      <c r="H6581" s="0" t="inlineStr">
        <is>
          <t>2XL</t>
        </is>
      </c>
      <c r="I6581" s="0">
        <v>51.99</v>
      </c>
      <c r="J6581" s="0">
        <v>0</v>
      </c>
    </row>
    <row r="6582" spans="1:10" customHeight="0">
      <c r="A6582" s="0">
        <f>HYPERLINK("https://dl.dropboxusercontent.com/scl/fi/czmfi36c3djrzd4xxo6z4/95950af.jpg?rlkey=2u89o7etduvjsv9ilyxa6rupc&amp;dl=0","Click to download Image")</f>
      </c>
      <c r="B6582" s="0">
        <f>HYPERLINK("https://dl.dropboxusercontent.com/scl/fi/v5nhndbtgbsmpf5aqoafn/size-chartladies-c.jpg?rlkey=sv907wnz2y44nx4wetoip1srw&amp;dl=0","Click to download SizeChart")</f>
      </c>
      <c r="C6582" s="0" t="inlineStr">
        <is>
          <t>Alice Women's Jacket</t>
        </is>
      </c>
      <c r="D6582" s="0" t="inlineStr">
        <is>
          <t>'95950</t>
        </is>
      </c>
      <c r="E6582" s="0" t="inlineStr">
        <is>
          <t>ALICE:95950A-S</t>
        </is>
      </c>
      <c r="F6582" s="0" t="inlineStr">
        <is>
          <t>'000000000000</t>
        </is>
      </c>
      <c r="G6582" s="0" t="inlineStr">
        <is>
          <t>WOMENS</t>
        </is>
      </c>
      <c r="H6582" s="0" t="inlineStr">
        <is>
          <t>S</t>
        </is>
      </c>
      <c r="I6582" s="0">
        <v>49.99</v>
      </c>
      <c r="J6582" s="0">
        <v>13</v>
      </c>
    </row>
    <row r="6583" spans="1:10" customHeight="0">
      <c r="A6583" s="0">
        <f>HYPERLINK("https://dl.dropboxusercontent.com/scl/fi/czmfi36c3djrzd4xxo6z4/95950af.jpg?rlkey=2u89o7etduvjsv9ilyxa6rupc&amp;dl=0","Click to download Image")</f>
      </c>
      <c r="B6583" s="0">
        <f>HYPERLINK("https://dl.dropboxusercontent.com/scl/fi/v5nhndbtgbsmpf5aqoafn/size-chartladies-c.jpg?rlkey=sv907wnz2y44nx4wetoip1srw&amp;dl=0","Click to download SizeChart")</f>
      </c>
      <c r="C6583" s="0" t="inlineStr">
        <is>
          <t>Alice Women's Jacket</t>
        </is>
      </c>
      <c r="D6583" s="0" t="inlineStr">
        <is>
          <t>'95950</t>
        </is>
      </c>
      <c r="E6583" s="0" t="inlineStr">
        <is>
          <t>ALICE:95950B-M</t>
        </is>
      </c>
      <c r="F6583" s="0" t="inlineStr">
        <is>
          <t>'000000000000</t>
        </is>
      </c>
      <c r="G6583" s="0" t="inlineStr">
        <is>
          <t>WOMENS</t>
        </is>
      </c>
      <c r="H6583" s="0" t="inlineStr">
        <is>
          <t>M</t>
        </is>
      </c>
      <c r="I6583" s="0">
        <v>49.99</v>
      </c>
      <c r="J6583" s="0">
        <v>4</v>
      </c>
    </row>
    <row r="6584" spans="1:10" customHeight="0">
      <c r="A6584" s="0">
        <f>HYPERLINK("https://dl.dropboxusercontent.com/scl/fi/czmfi36c3djrzd4xxo6z4/95950af.jpg?rlkey=2u89o7etduvjsv9ilyxa6rupc&amp;dl=0","Click to download Image")</f>
      </c>
      <c r="B6584" s="0">
        <f>HYPERLINK("https://dl.dropboxusercontent.com/scl/fi/v5nhndbtgbsmpf5aqoafn/size-chartladies-c.jpg?rlkey=sv907wnz2y44nx4wetoip1srw&amp;dl=0","Click to download SizeChart")</f>
      </c>
      <c r="C6584" s="0" t="inlineStr">
        <is>
          <t>Alice Women's Jacket</t>
        </is>
      </c>
      <c r="D6584" s="0" t="inlineStr">
        <is>
          <t>'95950</t>
        </is>
      </c>
      <c r="E6584" s="0" t="inlineStr">
        <is>
          <t>ALICE:95950C-L</t>
        </is>
      </c>
      <c r="F6584" s="0" t="inlineStr">
        <is>
          <t>'000000000000</t>
        </is>
      </c>
      <c r="G6584" s="0" t="inlineStr">
        <is>
          <t>WOMENS</t>
        </is>
      </c>
      <c r="H6584" s="0" t="inlineStr">
        <is>
          <t>L</t>
        </is>
      </c>
      <c r="I6584" s="0">
        <v>49.99</v>
      </c>
      <c r="J6584" s="0">
        <v>35</v>
      </c>
    </row>
    <row r="6585" spans="1:10" customHeight="0">
      <c r="A6585" s="0">
        <f>HYPERLINK("https://dl.dropboxusercontent.com/scl/fi/czmfi36c3djrzd4xxo6z4/95950af.jpg?rlkey=2u89o7etduvjsv9ilyxa6rupc&amp;dl=0","Click to download Image")</f>
      </c>
      <c r="B6585" s="0">
        <f>HYPERLINK("https://dl.dropboxusercontent.com/scl/fi/v5nhndbtgbsmpf5aqoafn/size-chartladies-c.jpg?rlkey=sv907wnz2y44nx4wetoip1srw&amp;dl=0","Click to download SizeChart")</f>
      </c>
      <c r="C6585" s="0" t="inlineStr">
        <is>
          <t>Alice Women's Jacket</t>
        </is>
      </c>
      <c r="D6585" s="0" t="inlineStr">
        <is>
          <t>'95950</t>
        </is>
      </c>
      <c r="E6585" s="0" t="inlineStr">
        <is>
          <t>ALICE:95950D-XL</t>
        </is>
      </c>
      <c r="F6585" s="0" t="inlineStr">
        <is>
          <t>'000000000000</t>
        </is>
      </c>
      <c r="G6585" s="0" t="inlineStr">
        <is>
          <t>WOMENS</t>
        </is>
      </c>
      <c r="H6585" s="0" t="inlineStr">
        <is>
          <t>XL</t>
        </is>
      </c>
      <c r="I6585" s="0">
        <v>49.99</v>
      </c>
      <c r="J6585" s="0">
        <v>43</v>
      </c>
    </row>
    <row r="6586" spans="1:10" customHeight="0">
      <c r="A6586" s="0">
        <f>HYPERLINK("https://dl.dropboxusercontent.com/scl/fi/czmfi36c3djrzd4xxo6z4/95950af.jpg?rlkey=2u89o7etduvjsv9ilyxa6rupc&amp;dl=0","Click to download Image")</f>
      </c>
      <c r="B6586" s="0">
        <f>HYPERLINK("https://dl.dropboxusercontent.com/scl/fi/v5nhndbtgbsmpf5aqoafn/size-chartladies-c.jpg?rlkey=sv907wnz2y44nx4wetoip1srw&amp;dl=0","Click to download SizeChart")</f>
      </c>
      <c r="C6586" s="0" t="inlineStr">
        <is>
          <t>Alice Women's Jacket</t>
        </is>
      </c>
      <c r="D6586" s="0" t="inlineStr">
        <is>
          <t>'95950</t>
        </is>
      </c>
      <c r="E6586" s="0" t="inlineStr">
        <is>
          <t>ALICE:95950E-2X</t>
        </is>
      </c>
      <c r="F6586" s="0" t="inlineStr">
        <is>
          <t>'000000000000</t>
        </is>
      </c>
      <c r="G6586" s="0" t="inlineStr">
        <is>
          <t>WOMENS</t>
        </is>
      </c>
      <c r="H6586" s="0" t="inlineStr">
        <is>
          <t>2XL</t>
        </is>
      </c>
      <c r="I6586" s="0">
        <v>51.99</v>
      </c>
      <c r="J6586" s="0">
        <v>0</v>
      </c>
    </row>
    <row r="6587" spans="1:10" customHeight="0">
      <c r="A6587" s="0">
        <f>HYPERLINK("https://dl.dropboxusercontent.com/scl/fi/9ykt5rekyy212nh0dcpov/95980af.jpg?rlkey=36rsw2nk7hr00nxktgta5c1vq&amp;dl=0","Click to download Image")</f>
      </c>
      <c r="B6587" s="0">
        <f>HYPERLINK("https://dl.dropboxusercontent.com/scl/fi/1hx7ikfesfrzmif0go00k/size-chartladies-c.jpg?rlkey=e0frb90vq8wg7vggl9dt1uozw&amp;dl=0","Click to download SizeChart")</f>
      </c>
      <c r="C6587" s="0" t="inlineStr">
        <is>
          <t>Christie Women's Glow Jacket</t>
        </is>
      </c>
      <c r="D6587" s="0" t="inlineStr">
        <is>
          <t>'95980</t>
        </is>
      </c>
      <c r="E6587" s="0" t="inlineStr">
        <is>
          <t>CHRISTIE:95980A-S</t>
        </is>
      </c>
      <c r="F6587" s="0" t="inlineStr">
        <is>
          <t>'000000000000</t>
        </is>
      </c>
      <c r="G6587" s="0" t="inlineStr">
        <is>
          <t>WOMENS</t>
        </is>
      </c>
      <c r="H6587" s="0" t="inlineStr">
        <is>
          <t>S</t>
        </is>
      </c>
      <c r="I6587" s="0">
        <v>89.99</v>
      </c>
      <c r="J6587" s="0">
        <v>27</v>
      </c>
    </row>
    <row r="6588" spans="1:10" customHeight="0">
      <c r="A6588" s="0">
        <f>HYPERLINK("https://dl.dropboxusercontent.com/scl/fi/9ykt5rekyy212nh0dcpov/95980af.jpg?rlkey=36rsw2nk7hr00nxktgta5c1vq&amp;dl=0","Click to download Image")</f>
      </c>
      <c r="B6588" s="0">
        <f>HYPERLINK("https://dl.dropboxusercontent.com/scl/fi/1hx7ikfesfrzmif0go00k/size-chartladies-c.jpg?rlkey=e0frb90vq8wg7vggl9dt1uozw&amp;dl=0","Click to download SizeChart")</f>
      </c>
      <c r="C6588" s="0" t="inlineStr">
        <is>
          <t>Christie Women's Glow Jacket</t>
        </is>
      </c>
      <c r="D6588" s="0" t="inlineStr">
        <is>
          <t>'95980</t>
        </is>
      </c>
      <c r="E6588" s="0" t="inlineStr">
        <is>
          <t>CHRISTIE:95980B-M</t>
        </is>
      </c>
      <c r="F6588" s="0" t="inlineStr">
        <is>
          <t>'000000000000</t>
        </is>
      </c>
      <c r="G6588" s="0" t="inlineStr">
        <is>
          <t>WOMENS</t>
        </is>
      </c>
      <c r="H6588" s="0" t="inlineStr">
        <is>
          <t>M</t>
        </is>
      </c>
      <c r="I6588" s="0">
        <v>89.99</v>
      </c>
      <c r="J6588" s="0">
        <v>65</v>
      </c>
    </row>
    <row r="6589" spans="1:10" customHeight="0">
      <c r="A6589" s="0">
        <f>HYPERLINK("https://dl.dropboxusercontent.com/scl/fi/9ykt5rekyy212nh0dcpov/95980af.jpg?rlkey=36rsw2nk7hr00nxktgta5c1vq&amp;dl=0","Click to download Image")</f>
      </c>
      <c r="B6589" s="0">
        <f>HYPERLINK("https://dl.dropboxusercontent.com/scl/fi/1hx7ikfesfrzmif0go00k/size-chartladies-c.jpg?rlkey=e0frb90vq8wg7vggl9dt1uozw&amp;dl=0","Click to download SizeChart")</f>
      </c>
      <c r="C6589" s="0" t="inlineStr">
        <is>
          <t>Christie Women's Glow Jacket</t>
        </is>
      </c>
      <c r="D6589" s="0" t="inlineStr">
        <is>
          <t>'95980</t>
        </is>
      </c>
      <c r="E6589" s="0" t="inlineStr">
        <is>
          <t>CHRISTIE:95980C-L</t>
        </is>
      </c>
      <c r="F6589" s="0" t="inlineStr">
        <is>
          <t>'000000000000</t>
        </is>
      </c>
      <c r="G6589" s="0" t="inlineStr">
        <is>
          <t>WOMENS</t>
        </is>
      </c>
      <c r="H6589" s="0" t="inlineStr">
        <is>
          <t>L</t>
        </is>
      </c>
      <c r="I6589" s="0">
        <v>89.99</v>
      </c>
      <c r="J6589" s="0">
        <v>112</v>
      </c>
    </row>
    <row r="6590" spans="1:10" customHeight="0">
      <c r="A6590" s="0">
        <f>HYPERLINK("https://dl.dropboxusercontent.com/scl/fi/9ykt5rekyy212nh0dcpov/95980af.jpg?rlkey=36rsw2nk7hr00nxktgta5c1vq&amp;dl=0","Click to download Image")</f>
      </c>
      <c r="B6590" s="0">
        <f>HYPERLINK("https://dl.dropboxusercontent.com/scl/fi/1hx7ikfesfrzmif0go00k/size-chartladies-c.jpg?rlkey=e0frb90vq8wg7vggl9dt1uozw&amp;dl=0","Click to download SizeChart")</f>
      </c>
      <c r="C6590" s="0" t="inlineStr">
        <is>
          <t>Christie Women's Glow Jacket</t>
        </is>
      </c>
      <c r="D6590" s="0" t="inlineStr">
        <is>
          <t>'95980</t>
        </is>
      </c>
      <c r="E6590" s="0" t="inlineStr">
        <is>
          <t>CHRISTIE:95980D-XL</t>
        </is>
      </c>
      <c r="F6590" s="0" t="inlineStr">
        <is>
          <t>'000000000000</t>
        </is>
      </c>
      <c r="G6590" s="0" t="inlineStr">
        <is>
          <t>WOMENS</t>
        </is>
      </c>
      <c r="H6590" s="0" t="inlineStr">
        <is>
          <t>XL</t>
        </is>
      </c>
      <c r="I6590" s="0">
        <v>89.99</v>
      </c>
      <c r="J6590" s="0">
        <v>112</v>
      </c>
    </row>
    <row r="6591" spans="1:10" customHeight="0">
      <c r="A6591" s="0">
        <f>HYPERLINK("https://dl.dropboxusercontent.com/scl/fi/9ykt5rekyy212nh0dcpov/95980af.jpg?rlkey=36rsw2nk7hr00nxktgta5c1vq&amp;dl=0","Click to download Image")</f>
      </c>
      <c r="B6591" s="0">
        <f>HYPERLINK("https://dl.dropboxusercontent.com/scl/fi/1hx7ikfesfrzmif0go00k/size-chartladies-c.jpg?rlkey=e0frb90vq8wg7vggl9dt1uozw&amp;dl=0","Click to download SizeChart")</f>
      </c>
      <c r="C6591" s="0" t="inlineStr">
        <is>
          <t>Christie Women's Glow Jacket</t>
        </is>
      </c>
      <c r="D6591" s="0" t="inlineStr">
        <is>
          <t>'95980</t>
        </is>
      </c>
      <c r="E6591" s="0" t="inlineStr">
        <is>
          <t>CHRISTIE:95980E-2X</t>
        </is>
      </c>
      <c r="F6591" s="0" t="inlineStr">
        <is>
          <t>'000000000000</t>
        </is>
      </c>
      <c r="G6591" s="0" t="inlineStr">
        <is>
          <t>WOMENS</t>
        </is>
      </c>
      <c r="H6591" s="0" t="inlineStr">
        <is>
          <t>2XL</t>
        </is>
      </c>
      <c r="I6591" s="0">
        <v>91.99</v>
      </c>
      <c r="J6591" s="0">
        <v>70</v>
      </c>
    </row>
    <row r="6592" spans="1:10" customHeight="0">
      <c r="A6592" s="0">
        <f>HYPERLINK("https://dl.dropboxusercontent.com/scl/fi/9ykt5rekyy212nh0dcpov/95980af.jpg?rlkey=36rsw2nk7hr00nxktgta5c1vq&amp;dl=0","Click to download Image")</f>
      </c>
      <c r="B6592" s="0">
        <f>HYPERLINK("https://dl.dropboxusercontent.com/scl/fi/1hx7ikfesfrzmif0go00k/size-chartladies-c.jpg?rlkey=e0frb90vq8wg7vggl9dt1uozw&amp;dl=0","Click to download SizeChart")</f>
      </c>
      <c r="C6592" s="0" t="inlineStr">
        <is>
          <t>Christie Women's Glow Jacket</t>
        </is>
      </c>
      <c r="D6592" s="0" t="inlineStr">
        <is>
          <t>'95980</t>
        </is>
      </c>
      <c r="E6592" s="0" t="inlineStr">
        <is>
          <t>CHRISTIE:95980F-3X</t>
        </is>
      </c>
      <c r="F6592" s="0" t="inlineStr">
        <is>
          <t>'000000000000</t>
        </is>
      </c>
      <c r="G6592" s="0" t="inlineStr">
        <is>
          <t>WOMENS</t>
        </is>
      </c>
      <c r="H6592" s="0" t="inlineStr">
        <is>
          <t>3XL</t>
        </is>
      </c>
      <c r="I6592" s="0">
        <v>91.99</v>
      </c>
      <c r="J6592" s="0">
        <v>39</v>
      </c>
    </row>
    <row r="6593" spans="1:10" customHeight="0">
      <c r="A6593" s="0">
        <f>HYPERLINK("https://dl.dropboxusercontent.com/scl/fi/7geeekt08gcvf2lci1rdl/95981af.jpg?rlkey=mt0kr50xjsdnhejxsoj3tt35g&amp;dl=0","Click to download Image")</f>
      </c>
      <c r="B6593" s="0">
        <f>HYPERLINK("https://dl.dropboxusercontent.com/scl/fi/fmnogxg4xxnbtomqlqs0g/size-chartladies-c.jpg?rlkey=zco2dgwlhdgeekymhmiwx26go&amp;dl=0","Click to download SizeChart")</f>
      </c>
      <c r="C6593" s="0" t="inlineStr">
        <is>
          <t>Delaney Women's Jacket</t>
        </is>
      </c>
      <c r="D6593" s="0" t="inlineStr">
        <is>
          <t>'95981</t>
        </is>
      </c>
      <c r="E6593" s="0" t="inlineStr">
        <is>
          <t>DELANEY:95981A-S</t>
        </is>
      </c>
      <c r="F6593" s="0" t="inlineStr">
        <is>
          <t>'000000000000</t>
        </is>
      </c>
      <c r="G6593" s="0" t="inlineStr">
        <is>
          <t>WOMENS</t>
        </is>
      </c>
      <c r="H6593" s="0" t="inlineStr">
        <is>
          <t>S</t>
        </is>
      </c>
      <c r="I6593" s="0">
        <v>89.99</v>
      </c>
      <c r="J6593" s="0">
        <v>57</v>
      </c>
    </row>
    <row r="6594" spans="1:10" customHeight="0">
      <c r="A6594" s="0">
        <f>HYPERLINK("https://dl.dropboxusercontent.com/scl/fi/7geeekt08gcvf2lci1rdl/95981af.jpg?rlkey=mt0kr50xjsdnhejxsoj3tt35g&amp;dl=0","Click to download Image")</f>
      </c>
      <c r="B6594" s="0">
        <f>HYPERLINK("https://dl.dropboxusercontent.com/scl/fi/fmnogxg4xxnbtomqlqs0g/size-chartladies-c.jpg?rlkey=zco2dgwlhdgeekymhmiwx26go&amp;dl=0","Click to download SizeChart")</f>
      </c>
      <c r="C6594" s="0" t="inlineStr">
        <is>
          <t>Delaney Women's Jacket</t>
        </is>
      </c>
      <c r="D6594" s="0" t="inlineStr">
        <is>
          <t>'95981</t>
        </is>
      </c>
      <c r="E6594" s="0" t="inlineStr">
        <is>
          <t>DELANEY:95981B-M</t>
        </is>
      </c>
      <c r="F6594" s="0" t="inlineStr">
        <is>
          <t>'000000000000</t>
        </is>
      </c>
      <c r="G6594" s="0" t="inlineStr">
        <is>
          <t>WOMENS</t>
        </is>
      </c>
      <c r="H6594" s="0" t="inlineStr">
        <is>
          <t>M</t>
        </is>
      </c>
      <c r="I6594" s="0">
        <v>89.99</v>
      </c>
      <c r="J6594" s="0">
        <v>71</v>
      </c>
    </row>
    <row r="6595" spans="1:10" customHeight="0">
      <c r="A6595" s="0">
        <f>HYPERLINK("https://dl.dropboxusercontent.com/scl/fi/7geeekt08gcvf2lci1rdl/95981af.jpg?rlkey=mt0kr50xjsdnhejxsoj3tt35g&amp;dl=0","Click to download Image")</f>
      </c>
      <c r="B6595" s="0">
        <f>HYPERLINK("https://dl.dropboxusercontent.com/scl/fi/fmnogxg4xxnbtomqlqs0g/size-chartladies-c.jpg?rlkey=zco2dgwlhdgeekymhmiwx26go&amp;dl=0","Click to download SizeChart")</f>
      </c>
      <c r="C6595" s="0" t="inlineStr">
        <is>
          <t>Delaney Women's Jacket</t>
        </is>
      </c>
      <c r="D6595" s="0" t="inlineStr">
        <is>
          <t>'95981</t>
        </is>
      </c>
      <c r="E6595" s="0" t="inlineStr">
        <is>
          <t>DELANEY:95981C-L</t>
        </is>
      </c>
      <c r="F6595" s="0" t="inlineStr">
        <is>
          <t>'000000000000</t>
        </is>
      </c>
      <c r="G6595" s="0" t="inlineStr">
        <is>
          <t>WOMENS</t>
        </is>
      </c>
      <c r="H6595" s="0" t="inlineStr">
        <is>
          <t>L</t>
        </is>
      </c>
      <c r="I6595" s="0">
        <v>89.99</v>
      </c>
      <c r="J6595" s="0">
        <v>133</v>
      </c>
    </row>
    <row r="6596" spans="1:10" customHeight="0">
      <c r="A6596" s="0">
        <f>HYPERLINK("https://dl.dropboxusercontent.com/scl/fi/7geeekt08gcvf2lci1rdl/95981af.jpg?rlkey=mt0kr50xjsdnhejxsoj3tt35g&amp;dl=0","Click to download Image")</f>
      </c>
      <c r="B6596" s="0">
        <f>HYPERLINK("https://dl.dropboxusercontent.com/scl/fi/fmnogxg4xxnbtomqlqs0g/size-chartladies-c.jpg?rlkey=zco2dgwlhdgeekymhmiwx26go&amp;dl=0","Click to download SizeChart")</f>
      </c>
      <c r="C6596" s="0" t="inlineStr">
        <is>
          <t>Delaney Women's Jacket</t>
        </is>
      </c>
      <c r="D6596" s="0" t="inlineStr">
        <is>
          <t>'95981</t>
        </is>
      </c>
      <c r="E6596" s="0" t="inlineStr">
        <is>
          <t>DELANEY:95981D-XL</t>
        </is>
      </c>
      <c r="F6596" s="0" t="inlineStr">
        <is>
          <t>'000000000000</t>
        </is>
      </c>
      <c r="G6596" s="0" t="inlineStr">
        <is>
          <t>WOMENS</t>
        </is>
      </c>
      <c r="H6596" s="0" t="inlineStr">
        <is>
          <t>XL</t>
        </is>
      </c>
      <c r="I6596" s="0">
        <v>89.99</v>
      </c>
      <c r="J6596" s="0">
        <v>152</v>
      </c>
    </row>
    <row r="6597" spans="1:10" customHeight="0">
      <c r="A6597" s="0">
        <f>HYPERLINK("https://dl.dropboxusercontent.com/scl/fi/7geeekt08gcvf2lci1rdl/95981af.jpg?rlkey=mt0kr50xjsdnhejxsoj3tt35g&amp;dl=0","Click to download Image")</f>
      </c>
      <c r="B6597" s="0">
        <f>HYPERLINK("https://dl.dropboxusercontent.com/scl/fi/fmnogxg4xxnbtomqlqs0g/size-chartladies-c.jpg?rlkey=zco2dgwlhdgeekymhmiwx26go&amp;dl=0","Click to download SizeChart")</f>
      </c>
      <c r="C6597" s="0" t="inlineStr">
        <is>
          <t>Delaney Women's Jacket</t>
        </is>
      </c>
      <c r="D6597" s="0" t="inlineStr">
        <is>
          <t>'95981</t>
        </is>
      </c>
      <c r="E6597" s="0" t="inlineStr">
        <is>
          <t>DELANEY:95981E-2X</t>
        </is>
      </c>
      <c r="F6597" s="0" t="inlineStr">
        <is>
          <t>'000000000000</t>
        </is>
      </c>
      <c r="G6597" s="0" t="inlineStr">
        <is>
          <t>WOMENS</t>
        </is>
      </c>
      <c r="H6597" s="0" t="inlineStr">
        <is>
          <t>2XL</t>
        </is>
      </c>
      <c r="I6597" s="0">
        <v>91.99</v>
      </c>
      <c r="J6597" s="0">
        <v>59</v>
      </c>
    </row>
    <row r="6598" spans="1:10" customHeight="0">
      <c r="A6598" s="0">
        <f>HYPERLINK("https://dl.dropboxusercontent.com/scl/fi/7geeekt08gcvf2lci1rdl/95981af.jpg?rlkey=mt0kr50xjsdnhejxsoj3tt35g&amp;dl=0","Click to download Image")</f>
      </c>
      <c r="B6598" s="0">
        <f>HYPERLINK("https://dl.dropboxusercontent.com/scl/fi/fmnogxg4xxnbtomqlqs0g/size-chartladies-c.jpg?rlkey=zco2dgwlhdgeekymhmiwx26go&amp;dl=0","Click to download SizeChart")</f>
      </c>
      <c r="C6598" s="0" t="inlineStr">
        <is>
          <t>Delaney Women's Jacket</t>
        </is>
      </c>
      <c r="D6598" s="0" t="inlineStr">
        <is>
          <t>'95981</t>
        </is>
      </c>
      <c r="E6598" s="0" t="inlineStr">
        <is>
          <t>DELANEY:95981F-3X</t>
        </is>
      </c>
      <c r="F6598" s="0" t="inlineStr">
        <is>
          <t>'000000000000</t>
        </is>
      </c>
      <c r="G6598" s="0" t="inlineStr">
        <is>
          <t>WOMENS</t>
        </is>
      </c>
      <c r="H6598" s="0" t="inlineStr">
        <is>
          <t>3XL</t>
        </is>
      </c>
      <c r="I6598" s="0">
        <v>91.99</v>
      </c>
      <c r="J6598" s="0">
        <v>0</v>
      </c>
    </row>
    <row r="6599" spans="1:10" customHeight="0">
      <c r="A6599" s="0">
        <f>HYPERLINK("https://dl.dropboxusercontent.com/scl/fi/8nb56d8snukotix9naz20/98026af.jpg?rlkey=9435o1hgvbjww5j4o3akorim4&amp;dl=0","Click to download Image")</f>
      </c>
      <c r="B6599" s="0">
        <f>HYPERLINK("https://dl.dropboxusercontent.com/scl/fi/mqcy9o1s9v9dooxpa46p9/mens-a.jpg?rlkey=qed0c6cfelmwylhdz8zziaj1u&amp;dl=0","Click to download SizeChart")</f>
      </c>
      <c r="C6599" s="0" t="inlineStr">
        <is>
          <t>Dean Men's Hoodie</t>
        </is>
      </c>
      <c r="D6599" s="0" t="inlineStr">
        <is>
          <t>'98026</t>
        </is>
      </c>
      <c r="E6599" s="0" t="inlineStr">
        <is>
          <t>DEAN:98026A-S</t>
        </is>
      </c>
      <c r="F6599" s="0" t="inlineStr">
        <is>
          <t>'000000000000</t>
        </is>
      </c>
      <c r="G6599" s="0" t="inlineStr">
        <is>
          <t>MENS</t>
        </is>
      </c>
      <c r="I6599" s="0">
        <v>59.99</v>
      </c>
      <c r="J6599" s="0">
        <v>39</v>
      </c>
    </row>
    <row r="6600" spans="1:10" customHeight="0">
      <c r="A6600" s="0">
        <f>HYPERLINK("https://dl.dropboxusercontent.com/scl/fi/8nb56d8snukotix9naz20/98026af.jpg?rlkey=9435o1hgvbjww5j4o3akorim4&amp;dl=0","Click to download Image")</f>
      </c>
      <c r="B6600" s="0">
        <f>HYPERLINK("https://dl.dropboxusercontent.com/scl/fi/mqcy9o1s9v9dooxpa46p9/mens-a.jpg?rlkey=qed0c6cfelmwylhdz8zziaj1u&amp;dl=0","Click to download SizeChart")</f>
      </c>
      <c r="C6600" s="0" t="inlineStr">
        <is>
          <t>Dean Men's Hoodie</t>
        </is>
      </c>
      <c r="D6600" s="0" t="inlineStr">
        <is>
          <t>'98026</t>
        </is>
      </c>
      <c r="E6600" s="0" t="inlineStr">
        <is>
          <t>DEAN:98026B-M</t>
        </is>
      </c>
      <c r="F6600" s="0" t="inlineStr">
        <is>
          <t>'000000000000</t>
        </is>
      </c>
      <c r="G6600" s="0" t="inlineStr">
        <is>
          <t>MENS</t>
        </is>
      </c>
      <c r="I6600" s="0">
        <v>59.99</v>
      </c>
      <c r="J6600" s="0">
        <v>48</v>
      </c>
    </row>
    <row r="6601" spans="1:10" customHeight="0">
      <c r="A6601" s="0">
        <f>HYPERLINK("https://dl.dropboxusercontent.com/scl/fi/8nb56d8snukotix9naz20/98026af.jpg?rlkey=9435o1hgvbjww5j4o3akorim4&amp;dl=0","Click to download Image")</f>
      </c>
      <c r="B6601" s="0">
        <f>HYPERLINK("https://dl.dropboxusercontent.com/scl/fi/mqcy9o1s9v9dooxpa46p9/mens-a.jpg?rlkey=qed0c6cfelmwylhdz8zziaj1u&amp;dl=0","Click to download SizeChart")</f>
      </c>
      <c r="C6601" s="0" t="inlineStr">
        <is>
          <t>Dean Men's Hoodie</t>
        </is>
      </c>
      <c r="D6601" s="0" t="inlineStr">
        <is>
          <t>'98026</t>
        </is>
      </c>
      <c r="E6601" s="0" t="inlineStr">
        <is>
          <t>DEAN:98026C-L</t>
        </is>
      </c>
      <c r="F6601" s="0" t="inlineStr">
        <is>
          <t>'000000000000</t>
        </is>
      </c>
      <c r="G6601" s="0" t="inlineStr">
        <is>
          <t>MENS</t>
        </is>
      </c>
      <c r="I6601" s="0">
        <v>59.99</v>
      </c>
      <c r="J6601" s="0">
        <v>0</v>
      </c>
    </row>
    <row r="6602" spans="1:10" customHeight="0">
      <c r="A6602" s="0">
        <f>HYPERLINK("https://dl.dropboxusercontent.com/scl/fi/8nb56d8snukotix9naz20/98026af.jpg?rlkey=9435o1hgvbjww5j4o3akorim4&amp;dl=0","Click to download Image")</f>
      </c>
      <c r="B6602" s="0">
        <f>HYPERLINK("https://dl.dropboxusercontent.com/scl/fi/mqcy9o1s9v9dooxpa46p9/mens-a.jpg?rlkey=qed0c6cfelmwylhdz8zziaj1u&amp;dl=0","Click to download SizeChart")</f>
      </c>
      <c r="C6602" s="0" t="inlineStr">
        <is>
          <t>Dean Men's Hoodie</t>
        </is>
      </c>
      <c r="D6602" s="0" t="inlineStr">
        <is>
          <t>'98026</t>
        </is>
      </c>
      <c r="E6602" s="0" t="inlineStr">
        <is>
          <t>DEAN:98026D-XL</t>
        </is>
      </c>
      <c r="F6602" s="0" t="inlineStr">
        <is>
          <t>'000000000000</t>
        </is>
      </c>
      <c r="G6602" s="0" t="inlineStr">
        <is>
          <t>MENS</t>
        </is>
      </c>
      <c r="I6602" s="0">
        <v>59.99</v>
      </c>
      <c r="J6602" s="0">
        <v>0</v>
      </c>
    </row>
    <row r="6603" spans="1:10" customHeight="0">
      <c r="A6603" s="0">
        <f>HYPERLINK("https://dl.dropboxusercontent.com/scl/fi/8nb56d8snukotix9naz20/98026af.jpg?rlkey=9435o1hgvbjww5j4o3akorim4&amp;dl=0","Click to download Image")</f>
      </c>
      <c r="B6603" s="0">
        <f>HYPERLINK("https://dl.dropboxusercontent.com/scl/fi/mqcy9o1s9v9dooxpa46p9/mens-a.jpg?rlkey=qed0c6cfelmwylhdz8zziaj1u&amp;dl=0","Click to download SizeChart")</f>
      </c>
      <c r="C6603" s="0" t="inlineStr">
        <is>
          <t>Dean Men's Hoodie</t>
        </is>
      </c>
      <c r="D6603" s="0" t="inlineStr">
        <is>
          <t>'98026</t>
        </is>
      </c>
      <c r="E6603" s="0" t="inlineStr">
        <is>
          <t>DEAN:98026E-2XL</t>
        </is>
      </c>
      <c r="F6603" s="0" t="inlineStr">
        <is>
          <t>'000000000000</t>
        </is>
      </c>
      <c r="G6603" s="0" t="inlineStr">
        <is>
          <t>MENS</t>
        </is>
      </c>
      <c r="I6603" s="0">
        <v>59.99</v>
      </c>
      <c r="J6603" s="0">
        <v>10</v>
      </c>
    </row>
    <row r="6604" spans="1:10" customHeight="0">
      <c r="A6604" s="0">
        <f>HYPERLINK("https://dl.dropboxusercontent.com/scl/fi/8nb56d8snukotix9naz20/98026af.jpg?rlkey=9435o1hgvbjww5j4o3akorim4&amp;dl=0","Click to download Image")</f>
      </c>
      <c r="B6604" s="0">
        <f>HYPERLINK("https://dl.dropboxusercontent.com/scl/fi/mqcy9o1s9v9dooxpa46p9/mens-a.jpg?rlkey=qed0c6cfelmwylhdz8zziaj1u&amp;dl=0","Click to download SizeChart")</f>
      </c>
      <c r="C6604" s="0" t="inlineStr">
        <is>
          <t>Dean Men's Hoodie</t>
        </is>
      </c>
      <c r="D6604" s="0" t="inlineStr">
        <is>
          <t>'98026</t>
        </is>
      </c>
      <c r="E6604" s="0" t="inlineStr">
        <is>
          <t>DEAN:98026F-3XL</t>
        </is>
      </c>
      <c r="F6604" s="0" t="inlineStr">
        <is>
          <t>'000000000000</t>
        </is>
      </c>
      <c r="G6604" s="0" t="inlineStr">
        <is>
          <t>MENS</t>
        </is>
      </c>
      <c r="I6604" s="0">
        <v>59.99</v>
      </c>
      <c r="J6604" s="0">
        <v>3</v>
      </c>
    </row>
    <row r="6605" spans="1:10" customHeight="0">
      <c r="A6605" s="0">
        <f>HYPERLINK("https://dl.dropboxusercontent.com/scl/fi/flo9issxui29repygo336/99861af.jpg?rlkey=4ud333sgokm413niao9x3dmx5&amp;dl=0","Click to download Image")</f>
      </c>
      <c r="B6605" s="0">
        <f>HYPERLINK("https://dl.dropboxusercontent.com/scl/fi/e5m6oqdxgypxn00et1j8c/mens-b.jpg?rlkey=vj4q7z2wg5fapx0xzb2fm4t05&amp;dl=0","Click to download SizeChart")</f>
      </c>
      <c r="C6605" s="0" t="inlineStr">
        <is>
          <t>Drew Men's Hoodie</t>
        </is>
      </c>
      <c r="D6605" s="0" t="inlineStr">
        <is>
          <t>'99861</t>
        </is>
      </c>
      <c r="E6605" s="0" t="inlineStr">
        <is>
          <t>DREW:99861A-S</t>
        </is>
      </c>
      <c r="F6605" s="0" t="inlineStr">
        <is>
          <t>'000000000000</t>
        </is>
      </c>
      <c r="G6605" s="0" t="inlineStr">
        <is>
          <t>MENS</t>
        </is>
      </c>
      <c r="H6605" s="0" t="inlineStr">
        <is>
          <t>S</t>
        </is>
      </c>
      <c r="I6605" s="0">
        <v>49.99</v>
      </c>
      <c r="J6605" s="0">
        <v>15</v>
      </c>
    </row>
    <row r="6606" spans="1:10" customHeight="0">
      <c r="A6606" s="0">
        <f>HYPERLINK("https://dl.dropboxusercontent.com/scl/fi/flo9issxui29repygo336/99861af.jpg?rlkey=4ud333sgokm413niao9x3dmx5&amp;dl=0","Click to download Image")</f>
      </c>
      <c r="B6606" s="0">
        <f>HYPERLINK("https://dl.dropboxusercontent.com/scl/fi/e5m6oqdxgypxn00et1j8c/mens-b.jpg?rlkey=vj4q7z2wg5fapx0xzb2fm4t05&amp;dl=0","Click to download SizeChart")</f>
      </c>
      <c r="C6606" s="0" t="inlineStr">
        <is>
          <t>Drew Men's Hoodie</t>
        </is>
      </c>
      <c r="D6606" s="0" t="inlineStr">
        <is>
          <t>'99861</t>
        </is>
      </c>
      <c r="E6606" s="0" t="inlineStr">
        <is>
          <t>DREW:99861B-M</t>
        </is>
      </c>
      <c r="F6606" s="0" t="inlineStr">
        <is>
          <t>'000000000000</t>
        </is>
      </c>
      <c r="G6606" s="0" t="inlineStr">
        <is>
          <t>MENS</t>
        </is>
      </c>
      <c r="H6606" s="0" t="inlineStr">
        <is>
          <t>M</t>
        </is>
      </c>
      <c r="I6606" s="0">
        <v>49.99</v>
      </c>
      <c r="J6606" s="0">
        <v>0</v>
      </c>
    </row>
    <row r="6607" spans="1:10" customHeight="0">
      <c r="A6607" s="0">
        <f>HYPERLINK("https://dl.dropboxusercontent.com/scl/fi/flo9issxui29repygo336/99861af.jpg?rlkey=4ud333sgokm413niao9x3dmx5&amp;dl=0","Click to download Image")</f>
      </c>
      <c r="B6607" s="0">
        <f>HYPERLINK("https://dl.dropboxusercontent.com/scl/fi/e5m6oqdxgypxn00et1j8c/mens-b.jpg?rlkey=vj4q7z2wg5fapx0xzb2fm4t05&amp;dl=0","Click to download SizeChart")</f>
      </c>
      <c r="C6607" s="0" t="inlineStr">
        <is>
          <t>Drew Men's Hoodie</t>
        </is>
      </c>
      <c r="D6607" s="0" t="inlineStr">
        <is>
          <t>'99861</t>
        </is>
      </c>
      <c r="E6607" s="0" t="inlineStr">
        <is>
          <t>DREW:99861C-L</t>
        </is>
      </c>
      <c r="F6607" s="0" t="inlineStr">
        <is>
          <t>'000000000000</t>
        </is>
      </c>
      <c r="G6607" s="0" t="inlineStr">
        <is>
          <t>MENS</t>
        </is>
      </c>
      <c r="H6607" s="0" t="inlineStr">
        <is>
          <t>L</t>
        </is>
      </c>
      <c r="I6607" s="0">
        <v>49.99</v>
      </c>
      <c r="J6607" s="0">
        <v>0</v>
      </c>
    </row>
    <row r="6608" spans="1:10" customHeight="0">
      <c r="A6608" s="0">
        <f>HYPERLINK("https://dl.dropboxusercontent.com/scl/fi/flo9issxui29repygo336/99861af.jpg?rlkey=4ud333sgokm413niao9x3dmx5&amp;dl=0","Click to download Image")</f>
      </c>
      <c r="B6608" s="0">
        <f>HYPERLINK("https://dl.dropboxusercontent.com/scl/fi/e5m6oqdxgypxn00et1j8c/mens-b.jpg?rlkey=vj4q7z2wg5fapx0xzb2fm4t05&amp;dl=0","Click to download SizeChart")</f>
      </c>
      <c r="C6608" s="0" t="inlineStr">
        <is>
          <t>Drew Men's Hoodie</t>
        </is>
      </c>
      <c r="D6608" s="0" t="inlineStr">
        <is>
          <t>'99861</t>
        </is>
      </c>
      <c r="E6608" s="0" t="inlineStr">
        <is>
          <t>DREW:99861D-XL</t>
        </is>
      </c>
      <c r="F6608" s="0" t="inlineStr">
        <is>
          <t>'000000000000</t>
        </is>
      </c>
      <c r="G6608" s="0" t="inlineStr">
        <is>
          <t>MENS</t>
        </is>
      </c>
      <c r="H6608" s="0" t="inlineStr">
        <is>
          <t>XL</t>
        </is>
      </c>
      <c r="I6608" s="0">
        <v>49.99</v>
      </c>
      <c r="J6608" s="0">
        <v>0</v>
      </c>
    </row>
    <row r="6609" spans="1:10" customHeight="0">
      <c r="A6609" s="0">
        <f>HYPERLINK("https://dl.dropboxusercontent.com/scl/fi/flo9issxui29repygo336/99861af.jpg?rlkey=4ud333sgokm413niao9x3dmx5&amp;dl=0","Click to download Image")</f>
      </c>
      <c r="B6609" s="0">
        <f>HYPERLINK("https://dl.dropboxusercontent.com/scl/fi/e5m6oqdxgypxn00et1j8c/mens-b.jpg?rlkey=vj4q7z2wg5fapx0xzb2fm4t05&amp;dl=0","Click to download SizeChart")</f>
      </c>
      <c r="C6609" s="0" t="inlineStr">
        <is>
          <t>Drew Men's Hoodie</t>
        </is>
      </c>
      <c r="D6609" s="0" t="inlineStr">
        <is>
          <t>'99861</t>
        </is>
      </c>
      <c r="E6609" s="0" t="inlineStr">
        <is>
          <t>DREW:99861E-2XL</t>
        </is>
      </c>
      <c r="F6609" s="0" t="inlineStr">
        <is>
          <t>'000000000000</t>
        </is>
      </c>
      <c r="G6609" s="0" t="inlineStr">
        <is>
          <t>MENS</t>
        </is>
      </c>
      <c r="H6609" s="0" t="inlineStr">
        <is>
          <t>2XL</t>
        </is>
      </c>
      <c r="I6609" s="0">
        <v>51.99</v>
      </c>
      <c r="J6609" s="0">
        <v>0</v>
      </c>
    </row>
    <row r="6610" spans="1:10" customHeight="0">
      <c r="A6610" s="0">
        <f>HYPERLINK("https://dl.dropboxusercontent.com/scl/fi/flo9issxui29repygo336/99861af.jpg?rlkey=4ud333sgokm413niao9x3dmx5&amp;dl=0","Click to download Image")</f>
      </c>
      <c r="B6610" s="0">
        <f>HYPERLINK("https://dl.dropboxusercontent.com/scl/fi/e5m6oqdxgypxn00et1j8c/mens-b.jpg?rlkey=vj4q7z2wg5fapx0xzb2fm4t05&amp;dl=0","Click to download SizeChart")</f>
      </c>
      <c r="C6610" s="0" t="inlineStr">
        <is>
          <t>Drew Men's Hoodie</t>
        </is>
      </c>
      <c r="D6610" s="0" t="inlineStr">
        <is>
          <t>'99861</t>
        </is>
      </c>
      <c r="E6610" s="0" t="inlineStr">
        <is>
          <t>DREW:99861F-3XL</t>
        </is>
      </c>
      <c r="F6610" s="0" t="inlineStr">
        <is>
          <t>'000000000000</t>
        </is>
      </c>
      <c r="G6610" s="0" t="inlineStr">
        <is>
          <t>MENS</t>
        </is>
      </c>
      <c r="H6610" s="0" t="inlineStr">
        <is>
          <t>3XL</t>
        </is>
      </c>
      <c r="I6610" s="0">
        <v>51.99</v>
      </c>
      <c r="J6610" s="0">
        <v>0</v>
      </c>
    </row>
    <row r="6611" spans="1:10" customHeight="0">
      <c r="A6611" s="0">
        <f>HYPERLINK("https://dl.dropboxusercontent.com/scl/fi/1lecypy11a7ngso2dpb54/ingrid-01.jpg?rlkey=qilixdcrs3wzr2mfvo91z8q55&amp;dl=0","Click to download Image")</f>
      </c>
      <c r="B6611" s="0">
        <f>HYPERLINK("https://dl.dropboxusercontent.com/scl/fi/ug8i5e19e419vif8yn9w3/size-chartinfant-toddler-b.jpg?rlkey=367764rmloybfe5nalw20rgtj&amp;dl=0","Click to download SizeChart")</f>
      </c>
      <c r="C6611" s="0" t="inlineStr">
        <is>
          <t>Ingrid Toddler Sundress</t>
        </is>
      </c>
      <c r="D6611" s="0" t="inlineStr">
        <is>
          <t>'99841</t>
        </is>
      </c>
      <c r="E6611" s="0" t="inlineStr">
        <is>
          <t>INGRID:99841-3T</t>
        </is>
      </c>
      <c r="F6611" s="0" t="inlineStr">
        <is>
          <t>'000000000000</t>
        </is>
      </c>
      <c r="G6611" s="0" t="inlineStr">
        <is>
          <t>TODDLER</t>
        </is>
      </c>
      <c r="H6611" s="0" t="inlineStr">
        <is>
          <t>3T</t>
        </is>
      </c>
      <c r="I6611" s="0">
        <v>26.99</v>
      </c>
      <c r="J6611" s="0">
        <v>50</v>
      </c>
    </row>
    <row r="6612" spans="1:10" customHeight="0">
      <c r="A6612" s="0">
        <f>HYPERLINK("https://dl.dropboxusercontent.com/scl/fi/1lecypy11a7ngso2dpb54/ingrid-01.jpg?rlkey=qilixdcrs3wzr2mfvo91z8q55&amp;dl=0","Click to download Image")</f>
      </c>
      <c r="B6612" s="0">
        <f>HYPERLINK("https://dl.dropboxusercontent.com/scl/fi/ug8i5e19e419vif8yn9w3/size-chartinfant-toddler-b.jpg?rlkey=367764rmloybfe5nalw20rgtj&amp;dl=0","Click to download SizeChart")</f>
      </c>
      <c r="C6612" s="0" t="inlineStr">
        <is>
          <t>Ingrid Toddler Sundress</t>
        </is>
      </c>
      <c r="D6612" s="0" t="inlineStr">
        <is>
          <t>'99841</t>
        </is>
      </c>
      <c r="E6612" s="0" t="inlineStr">
        <is>
          <t>INGRID:99841- 4T</t>
        </is>
      </c>
      <c r="F6612" s="0" t="inlineStr">
        <is>
          <t>'000000000000</t>
        </is>
      </c>
      <c r="G6612" s="0" t="inlineStr">
        <is>
          <t>TODDLER</t>
        </is>
      </c>
      <c r="H6612" s="0" t="inlineStr">
        <is>
          <t>4T</t>
        </is>
      </c>
      <c r="I6612" s="0">
        <v>26.99</v>
      </c>
      <c r="J6612" s="0">
        <v>66</v>
      </c>
    </row>
    <row r="6613" spans="1:10" customHeight="0">
      <c r="A6613" s="0">
        <f>HYPERLINK("https://dl.dropboxusercontent.com/scl/fi/1lecypy11a7ngso2dpb54/ingrid-01.jpg?rlkey=qilixdcrs3wzr2mfvo91z8q55&amp;dl=0","Click to download Image")</f>
      </c>
      <c r="B6613" s="0">
        <f>HYPERLINK("https://dl.dropboxusercontent.com/scl/fi/ug8i5e19e419vif8yn9w3/size-chartinfant-toddler-b.jpg?rlkey=367764rmloybfe5nalw20rgtj&amp;dl=0","Click to download SizeChart")</f>
      </c>
      <c r="C6613" s="0" t="inlineStr">
        <is>
          <t>Ingrid Toddler Sundress</t>
        </is>
      </c>
      <c r="D6613" s="0" t="inlineStr">
        <is>
          <t>'99841</t>
        </is>
      </c>
      <c r="E6613" s="0" t="inlineStr">
        <is>
          <t>INGRID:99841- 5-6T</t>
        </is>
      </c>
      <c r="F6613" s="0" t="inlineStr">
        <is>
          <t>'000000000000</t>
        </is>
      </c>
      <c r="G6613" s="0" t="inlineStr">
        <is>
          <t>TODDLER</t>
        </is>
      </c>
      <c r="H6613" s="0" t="inlineStr">
        <is>
          <t>5/6</t>
        </is>
      </c>
      <c r="I6613" s="0">
        <v>26.99</v>
      </c>
      <c r="J6613" s="0">
        <v>32</v>
      </c>
    </row>
    <row r="6614" spans="1:10" customHeight="0">
      <c r="A6614" s="0">
        <f>HYPERLINK("https://dl.dropboxusercontent.com/scl/fi/1lecypy11a7ngso2dpb54/ingrid-01.jpg?rlkey=qilixdcrs3wzr2mfvo91z8q55&amp;dl=0","Click to download Image")</f>
      </c>
      <c r="B6614" s="0">
        <f>HYPERLINK("https://dl.dropboxusercontent.com/scl/fi/ug8i5e19e419vif8yn9w3/size-chartinfant-toddler-b.jpg?rlkey=367764rmloybfe5nalw20rgtj&amp;dl=0","Click to download SizeChart")</f>
      </c>
      <c r="C6614" s="0" t="inlineStr">
        <is>
          <t>Ingrid Toddler Sundress</t>
        </is>
      </c>
      <c r="D6614" s="0" t="inlineStr">
        <is>
          <t>'99841</t>
        </is>
      </c>
      <c r="E6614" s="0" t="inlineStr">
        <is>
          <t>INGRID:99841- 6X</t>
        </is>
      </c>
      <c r="F6614" s="0" t="inlineStr">
        <is>
          <t>'000000000000</t>
        </is>
      </c>
      <c r="G6614" s="0" t="inlineStr">
        <is>
          <t>TODDLER</t>
        </is>
      </c>
      <c r="H6614" s="0" t="inlineStr">
        <is>
          <t>6X</t>
        </is>
      </c>
      <c r="I6614" s="0">
        <v>26.99</v>
      </c>
      <c r="J6614" s="0">
        <v>35</v>
      </c>
    </row>
    <row r="6615" spans="1:10" customHeight="0">
      <c r="A6615" s="0">
        <f>HYPERLINK("https://dl.dropboxusercontent.com/scl/fi/pjxqq6ktsp0f757m1xluf/ingrid-02.jpg?rlkey=kyua0qoxfszksbkvl6vmr7bje&amp;dl=0","Click to download Image")</f>
      </c>
      <c r="B6615" s="0">
        <f>HYPERLINK("https://dl.dropboxusercontent.com/scl/fi/ug8i5e19e419vif8yn9w3/size-chartinfant-toddler-b.jpg?rlkey=367764rmloybfe5nalw20rgtj&amp;dl=0","Click to download SizeChart")</f>
      </c>
      <c r="C6615" s="0" t="inlineStr">
        <is>
          <t>Ingrid Toddler Sundress</t>
        </is>
      </c>
      <c r="D6615" s="0" t="inlineStr">
        <is>
          <t>'99831</t>
        </is>
      </c>
      <c r="E6615" s="0" t="inlineStr">
        <is>
          <t>INGRID:99831- 3T</t>
        </is>
      </c>
      <c r="F6615" s="0" t="inlineStr">
        <is>
          <t>'000000000000</t>
        </is>
      </c>
      <c r="G6615" s="0" t="inlineStr">
        <is>
          <t>TODDLER</t>
        </is>
      </c>
      <c r="H6615" s="0" t="inlineStr">
        <is>
          <t>3T</t>
        </is>
      </c>
      <c r="I6615" s="0">
        <v>26.99</v>
      </c>
      <c r="J6615" s="0">
        <v>15</v>
      </c>
    </row>
    <row r="6616" spans="1:10" customHeight="0">
      <c r="A6616" s="0">
        <f>HYPERLINK("https://dl.dropboxusercontent.com/scl/fi/pjxqq6ktsp0f757m1xluf/ingrid-02.jpg?rlkey=kyua0qoxfszksbkvl6vmr7bje&amp;dl=0","Click to download Image")</f>
      </c>
      <c r="B6616" s="0">
        <f>HYPERLINK("https://dl.dropboxusercontent.com/scl/fi/ug8i5e19e419vif8yn9w3/size-chartinfant-toddler-b.jpg?rlkey=367764rmloybfe5nalw20rgtj&amp;dl=0","Click to download SizeChart")</f>
      </c>
      <c r="C6616" s="0" t="inlineStr">
        <is>
          <t>Ingrid Toddler Sundress</t>
        </is>
      </c>
      <c r="D6616" s="0" t="inlineStr">
        <is>
          <t>'99831</t>
        </is>
      </c>
      <c r="E6616" s="0" t="inlineStr">
        <is>
          <t>INGRID:99831- 4T</t>
        </is>
      </c>
      <c r="F6616" s="0" t="inlineStr">
        <is>
          <t>'000000000000</t>
        </is>
      </c>
      <c r="G6616" s="0" t="inlineStr">
        <is>
          <t>TODDLER</t>
        </is>
      </c>
      <c r="H6616" s="0" t="inlineStr">
        <is>
          <t>4T</t>
        </is>
      </c>
      <c r="I6616" s="0">
        <v>26.99</v>
      </c>
      <c r="J6616" s="0">
        <v>18</v>
      </c>
    </row>
    <row r="6617" spans="1:10" customHeight="0">
      <c r="A6617" s="0">
        <f>HYPERLINK("https://dl.dropboxusercontent.com/scl/fi/pjxqq6ktsp0f757m1xluf/ingrid-02.jpg?rlkey=kyua0qoxfszksbkvl6vmr7bje&amp;dl=0","Click to download Image")</f>
      </c>
      <c r="B6617" s="0">
        <f>HYPERLINK("https://dl.dropboxusercontent.com/scl/fi/ug8i5e19e419vif8yn9w3/size-chartinfant-toddler-b.jpg?rlkey=367764rmloybfe5nalw20rgtj&amp;dl=0","Click to download SizeChart")</f>
      </c>
      <c r="C6617" s="0" t="inlineStr">
        <is>
          <t>Ingrid Toddler Sundress</t>
        </is>
      </c>
      <c r="D6617" s="0" t="inlineStr">
        <is>
          <t>'99831</t>
        </is>
      </c>
      <c r="E6617" s="0" t="inlineStr">
        <is>
          <t>INGRID:99831- 5/6T</t>
        </is>
      </c>
      <c r="F6617" s="0" t="inlineStr">
        <is>
          <t>'000000000000</t>
        </is>
      </c>
      <c r="G6617" s="0" t="inlineStr">
        <is>
          <t>TODDLER</t>
        </is>
      </c>
      <c r="H6617" s="0" t="inlineStr">
        <is>
          <t>5/6</t>
        </is>
      </c>
      <c r="I6617" s="0">
        <v>26.99</v>
      </c>
      <c r="J6617" s="0">
        <v>0</v>
      </c>
    </row>
    <row r="6618" spans="1:10" customHeight="0">
      <c r="A6618" s="0">
        <f>HYPERLINK("https://dl.dropboxusercontent.com/scl/fi/pjxqq6ktsp0f757m1xluf/ingrid-02.jpg?rlkey=kyua0qoxfszksbkvl6vmr7bje&amp;dl=0","Click to download Image")</f>
      </c>
      <c r="B6618" s="0">
        <f>HYPERLINK("https://dl.dropboxusercontent.com/scl/fi/ug8i5e19e419vif8yn9w3/size-chartinfant-toddler-b.jpg?rlkey=367764rmloybfe5nalw20rgtj&amp;dl=0","Click to download SizeChart")</f>
      </c>
      <c r="C6618" s="0" t="inlineStr">
        <is>
          <t>Ingrid Toddler Sundress</t>
        </is>
      </c>
      <c r="D6618" s="0" t="inlineStr">
        <is>
          <t>'99831</t>
        </is>
      </c>
      <c r="E6618" s="0" t="inlineStr">
        <is>
          <t>INGRID:99831- 6X</t>
        </is>
      </c>
      <c r="F6618" s="0" t="inlineStr">
        <is>
          <t>'000000000000</t>
        </is>
      </c>
      <c r="G6618" s="0" t="inlineStr">
        <is>
          <t>TODDLER</t>
        </is>
      </c>
      <c r="H6618" s="0" t="inlineStr">
        <is>
          <t>6X</t>
        </is>
      </c>
      <c r="I6618" s="0">
        <v>26.99</v>
      </c>
      <c r="J6618" s="0">
        <v>3</v>
      </c>
    </row>
    <row r="6619" spans="1:10" customHeight="0">
      <c r="A6619" s="0">
        <f>HYPERLINK("https://dl.dropboxusercontent.com/scl/fi/re4u7zjfowddv3ioxu42e/haley-01.jpg?rlkey=j6oxe9ao148f1qd4ugbdtbxqr&amp;dl=0","Click to download Image")</f>
      </c>
      <c r="B6619" s="0">
        <f>HYPERLINK("https://dl.dropboxusercontent.com/scl/fi/rfz5va8rqmdj1esf26hm2/size-chartladies-c.jpg?rlkey=ej6gosa0t3bcpkjg87wc3p84z&amp;dl=0","Click to download SizeChart")</f>
      </c>
      <c r="C6619" s="0" t="inlineStr">
        <is>
          <t>Haley Women's Fitness Jacket</t>
        </is>
      </c>
      <c r="D6619" s="0" t="inlineStr">
        <is>
          <t>'96388</t>
        </is>
      </c>
      <c r="E6619" s="0" t="inlineStr">
        <is>
          <t>HALEY:96388A-S</t>
        </is>
      </c>
      <c r="F6619" s="0" t="inlineStr">
        <is>
          <t>'000000000000</t>
        </is>
      </c>
      <c r="G6619" s="0" t="inlineStr">
        <is>
          <t>WOMENS</t>
        </is>
      </c>
      <c r="H6619" s="0" t="inlineStr">
        <is>
          <t>S</t>
        </is>
      </c>
      <c r="I6619" s="0">
        <v>59.99</v>
      </c>
      <c r="J6619" s="0">
        <v>19</v>
      </c>
    </row>
    <row r="6620" spans="1:10" customHeight="0">
      <c r="A6620" s="0">
        <f>HYPERLINK("https://dl.dropboxusercontent.com/scl/fi/re4u7zjfowddv3ioxu42e/haley-01.jpg?rlkey=j6oxe9ao148f1qd4ugbdtbxqr&amp;dl=0","Click to download Image")</f>
      </c>
      <c r="B6620" s="0">
        <f>HYPERLINK("https://dl.dropboxusercontent.com/scl/fi/rfz5va8rqmdj1esf26hm2/size-chartladies-c.jpg?rlkey=ej6gosa0t3bcpkjg87wc3p84z&amp;dl=0","Click to download SizeChart")</f>
      </c>
      <c r="C6620" s="0" t="inlineStr">
        <is>
          <t>Haley Women's Fitness Jacket</t>
        </is>
      </c>
      <c r="D6620" s="0" t="inlineStr">
        <is>
          <t>'96388</t>
        </is>
      </c>
      <c r="E6620" s="0" t="inlineStr">
        <is>
          <t>HALEY:96388B-M</t>
        </is>
      </c>
      <c r="F6620" s="0" t="inlineStr">
        <is>
          <t>'000000000000</t>
        </is>
      </c>
      <c r="G6620" s="0" t="inlineStr">
        <is>
          <t>WOMENS</t>
        </is>
      </c>
      <c r="H6620" s="0" t="inlineStr">
        <is>
          <t>M</t>
        </is>
      </c>
      <c r="I6620" s="0">
        <v>59.99</v>
      </c>
      <c r="J6620" s="0">
        <v>14</v>
      </c>
    </row>
    <row r="6621" spans="1:10" customHeight="0">
      <c r="A6621" s="0">
        <f>HYPERLINK("https://dl.dropboxusercontent.com/scl/fi/re4u7zjfowddv3ioxu42e/haley-01.jpg?rlkey=j6oxe9ao148f1qd4ugbdtbxqr&amp;dl=0","Click to download Image")</f>
      </c>
      <c r="B6621" s="0">
        <f>HYPERLINK("https://dl.dropboxusercontent.com/scl/fi/rfz5va8rqmdj1esf26hm2/size-chartladies-c.jpg?rlkey=ej6gosa0t3bcpkjg87wc3p84z&amp;dl=0","Click to download SizeChart")</f>
      </c>
      <c r="C6621" s="0" t="inlineStr">
        <is>
          <t>Haley Women's Fitness Jacket</t>
        </is>
      </c>
      <c r="D6621" s="0" t="inlineStr">
        <is>
          <t>'96388</t>
        </is>
      </c>
      <c r="E6621" s="0" t="inlineStr">
        <is>
          <t>HALEY:96388C-L</t>
        </is>
      </c>
      <c r="F6621" s="0" t="inlineStr">
        <is>
          <t>'000000000000</t>
        </is>
      </c>
      <c r="G6621" s="0" t="inlineStr">
        <is>
          <t>WOMENS</t>
        </is>
      </c>
      <c r="H6621" s="0" t="inlineStr">
        <is>
          <t>L</t>
        </is>
      </c>
      <c r="I6621" s="0">
        <v>59.99</v>
      </c>
      <c r="J6621" s="0">
        <v>70</v>
      </c>
    </row>
    <row r="6622" spans="1:10" customHeight="0">
      <c r="A6622" s="0">
        <f>HYPERLINK("https://dl.dropboxusercontent.com/scl/fi/re4u7zjfowddv3ioxu42e/haley-01.jpg?rlkey=j6oxe9ao148f1qd4ugbdtbxqr&amp;dl=0","Click to download Image")</f>
      </c>
      <c r="B6622" s="0">
        <f>HYPERLINK("https://dl.dropboxusercontent.com/scl/fi/rfz5va8rqmdj1esf26hm2/size-chartladies-c.jpg?rlkey=ej6gosa0t3bcpkjg87wc3p84z&amp;dl=0","Click to download SizeChart")</f>
      </c>
      <c r="C6622" s="0" t="inlineStr">
        <is>
          <t>Haley Women's Fitness Jacket</t>
        </is>
      </c>
      <c r="D6622" s="0" t="inlineStr">
        <is>
          <t>'96388</t>
        </is>
      </c>
      <c r="E6622" s="0" t="inlineStr">
        <is>
          <t>HALEY:96388D-XL</t>
        </is>
      </c>
      <c r="F6622" s="0" t="inlineStr">
        <is>
          <t>'000000000000</t>
        </is>
      </c>
      <c r="G6622" s="0" t="inlineStr">
        <is>
          <t>WOMENS</t>
        </is>
      </c>
      <c r="H6622" s="0" t="inlineStr">
        <is>
          <t>XL</t>
        </is>
      </c>
      <c r="I6622" s="0">
        <v>59.99</v>
      </c>
      <c r="J6622" s="0">
        <v>84</v>
      </c>
    </row>
    <row r="6623" spans="1:10" customHeight="0">
      <c r="A6623" s="0">
        <f>HYPERLINK("https://dl.dropboxusercontent.com/scl/fi/re4u7zjfowddv3ioxu42e/haley-01.jpg?rlkey=j6oxe9ao148f1qd4ugbdtbxqr&amp;dl=0","Click to download Image")</f>
      </c>
      <c r="B6623" s="0">
        <f>HYPERLINK("https://dl.dropboxusercontent.com/scl/fi/rfz5va8rqmdj1esf26hm2/size-chartladies-c.jpg?rlkey=ej6gosa0t3bcpkjg87wc3p84z&amp;dl=0","Click to download SizeChart")</f>
      </c>
      <c r="C6623" s="0" t="inlineStr">
        <is>
          <t>Haley Women's Fitness Jacket</t>
        </is>
      </c>
      <c r="D6623" s="0" t="inlineStr">
        <is>
          <t>'96388</t>
        </is>
      </c>
      <c r="E6623" s="0" t="inlineStr">
        <is>
          <t>HALEY:96388E-2XL</t>
        </is>
      </c>
      <c r="F6623" s="0" t="inlineStr">
        <is>
          <t>'000000000000</t>
        </is>
      </c>
      <c r="G6623" s="0" t="inlineStr">
        <is>
          <t>WOMENS</t>
        </is>
      </c>
      <c r="H6623" s="0" t="inlineStr">
        <is>
          <t>2XL</t>
        </is>
      </c>
      <c r="I6623" s="0">
        <v>61.99</v>
      </c>
      <c r="J6623" s="0">
        <v>31</v>
      </c>
    </row>
    <row r="6624" spans="1:10" customHeight="0">
      <c r="A6624" s="0">
        <f>HYPERLINK("https://dl.dropboxusercontent.com/scl/fi/k3lsv77hnqnqjvpwndkjn/haley-02.jpg?rlkey=72l1xcrlk328h1f81k0fchng8&amp;dl=0","Click to download Image")</f>
      </c>
      <c r="B6624" s="0">
        <f>HYPERLINK("https://dl.dropboxusercontent.com/scl/fi/rfz5va8rqmdj1esf26hm2/size-chartladies-c.jpg?rlkey=ej6gosa0t3bcpkjg87wc3p84z&amp;dl=0","Click to download SizeChart")</f>
      </c>
      <c r="C6624" s="0" t="inlineStr">
        <is>
          <t>Haley Women's Fitness Jacket</t>
        </is>
      </c>
      <c r="D6624" s="0" t="inlineStr">
        <is>
          <t>'97821</t>
        </is>
      </c>
      <c r="E6624" s="0" t="inlineStr">
        <is>
          <t>HALEY:97821A-S</t>
        </is>
      </c>
      <c r="F6624" s="0" t="inlineStr">
        <is>
          <t>'000000000000</t>
        </is>
      </c>
      <c r="G6624" s="0" t="inlineStr">
        <is>
          <t>WOMENS</t>
        </is>
      </c>
      <c r="H6624" s="0" t="inlineStr">
        <is>
          <t>S</t>
        </is>
      </c>
      <c r="I6624" s="0">
        <v>59.99</v>
      </c>
      <c r="J6624" s="0">
        <v>2</v>
      </c>
    </row>
    <row r="6625" spans="1:10" customHeight="0">
      <c r="A6625" s="0">
        <f>HYPERLINK("https://dl.dropboxusercontent.com/scl/fi/k3lsv77hnqnqjvpwndkjn/haley-02.jpg?rlkey=72l1xcrlk328h1f81k0fchng8&amp;dl=0","Click to download Image")</f>
      </c>
      <c r="B6625" s="0">
        <f>HYPERLINK("https://dl.dropboxusercontent.com/scl/fi/rfz5va8rqmdj1esf26hm2/size-chartladies-c.jpg?rlkey=ej6gosa0t3bcpkjg87wc3p84z&amp;dl=0","Click to download SizeChart")</f>
      </c>
      <c r="C6625" s="0" t="inlineStr">
        <is>
          <t>Haley Women's Fitness Jacket</t>
        </is>
      </c>
      <c r="D6625" s="0" t="inlineStr">
        <is>
          <t>'97821</t>
        </is>
      </c>
      <c r="E6625" s="0" t="inlineStr">
        <is>
          <t>HALEY:97821C-L</t>
        </is>
      </c>
      <c r="F6625" s="0" t="inlineStr">
        <is>
          <t>'000000000000</t>
        </is>
      </c>
      <c r="G6625" s="0" t="inlineStr">
        <is>
          <t>WOMENS</t>
        </is>
      </c>
      <c r="H6625" s="0" t="inlineStr">
        <is>
          <t>L</t>
        </is>
      </c>
      <c r="I6625" s="0">
        <v>59.99</v>
      </c>
      <c r="J6625" s="0">
        <v>1</v>
      </c>
    </row>
    <row r="6626" spans="1:10" customHeight="0">
      <c r="A6626" s="0">
        <f>HYPERLINK("https://dl.dropboxusercontent.com/scl/fi/k3lsv77hnqnqjvpwndkjn/haley-02.jpg?rlkey=72l1xcrlk328h1f81k0fchng8&amp;dl=0","Click to download Image")</f>
      </c>
      <c r="B6626" s="0">
        <f>HYPERLINK("https://dl.dropboxusercontent.com/scl/fi/rfz5va8rqmdj1esf26hm2/size-chartladies-c.jpg?rlkey=ej6gosa0t3bcpkjg87wc3p84z&amp;dl=0","Click to download SizeChart")</f>
      </c>
      <c r="C6626" s="0" t="inlineStr">
        <is>
          <t>Haley Women's Fitness Jacket</t>
        </is>
      </c>
      <c r="D6626" s="0" t="inlineStr">
        <is>
          <t>'97821</t>
        </is>
      </c>
      <c r="E6626" s="0" t="inlineStr">
        <is>
          <t>HALEY:97821D-XL</t>
        </is>
      </c>
      <c r="F6626" s="0" t="inlineStr">
        <is>
          <t>'000000000000</t>
        </is>
      </c>
      <c r="G6626" s="0" t="inlineStr">
        <is>
          <t>WOMENS</t>
        </is>
      </c>
      <c r="H6626" s="0" t="inlineStr">
        <is>
          <t>XL</t>
        </is>
      </c>
      <c r="I6626" s="0">
        <v>59.99</v>
      </c>
      <c r="J6626" s="0">
        <v>11</v>
      </c>
    </row>
    <row r="6627" spans="1:10" customHeight="0">
      <c r="A6627" s="0">
        <f>HYPERLINK("https://dl.dropboxusercontent.com/scl/fi/k3lsv77hnqnqjvpwndkjn/haley-02.jpg?rlkey=72l1xcrlk328h1f81k0fchng8&amp;dl=0","Click to download Image")</f>
      </c>
      <c r="B6627" s="0">
        <f>HYPERLINK("https://dl.dropboxusercontent.com/scl/fi/rfz5va8rqmdj1esf26hm2/size-chartladies-c.jpg?rlkey=ej6gosa0t3bcpkjg87wc3p84z&amp;dl=0","Click to download SizeChart")</f>
      </c>
      <c r="C6627" s="0" t="inlineStr">
        <is>
          <t>Haley Women's Fitness Jacket</t>
        </is>
      </c>
      <c r="D6627" s="0" t="inlineStr">
        <is>
          <t>'97821</t>
        </is>
      </c>
      <c r="E6627" s="0" t="inlineStr">
        <is>
          <t>HALEY:97821E-2XL</t>
        </is>
      </c>
      <c r="F6627" s="0" t="inlineStr">
        <is>
          <t>'000000000000</t>
        </is>
      </c>
      <c r="G6627" s="0" t="inlineStr">
        <is>
          <t>WOMENS</t>
        </is>
      </c>
      <c r="H6627" s="0" t="inlineStr">
        <is>
          <t>2XL</t>
        </is>
      </c>
      <c r="I6627" s="0">
        <v>61.99</v>
      </c>
      <c r="J6627" s="0">
        <v>4</v>
      </c>
    </row>
    <row r="6628" spans="1:10" customHeight="0">
      <c r="A6628" s="0">
        <f>HYPERLINK("https://dl.dropboxusercontent.com/scl/fi/rw1zrxdk1c9o1150bnkjx/104373af.jpg?rlkey=765bjlnkdfckqf9vtns5hzq60&amp;dl=0","Click to download Image")</f>
      </c>
      <c r="B6628" s="0">
        <f>HYPERLINK("https://dl.dropboxusercontent.com/scl/fi/191iz5n0ghczycn6xibl0/mens-a.jpg?rlkey=08nhk92prwa42znmrbz9hj7wq&amp;dl=0","Click to download SizeChart")</f>
      </c>
      <c r="C6628" s="0" t="inlineStr">
        <is>
          <t>Brett Men's Half Zip Pullover</t>
        </is>
      </c>
      <c r="D6628" s="0" t="inlineStr">
        <is>
          <t>'104373</t>
        </is>
      </c>
      <c r="E6628" s="0" t="inlineStr">
        <is>
          <t>BRETT:104373A-S</t>
        </is>
      </c>
      <c r="F6628" s="0" t="inlineStr">
        <is>
          <t>'000000000000</t>
        </is>
      </c>
      <c r="G6628" s="0" t="inlineStr">
        <is>
          <t>MENS</t>
        </is>
      </c>
      <c r="I6628" s="0">
        <v>59.99</v>
      </c>
      <c r="J6628" s="0">
        <v>73</v>
      </c>
    </row>
    <row r="6629" spans="1:10" customHeight="0">
      <c r="A6629" s="0">
        <f>HYPERLINK("https://dl.dropboxusercontent.com/scl/fi/rw1zrxdk1c9o1150bnkjx/104373af.jpg?rlkey=765bjlnkdfckqf9vtns5hzq60&amp;dl=0","Click to download Image")</f>
      </c>
      <c r="B6629" s="0">
        <f>HYPERLINK("https://dl.dropboxusercontent.com/scl/fi/191iz5n0ghczycn6xibl0/mens-a.jpg?rlkey=08nhk92prwa42znmrbz9hj7wq&amp;dl=0","Click to download SizeChart")</f>
      </c>
      <c r="C6629" s="0" t="inlineStr">
        <is>
          <t>Brett Men's Half Zip Pullover</t>
        </is>
      </c>
      <c r="D6629" s="0" t="inlineStr">
        <is>
          <t>'104373</t>
        </is>
      </c>
      <c r="E6629" s="0" t="inlineStr">
        <is>
          <t>BRETT:104373B-M</t>
        </is>
      </c>
      <c r="F6629" s="0" t="inlineStr">
        <is>
          <t>'000000000000</t>
        </is>
      </c>
      <c r="G6629" s="0" t="inlineStr">
        <is>
          <t>MENS</t>
        </is>
      </c>
      <c r="I6629" s="0">
        <v>59.99</v>
      </c>
      <c r="J6629" s="0">
        <v>63</v>
      </c>
    </row>
    <row r="6630" spans="1:10" customHeight="0">
      <c r="A6630" s="0">
        <f>HYPERLINK("https://dl.dropboxusercontent.com/scl/fi/rw1zrxdk1c9o1150bnkjx/104373af.jpg?rlkey=765bjlnkdfckqf9vtns5hzq60&amp;dl=0","Click to download Image")</f>
      </c>
      <c r="B6630" s="0">
        <f>HYPERLINK("https://dl.dropboxusercontent.com/scl/fi/191iz5n0ghczycn6xibl0/mens-a.jpg?rlkey=08nhk92prwa42znmrbz9hj7wq&amp;dl=0","Click to download SizeChart")</f>
      </c>
      <c r="C6630" s="0" t="inlineStr">
        <is>
          <t>Brett Men's Half Zip Pullover</t>
        </is>
      </c>
      <c r="D6630" s="0" t="inlineStr">
        <is>
          <t>'104373</t>
        </is>
      </c>
      <c r="E6630" s="0" t="inlineStr">
        <is>
          <t>BRETT:104373C-L</t>
        </is>
      </c>
      <c r="F6630" s="0" t="inlineStr">
        <is>
          <t>'000000000000</t>
        </is>
      </c>
      <c r="G6630" s="0" t="inlineStr">
        <is>
          <t>MENS</t>
        </is>
      </c>
      <c r="I6630" s="0">
        <v>59.99</v>
      </c>
      <c r="J6630" s="0">
        <v>14</v>
      </c>
    </row>
    <row r="6631" spans="1:10" customHeight="0">
      <c r="A6631" s="0">
        <f>HYPERLINK("https://dl.dropboxusercontent.com/scl/fi/rw1zrxdk1c9o1150bnkjx/104373af.jpg?rlkey=765bjlnkdfckqf9vtns5hzq60&amp;dl=0","Click to download Image")</f>
      </c>
      <c r="B6631" s="0">
        <f>HYPERLINK("https://dl.dropboxusercontent.com/scl/fi/191iz5n0ghczycn6xibl0/mens-a.jpg?rlkey=08nhk92prwa42znmrbz9hj7wq&amp;dl=0","Click to download SizeChart")</f>
      </c>
      <c r="C6631" s="0" t="inlineStr">
        <is>
          <t>Brett Men's Half Zip Pullover</t>
        </is>
      </c>
      <c r="D6631" s="0" t="inlineStr">
        <is>
          <t>'104373</t>
        </is>
      </c>
      <c r="E6631" s="0" t="inlineStr">
        <is>
          <t>BRETT:104373D-XL</t>
        </is>
      </c>
      <c r="F6631" s="0" t="inlineStr">
        <is>
          <t>'000000000000</t>
        </is>
      </c>
      <c r="G6631" s="0" t="inlineStr">
        <is>
          <t>MENS</t>
        </is>
      </c>
      <c r="I6631" s="0">
        <v>59.99</v>
      </c>
      <c r="J6631" s="0">
        <v>0</v>
      </c>
    </row>
    <row r="6632" spans="1:10" customHeight="0">
      <c r="A6632" s="0">
        <f>HYPERLINK("https://dl.dropboxusercontent.com/scl/fi/rw1zrxdk1c9o1150bnkjx/104373af.jpg?rlkey=765bjlnkdfckqf9vtns5hzq60&amp;dl=0","Click to download Image")</f>
      </c>
      <c r="B6632" s="0">
        <f>HYPERLINK("https://dl.dropboxusercontent.com/scl/fi/191iz5n0ghczycn6xibl0/mens-a.jpg?rlkey=08nhk92prwa42znmrbz9hj7wq&amp;dl=0","Click to download SizeChart")</f>
      </c>
      <c r="C6632" s="0" t="inlineStr">
        <is>
          <t>Brett Men's Half Zip Pullover</t>
        </is>
      </c>
      <c r="D6632" s="0" t="inlineStr">
        <is>
          <t>'104373</t>
        </is>
      </c>
      <c r="E6632" s="0" t="inlineStr">
        <is>
          <t>BRETT:104373E-2XL</t>
        </is>
      </c>
      <c r="F6632" s="0" t="inlineStr">
        <is>
          <t>'000000000000</t>
        </is>
      </c>
      <c r="G6632" s="0" t="inlineStr">
        <is>
          <t>MENS</t>
        </is>
      </c>
      <c r="I6632" s="0">
        <v>59.99</v>
      </c>
      <c r="J6632" s="0">
        <v>23</v>
      </c>
    </row>
    <row r="6633" spans="1:10" customHeight="0">
      <c r="A6633" s="0">
        <f>HYPERLINK("https://dl.dropboxusercontent.com/scl/fi/rw1zrxdk1c9o1150bnkjx/104373af.jpg?rlkey=765bjlnkdfckqf9vtns5hzq60&amp;dl=0","Click to download Image")</f>
      </c>
      <c r="B6633" s="0">
        <f>HYPERLINK("https://dl.dropboxusercontent.com/scl/fi/191iz5n0ghczycn6xibl0/mens-a.jpg?rlkey=08nhk92prwa42znmrbz9hj7wq&amp;dl=0","Click to download SizeChart")</f>
      </c>
      <c r="C6633" s="0" t="inlineStr">
        <is>
          <t>Brett Men's Half Zip Pullover</t>
        </is>
      </c>
      <c r="D6633" s="0" t="inlineStr">
        <is>
          <t>'104373</t>
        </is>
      </c>
      <c r="E6633" s="0" t="inlineStr">
        <is>
          <t>BRETT:104373F-3XL</t>
        </is>
      </c>
      <c r="F6633" s="0" t="inlineStr">
        <is>
          <t>'000000000000</t>
        </is>
      </c>
      <c r="G6633" s="0" t="inlineStr">
        <is>
          <t>MENS</t>
        </is>
      </c>
      <c r="I6633" s="0">
        <v>59.99</v>
      </c>
      <c r="J6633" s="0">
        <v>14</v>
      </c>
    </row>
    <row r="6634" spans="1:10" customHeight="0">
      <c r="A6634" s="0">
        <f>HYPERLINK("https://dl.dropboxusercontent.com/scl/fi/i5u784gdp7fdoexkh26rt/104374af.jpg?rlkey=h1o8vyb98z4hfp24j6fwlc5o7&amp;dl=0","Click to download Image")</f>
      </c>
      <c r="B6634" s="0">
        <f>HYPERLINK("https://dl.dropboxusercontent.com/scl/fi/191iz5n0ghczycn6xibl0/mens-a.jpg?rlkey=08nhk92prwa42znmrbz9hj7wq&amp;dl=0","Click to download SizeChart")</f>
      </c>
      <c r="C6634" s="0" t="inlineStr">
        <is>
          <t>Brett Men's Half Zip Pullover</t>
        </is>
      </c>
      <c r="D6634" s="0" t="inlineStr">
        <is>
          <t>'104374</t>
        </is>
      </c>
      <c r="E6634" s="0" t="inlineStr">
        <is>
          <t>BRETT:104374A-S</t>
        </is>
      </c>
      <c r="F6634" s="0" t="inlineStr">
        <is>
          <t>'000000000000</t>
        </is>
      </c>
      <c r="G6634" s="0" t="inlineStr">
        <is>
          <t>MENS</t>
        </is>
      </c>
      <c r="I6634" s="0">
        <v>59.99</v>
      </c>
      <c r="J6634" s="0">
        <v>39</v>
      </c>
    </row>
    <row r="6635" spans="1:10" customHeight="0">
      <c r="A6635" s="0">
        <f>HYPERLINK("https://dl.dropboxusercontent.com/scl/fi/i5u784gdp7fdoexkh26rt/104374af.jpg?rlkey=h1o8vyb98z4hfp24j6fwlc5o7&amp;dl=0","Click to download Image")</f>
      </c>
      <c r="B6635" s="0">
        <f>HYPERLINK("https://dl.dropboxusercontent.com/scl/fi/191iz5n0ghczycn6xibl0/mens-a.jpg?rlkey=08nhk92prwa42znmrbz9hj7wq&amp;dl=0","Click to download SizeChart")</f>
      </c>
      <c r="C6635" s="0" t="inlineStr">
        <is>
          <t>Brett Men's Half Zip Pullover</t>
        </is>
      </c>
      <c r="D6635" s="0" t="inlineStr">
        <is>
          <t>'104374</t>
        </is>
      </c>
      <c r="E6635" s="0" t="inlineStr">
        <is>
          <t>BRETT:104374B-M</t>
        </is>
      </c>
      <c r="F6635" s="0" t="inlineStr">
        <is>
          <t>'000000000000</t>
        </is>
      </c>
      <c r="G6635" s="0" t="inlineStr">
        <is>
          <t>MENS</t>
        </is>
      </c>
      <c r="I6635" s="0">
        <v>59.99</v>
      </c>
      <c r="J6635" s="0">
        <v>41</v>
      </c>
    </row>
    <row r="6636" spans="1:10" customHeight="0">
      <c r="A6636" s="0">
        <f>HYPERLINK("https://dl.dropboxusercontent.com/scl/fi/i5u784gdp7fdoexkh26rt/104374af.jpg?rlkey=h1o8vyb98z4hfp24j6fwlc5o7&amp;dl=0","Click to download Image")</f>
      </c>
      <c r="B6636" s="0">
        <f>HYPERLINK("https://dl.dropboxusercontent.com/scl/fi/191iz5n0ghczycn6xibl0/mens-a.jpg?rlkey=08nhk92prwa42znmrbz9hj7wq&amp;dl=0","Click to download SizeChart")</f>
      </c>
      <c r="C6636" s="0" t="inlineStr">
        <is>
          <t>Brett Men's Half Zip Pullover</t>
        </is>
      </c>
      <c r="D6636" s="0" t="inlineStr">
        <is>
          <t>'104374</t>
        </is>
      </c>
      <c r="E6636" s="0" t="inlineStr">
        <is>
          <t>BRETT:104374C-L</t>
        </is>
      </c>
      <c r="F6636" s="0" t="inlineStr">
        <is>
          <t>'000000000000</t>
        </is>
      </c>
      <c r="G6636" s="0" t="inlineStr">
        <is>
          <t>MENS</t>
        </is>
      </c>
      <c r="I6636" s="0">
        <v>59.99</v>
      </c>
      <c r="J6636" s="0">
        <v>16</v>
      </c>
    </row>
    <row r="6637" spans="1:10" customHeight="0">
      <c r="A6637" s="0">
        <f>HYPERLINK("https://dl.dropboxusercontent.com/scl/fi/i5u784gdp7fdoexkh26rt/104374af.jpg?rlkey=h1o8vyb98z4hfp24j6fwlc5o7&amp;dl=0","Click to download Image")</f>
      </c>
      <c r="B6637" s="0">
        <f>HYPERLINK("https://dl.dropboxusercontent.com/scl/fi/191iz5n0ghczycn6xibl0/mens-a.jpg?rlkey=08nhk92prwa42znmrbz9hj7wq&amp;dl=0","Click to download SizeChart")</f>
      </c>
      <c r="C6637" s="0" t="inlineStr">
        <is>
          <t>Brett Men's Half Zip Pullover</t>
        </is>
      </c>
      <c r="D6637" s="0" t="inlineStr">
        <is>
          <t>'104374</t>
        </is>
      </c>
      <c r="E6637" s="0" t="inlineStr">
        <is>
          <t>BRETT:104374D-XL</t>
        </is>
      </c>
      <c r="F6637" s="0" t="inlineStr">
        <is>
          <t>'000000000000</t>
        </is>
      </c>
      <c r="G6637" s="0" t="inlineStr">
        <is>
          <t>MENS</t>
        </is>
      </c>
      <c r="I6637" s="0">
        <v>59.99</v>
      </c>
      <c r="J6637" s="0">
        <v>12</v>
      </c>
    </row>
    <row r="6638" spans="1:10" customHeight="0">
      <c r="A6638" s="0">
        <f>HYPERLINK("https://dl.dropboxusercontent.com/scl/fi/i5u784gdp7fdoexkh26rt/104374af.jpg?rlkey=h1o8vyb98z4hfp24j6fwlc5o7&amp;dl=0","Click to download Image")</f>
      </c>
      <c r="B6638" s="0">
        <f>HYPERLINK("https://dl.dropboxusercontent.com/scl/fi/191iz5n0ghczycn6xibl0/mens-a.jpg?rlkey=08nhk92prwa42znmrbz9hj7wq&amp;dl=0","Click to download SizeChart")</f>
      </c>
      <c r="C6638" s="0" t="inlineStr">
        <is>
          <t>Brett Men's Half Zip Pullover</t>
        </is>
      </c>
      <c r="D6638" s="0" t="inlineStr">
        <is>
          <t>'104374</t>
        </is>
      </c>
      <c r="E6638" s="0" t="inlineStr">
        <is>
          <t>BRETT:104374E-2XL</t>
        </is>
      </c>
      <c r="F6638" s="0" t="inlineStr">
        <is>
          <t>'000000000000</t>
        </is>
      </c>
      <c r="G6638" s="0" t="inlineStr">
        <is>
          <t>MENS</t>
        </is>
      </c>
      <c r="I6638" s="0">
        <v>59.99</v>
      </c>
      <c r="J6638" s="0">
        <v>33</v>
      </c>
    </row>
    <row r="6639" spans="1:10" customHeight="0">
      <c r="A6639" s="0">
        <f>HYPERLINK("https://dl.dropboxusercontent.com/scl/fi/i5u784gdp7fdoexkh26rt/104374af.jpg?rlkey=h1o8vyb98z4hfp24j6fwlc5o7&amp;dl=0","Click to download Image")</f>
      </c>
      <c r="B6639" s="0">
        <f>HYPERLINK("https://dl.dropboxusercontent.com/scl/fi/191iz5n0ghczycn6xibl0/mens-a.jpg?rlkey=08nhk92prwa42znmrbz9hj7wq&amp;dl=0","Click to download SizeChart")</f>
      </c>
      <c r="C6639" s="0" t="inlineStr">
        <is>
          <t>Brett Men's Half Zip Pullover</t>
        </is>
      </c>
      <c r="D6639" s="0" t="inlineStr">
        <is>
          <t>'104374</t>
        </is>
      </c>
      <c r="E6639" s="0" t="inlineStr">
        <is>
          <t>BRETT:104374F-3XL</t>
        </is>
      </c>
      <c r="F6639" s="0" t="inlineStr">
        <is>
          <t>'000000000000</t>
        </is>
      </c>
      <c r="G6639" s="0" t="inlineStr">
        <is>
          <t>MENS</t>
        </is>
      </c>
      <c r="I6639" s="0">
        <v>59.99</v>
      </c>
      <c r="J6639" s="0">
        <v>37</v>
      </c>
    </row>
    <row r="6640" spans="1:10" customHeight="0">
      <c r="A6640" s="0">
        <f>HYPERLINK("https://dl.dropboxusercontent.com/scl/fi/gcjpspnd7qcovatd7v1mo/120426-af.jpg?rlkey=peblnzp1tm9xu723r2jswshff&amp;dl=0","Click to download Image")</f>
      </c>
      <c r="C6640" s="0" t="inlineStr">
        <is>
          <t>Patriotic USA Flag Adult Neck Sleeve</t>
        </is>
      </c>
      <c r="D6640" s="0" t="inlineStr">
        <is>
          <t>'120426</t>
        </is>
      </c>
      <c r="E6640" s="0" t="inlineStr">
        <is>
          <t>USA NECK SLEEVE:120426</t>
        </is>
      </c>
      <c r="F6640" s="0" t="inlineStr">
        <is>
          <t>'898120426349</t>
        </is>
      </c>
      <c r="H6640" s="0" t="inlineStr">
        <is>
          <t>OSFM</t>
        </is>
      </c>
      <c r="I6640" s="0">
        <v>19.99</v>
      </c>
      <c r="J6640" s="0">
        <v>1579</v>
      </c>
    </row>
    <row r="6641" spans="1:10" customHeight="0">
      <c r="A6641" s="0">
        <f>HYPERLINK("https://dl.dropboxusercontent.com/scl/fi/lx3xabvgnzocp1qhvplkh/gradyt.jpg?rlkey=8obw6ag9ykwgkc0bwn1pnfspz&amp;dl=0","Click to download Image")</f>
      </c>
      <c r="C6641" s="0" t="inlineStr">
        <is>
          <t>Grady Men's Hoodie</t>
        </is>
      </c>
      <c r="D6641" s="0" t="inlineStr">
        <is>
          <t>'99429</t>
        </is>
      </c>
      <c r="E6641" s="0" t="inlineStr">
        <is>
          <t>GRADY:99429A-S</t>
        </is>
      </c>
      <c r="F6641" s="0" t="inlineStr">
        <is>
          <t>'000000000000</t>
        </is>
      </c>
      <c r="G6641" s="0" t="inlineStr">
        <is>
          <t>MENS</t>
        </is>
      </c>
      <c r="H6641" s="0" t="inlineStr">
        <is>
          <t>S</t>
        </is>
      </c>
      <c r="I6641" s="0">
        <v>39.99</v>
      </c>
      <c r="J6641" s="0">
        <v>11</v>
      </c>
    </row>
    <row r="6642" spans="1:10" customHeight="0">
      <c r="A6642" s="0">
        <f>HYPERLINK("https://dl.dropboxusercontent.com/scl/fi/lx3xabvgnzocp1qhvplkh/gradyt.jpg?rlkey=8obw6ag9ykwgkc0bwn1pnfspz&amp;dl=0","Click to download Image")</f>
      </c>
      <c r="C6642" s="0" t="inlineStr">
        <is>
          <t>Grady Men's Hoodie</t>
        </is>
      </c>
      <c r="D6642" s="0" t="inlineStr">
        <is>
          <t>'99429</t>
        </is>
      </c>
      <c r="E6642" s="0" t="inlineStr">
        <is>
          <t>GRADY:99429F-3XL</t>
        </is>
      </c>
      <c r="F6642" s="0" t="inlineStr">
        <is>
          <t>'000000000000</t>
        </is>
      </c>
      <c r="G6642" s="0" t="inlineStr">
        <is>
          <t>MENS</t>
        </is>
      </c>
      <c r="H6642" s="0" t="inlineStr">
        <is>
          <t>3XL</t>
        </is>
      </c>
      <c r="I6642" s="0">
        <v>41.99</v>
      </c>
      <c r="J6642" s="0">
        <v>11</v>
      </c>
    </row>
    <row r="6643" spans="1:10" customHeight="0">
      <c r="A6643" s="0">
        <f>HYPERLINK("https://dl.dropboxusercontent.com/scl/fi/7hzvarnknxb8kix2d0a8e/99146af.jpg?rlkey=p2q3jhw07tuch7h7qkf81bb31&amp;dl=0","Click to download Image")</f>
      </c>
      <c r="B6643" s="0">
        <f>HYPERLINK("https://dl.dropboxusercontent.com/scl/fi/1ggyeejyqd2dk7zu7b61y/mens-a.jpg?rlkey=xibnc6sipduxy9qpycciymi8t&amp;dl=0","Click to download SizeChart")</f>
      </c>
      <c r="C6643" s="0" t="inlineStr">
        <is>
          <t>Curtis Men's Button Down</t>
        </is>
      </c>
      <c r="D6643" s="0" t="inlineStr">
        <is>
          <t>'99146</t>
        </is>
      </c>
      <c r="E6643" s="0" t="inlineStr">
        <is>
          <t>CURTIS:99146A-S</t>
        </is>
      </c>
      <c r="F6643" s="0" t="inlineStr">
        <is>
          <t>'000000000000</t>
        </is>
      </c>
      <c r="G6643" s="0" t="inlineStr">
        <is>
          <t>MENS</t>
        </is>
      </c>
      <c r="H6643" s="0" t="inlineStr">
        <is>
          <t>S</t>
        </is>
      </c>
      <c r="I6643" s="0">
        <v>29.99</v>
      </c>
      <c r="J6643" s="0">
        <v>67</v>
      </c>
    </row>
    <row r="6644" spans="1:10" customHeight="0">
      <c r="A6644" s="0">
        <f>HYPERLINK("https://dl.dropboxusercontent.com/scl/fi/7hzvarnknxb8kix2d0a8e/99146af.jpg?rlkey=p2q3jhw07tuch7h7qkf81bb31&amp;dl=0","Click to download Image")</f>
      </c>
      <c r="B6644" s="0">
        <f>HYPERLINK("https://dl.dropboxusercontent.com/scl/fi/1ggyeejyqd2dk7zu7b61y/mens-a.jpg?rlkey=xibnc6sipduxy9qpycciymi8t&amp;dl=0","Click to download SizeChart")</f>
      </c>
      <c r="C6644" s="0" t="inlineStr">
        <is>
          <t>Curtis Men's Button Down</t>
        </is>
      </c>
      <c r="D6644" s="0" t="inlineStr">
        <is>
          <t>'99146</t>
        </is>
      </c>
      <c r="E6644" s="0" t="inlineStr">
        <is>
          <t>CURTIS:99146B-M</t>
        </is>
      </c>
      <c r="F6644" s="0" t="inlineStr">
        <is>
          <t>'000000000000</t>
        </is>
      </c>
      <c r="G6644" s="0" t="inlineStr">
        <is>
          <t>MENS</t>
        </is>
      </c>
      <c r="H6644" s="0" t="inlineStr">
        <is>
          <t>M</t>
        </is>
      </c>
      <c r="I6644" s="0">
        <v>29.99</v>
      </c>
      <c r="J6644" s="0">
        <v>70</v>
      </c>
    </row>
    <row r="6645" spans="1:10" customHeight="0">
      <c r="A6645" s="0">
        <f>HYPERLINK("https://dl.dropboxusercontent.com/scl/fi/7hzvarnknxb8kix2d0a8e/99146af.jpg?rlkey=p2q3jhw07tuch7h7qkf81bb31&amp;dl=0","Click to download Image")</f>
      </c>
      <c r="B6645" s="0">
        <f>HYPERLINK("https://dl.dropboxusercontent.com/scl/fi/1ggyeejyqd2dk7zu7b61y/mens-a.jpg?rlkey=xibnc6sipduxy9qpycciymi8t&amp;dl=0","Click to download SizeChart")</f>
      </c>
      <c r="C6645" s="0" t="inlineStr">
        <is>
          <t>Curtis Men's Button Down</t>
        </is>
      </c>
      <c r="D6645" s="0" t="inlineStr">
        <is>
          <t>'99146</t>
        </is>
      </c>
      <c r="E6645" s="0" t="inlineStr">
        <is>
          <t>CURTIS:99146C-L</t>
        </is>
      </c>
      <c r="F6645" s="0" t="inlineStr">
        <is>
          <t>'000000000000</t>
        </is>
      </c>
      <c r="G6645" s="0" t="inlineStr">
        <is>
          <t>MENS</t>
        </is>
      </c>
      <c r="H6645" s="0" t="inlineStr">
        <is>
          <t>L</t>
        </is>
      </c>
      <c r="I6645" s="0">
        <v>29.99</v>
      </c>
      <c r="J6645" s="0">
        <v>79</v>
      </c>
    </row>
    <row r="6646" spans="1:10" customHeight="0">
      <c r="A6646" s="0">
        <f>HYPERLINK("https://dl.dropboxusercontent.com/scl/fi/7hzvarnknxb8kix2d0a8e/99146af.jpg?rlkey=p2q3jhw07tuch7h7qkf81bb31&amp;dl=0","Click to download Image")</f>
      </c>
      <c r="B6646" s="0">
        <f>HYPERLINK("https://dl.dropboxusercontent.com/scl/fi/1ggyeejyqd2dk7zu7b61y/mens-a.jpg?rlkey=xibnc6sipduxy9qpycciymi8t&amp;dl=0","Click to download SizeChart")</f>
      </c>
      <c r="C6646" s="0" t="inlineStr">
        <is>
          <t>Curtis Men's Button Down</t>
        </is>
      </c>
      <c r="D6646" s="0" t="inlineStr">
        <is>
          <t>'99146</t>
        </is>
      </c>
      <c r="E6646" s="0" t="inlineStr">
        <is>
          <t>CURTIS:99146D-XL</t>
        </is>
      </c>
      <c r="F6646" s="0" t="inlineStr">
        <is>
          <t>'000000000000</t>
        </is>
      </c>
      <c r="G6646" s="0" t="inlineStr">
        <is>
          <t>MENS</t>
        </is>
      </c>
      <c r="H6646" s="0" t="inlineStr">
        <is>
          <t>XL</t>
        </is>
      </c>
      <c r="I6646" s="0">
        <v>29.99</v>
      </c>
      <c r="J6646" s="0">
        <v>87</v>
      </c>
    </row>
    <row r="6647" spans="1:10" customHeight="0">
      <c r="A6647" s="0">
        <f>HYPERLINK("https://dl.dropboxusercontent.com/scl/fi/7hzvarnknxb8kix2d0a8e/99146af.jpg?rlkey=p2q3jhw07tuch7h7qkf81bb31&amp;dl=0","Click to download Image")</f>
      </c>
      <c r="B6647" s="0">
        <f>HYPERLINK("https://dl.dropboxusercontent.com/scl/fi/1ggyeejyqd2dk7zu7b61y/mens-a.jpg?rlkey=xibnc6sipduxy9qpycciymi8t&amp;dl=0","Click to download SizeChart")</f>
      </c>
      <c r="C6647" s="0" t="inlineStr">
        <is>
          <t>Curtis Men's Button Down</t>
        </is>
      </c>
      <c r="D6647" s="0" t="inlineStr">
        <is>
          <t>'99146</t>
        </is>
      </c>
      <c r="E6647" s="0" t="inlineStr">
        <is>
          <t>CURTIS:99146E-2XL</t>
        </is>
      </c>
      <c r="F6647" s="0" t="inlineStr">
        <is>
          <t>'000000000000</t>
        </is>
      </c>
      <c r="G6647" s="0" t="inlineStr">
        <is>
          <t>MENS</t>
        </is>
      </c>
      <c r="H6647" s="0" t="inlineStr">
        <is>
          <t>2XL</t>
        </is>
      </c>
      <c r="I6647" s="0">
        <v>31.99</v>
      </c>
      <c r="J6647" s="0">
        <v>49</v>
      </c>
    </row>
    <row r="6648" spans="1:10" customHeight="0">
      <c r="A6648" s="0">
        <f>HYPERLINK("https://dl.dropboxusercontent.com/scl/fi/7hzvarnknxb8kix2d0a8e/99146af.jpg?rlkey=p2q3jhw07tuch7h7qkf81bb31&amp;dl=0","Click to download Image")</f>
      </c>
      <c r="B6648" s="0">
        <f>HYPERLINK("https://dl.dropboxusercontent.com/scl/fi/1ggyeejyqd2dk7zu7b61y/mens-a.jpg?rlkey=xibnc6sipduxy9qpycciymi8t&amp;dl=0","Click to download SizeChart")</f>
      </c>
      <c r="C6648" s="0" t="inlineStr">
        <is>
          <t>Curtis Men's Button Down</t>
        </is>
      </c>
      <c r="D6648" s="0" t="inlineStr">
        <is>
          <t>'99146</t>
        </is>
      </c>
      <c r="E6648" s="0" t="inlineStr">
        <is>
          <t>CURTIS:99146F-3XL</t>
        </is>
      </c>
      <c r="F6648" s="0" t="inlineStr">
        <is>
          <t>'000000000000</t>
        </is>
      </c>
      <c r="G6648" s="0" t="inlineStr">
        <is>
          <t>MENS</t>
        </is>
      </c>
      <c r="H6648" s="0" t="inlineStr">
        <is>
          <t>3XL</t>
        </is>
      </c>
      <c r="I6648" s="0">
        <v>31.99</v>
      </c>
      <c r="J6648" s="0">
        <v>3</v>
      </c>
    </row>
    <row r="6649" spans="1:10" customHeight="0">
      <c r="A6649" s="0">
        <f>HYPERLINK("https://dl.dropboxusercontent.com/scl/fi/lggcjwkl7qy4g5n685lvk/neck-sleeves-03.jpg?rlkey=397i6vzyslf26i90ik7von60d&amp;dl=0","Click to download Image")</f>
      </c>
      <c r="C6649" s="0" t="inlineStr">
        <is>
          <t>Licensed Camo Youth Neck Sleeve</t>
        </is>
      </c>
      <c r="D6649" s="0" t="inlineStr">
        <is>
          <t>'120579</t>
        </is>
      </c>
      <c r="E6649" s="0" t="inlineStr">
        <is>
          <t>REAL TREE CAMO YOUTH (120579)</t>
        </is>
      </c>
      <c r="F6649" s="0" t="inlineStr">
        <is>
          <t>'898120579342</t>
        </is>
      </c>
      <c r="H6649" s="0" t="inlineStr">
        <is>
          <t>OSFM</t>
        </is>
      </c>
      <c r="I6649" s="0">
        <v>19.99</v>
      </c>
      <c r="J6649" s="0">
        <v>2935</v>
      </c>
    </row>
    <row r="6650" spans="1:10" customHeight="0">
      <c r="A6650" s="0">
        <f>HYPERLINK("https://dl.dropboxusercontent.com/scl/fi/izv0q1nfrqx7f0uowq9zg/neck-sleeves-04.jpg?rlkey=84yzg0g42m88hjxnlbrx7megm&amp;dl=0","Click to download Image")</f>
      </c>
      <c r="C6650" s="0" t="inlineStr">
        <is>
          <t>Licensed Camo Youth Neck Sleeve</t>
        </is>
      </c>
      <c r="D6650" s="0" t="inlineStr">
        <is>
          <t>'121960</t>
        </is>
      </c>
      <c r="E6650" s="0" t="inlineStr">
        <is>
          <t>MO BREAKUP NS YTH:121960</t>
        </is>
      </c>
      <c r="F6650" s="0" t="inlineStr">
        <is>
          <t>'898121960347</t>
        </is>
      </c>
      <c r="H6650" s="0" t="inlineStr">
        <is>
          <t>OSFM</t>
        </is>
      </c>
      <c r="I6650" s="0">
        <v>19.99</v>
      </c>
      <c r="J6650" s="0">
        <v>790</v>
      </c>
    </row>
    <row r="6651" spans="1:10" customHeight="0">
      <c r="A6651" s="0">
        <f>HYPERLINK("https://dl.dropboxusercontent.com/scl/fi/eleug45vj0xkai7oq0buh/neck-sleeves-05.jpg?rlkey=egrx11zc0vja011jza6n7j5ml&amp;dl=0","Click to download Image")</f>
      </c>
      <c r="C6651" s="0" t="inlineStr">
        <is>
          <t>Licensed Camo Youth Neck Sleeve</t>
        </is>
      </c>
      <c r="D6651" s="0" t="inlineStr">
        <is>
          <t>'122245</t>
        </is>
      </c>
      <c r="E6651" s="0" t="inlineStr">
        <is>
          <t>MO BLUEFIN NECK SLEEVE:122245</t>
        </is>
      </c>
      <c r="F6651" s="0" t="inlineStr">
        <is>
          <t>'898122245061</t>
        </is>
      </c>
      <c r="H6651" s="0" t="inlineStr">
        <is>
          <t>OSFM</t>
        </is>
      </c>
      <c r="I6651" s="0">
        <v>19.99</v>
      </c>
      <c r="J6651" s="0">
        <v>1100</v>
      </c>
    </row>
    <row r="6652" spans="1:10" customHeight="0">
      <c r="A6652" s="0">
        <f>HYPERLINK("https://dl.dropboxusercontent.com/scl/fi/hupgyi2qgw98cjcuktc9q/neck-sleeves-06.jpg?rlkey=4lxqd011y56tnyjxq7shgxwff&amp;dl=0","Click to download Image")</f>
      </c>
      <c r="C6652" s="0" t="inlineStr">
        <is>
          <t>Licensed Camo Youth Neck Sleeve</t>
        </is>
      </c>
      <c r="D6652" s="0" t="inlineStr">
        <is>
          <t>'121959</t>
        </is>
      </c>
      <c r="E6652" s="0" t="inlineStr">
        <is>
          <t>MO ELEME STONE YTH:121959</t>
        </is>
      </c>
      <c r="F6652" s="0" t="inlineStr">
        <is>
          <t>'898121959341</t>
        </is>
      </c>
      <c r="H6652" s="0" t="inlineStr">
        <is>
          <t>OSFM</t>
        </is>
      </c>
      <c r="I6652" s="0">
        <v>19.99</v>
      </c>
      <c r="J6652" s="0">
        <v>280</v>
      </c>
    </row>
    <row r="6653" spans="1:10" customHeight="0">
      <c r="A6653" s="0">
        <f>HYPERLINK("https://dl.dropboxusercontent.com/scl/fi/u6wudnd51fnugurzitl8m/99147af.jpg?rlkey=6u8gmtkns4xutdmqlg03acnrh&amp;dl=0","Click to download Image")</f>
      </c>
      <c r="B6653" s="0">
        <f>HYPERLINK("https://dl.dropboxusercontent.com/scl/fi/0s1sg6xpavifdyyqa7hfg/size-chartladies-c.jpg?rlkey=fivngqca5n5j6kheml8snuih4&amp;dl=0","Click to download SizeChart")</f>
      </c>
      <c r="C6653" s="0" t="inlineStr">
        <is>
          <t>Carla Women's Button Down</t>
        </is>
      </c>
      <c r="D6653" s="0" t="inlineStr">
        <is>
          <t>'99147</t>
        </is>
      </c>
      <c r="E6653" s="0" t="inlineStr">
        <is>
          <t>CARLA:99147A-S</t>
        </is>
      </c>
      <c r="F6653" s="0" t="inlineStr">
        <is>
          <t>'000000000000</t>
        </is>
      </c>
      <c r="G6653" s="0" t="inlineStr">
        <is>
          <t>WOMENS</t>
        </is>
      </c>
      <c r="H6653" s="0" t="inlineStr">
        <is>
          <t>S</t>
        </is>
      </c>
      <c r="I6653" s="0">
        <v>29.99</v>
      </c>
      <c r="J6653" s="0">
        <v>79</v>
      </c>
    </row>
    <row r="6654" spans="1:10" customHeight="0">
      <c r="A6654" s="0">
        <f>HYPERLINK("https://dl.dropboxusercontent.com/scl/fi/u6wudnd51fnugurzitl8m/99147af.jpg?rlkey=6u8gmtkns4xutdmqlg03acnrh&amp;dl=0","Click to download Image")</f>
      </c>
      <c r="B6654" s="0">
        <f>HYPERLINK("https://dl.dropboxusercontent.com/scl/fi/0s1sg6xpavifdyyqa7hfg/size-chartladies-c.jpg?rlkey=fivngqca5n5j6kheml8snuih4&amp;dl=0","Click to download SizeChart")</f>
      </c>
      <c r="C6654" s="0" t="inlineStr">
        <is>
          <t>Carla Women's Button Down</t>
        </is>
      </c>
      <c r="D6654" s="0" t="inlineStr">
        <is>
          <t>'99147</t>
        </is>
      </c>
      <c r="E6654" s="0" t="inlineStr">
        <is>
          <t>CARLA:99147B-M</t>
        </is>
      </c>
      <c r="F6654" s="0" t="inlineStr">
        <is>
          <t>'000000000000</t>
        </is>
      </c>
      <c r="G6654" s="0" t="inlineStr">
        <is>
          <t>WOMENS</t>
        </is>
      </c>
      <c r="H6654" s="0" t="inlineStr">
        <is>
          <t>M</t>
        </is>
      </c>
      <c r="I6654" s="0">
        <v>29.99</v>
      </c>
      <c r="J6654" s="0">
        <v>99</v>
      </c>
    </row>
    <row r="6655" spans="1:10" customHeight="0">
      <c r="A6655" s="0">
        <f>HYPERLINK("https://dl.dropboxusercontent.com/scl/fi/u6wudnd51fnugurzitl8m/99147af.jpg?rlkey=6u8gmtkns4xutdmqlg03acnrh&amp;dl=0","Click to download Image")</f>
      </c>
      <c r="B6655" s="0">
        <f>HYPERLINK("https://dl.dropboxusercontent.com/scl/fi/0s1sg6xpavifdyyqa7hfg/size-chartladies-c.jpg?rlkey=fivngqca5n5j6kheml8snuih4&amp;dl=0","Click to download SizeChart")</f>
      </c>
      <c r="C6655" s="0" t="inlineStr">
        <is>
          <t>Carla Women's Button Down</t>
        </is>
      </c>
      <c r="D6655" s="0" t="inlineStr">
        <is>
          <t>'99147</t>
        </is>
      </c>
      <c r="E6655" s="0" t="inlineStr">
        <is>
          <t>CARLA:99147C-L</t>
        </is>
      </c>
      <c r="F6655" s="0" t="inlineStr">
        <is>
          <t>'000000000000</t>
        </is>
      </c>
      <c r="G6655" s="0" t="inlineStr">
        <is>
          <t>WOMENS</t>
        </is>
      </c>
      <c r="H6655" s="0" t="inlineStr">
        <is>
          <t>L</t>
        </is>
      </c>
      <c r="I6655" s="0">
        <v>29.99</v>
      </c>
      <c r="J6655" s="0">
        <v>105</v>
      </c>
    </row>
    <row r="6656" spans="1:10" customHeight="0">
      <c r="A6656" s="0">
        <f>HYPERLINK("https://dl.dropboxusercontent.com/scl/fi/u6wudnd51fnugurzitl8m/99147af.jpg?rlkey=6u8gmtkns4xutdmqlg03acnrh&amp;dl=0","Click to download Image")</f>
      </c>
      <c r="B6656" s="0">
        <f>HYPERLINK("https://dl.dropboxusercontent.com/scl/fi/0s1sg6xpavifdyyqa7hfg/size-chartladies-c.jpg?rlkey=fivngqca5n5j6kheml8snuih4&amp;dl=0","Click to download SizeChart")</f>
      </c>
      <c r="C6656" s="0" t="inlineStr">
        <is>
          <t>Carla Women's Button Down</t>
        </is>
      </c>
      <c r="D6656" s="0" t="inlineStr">
        <is>
          <t>'99147</t>
        </is>
      </c>
      <c r="E6656" s="0" t="inlineStr">
        <is>
          <t>CARLA:99147D-XL</t>
        </is>
      </c>
      <c r="F6656" s="0" t="inlineStr">
        <is>
          <t>'000000000000</t>
        </is>
      </c>
      <c r="G6656" s="0" t="inlineStr">
        <is>
          <t>WOMENS</t>
        </is>
      </c>
      <c r="H6656" s="0" t="inlineStr">
        <is>
          <t>XL</t>
        </is>
      </c>
      <c r="I6656" s="0">
        <v>29.99</v>
      </c>
      <c r="J6656" s="0">
        <v>107</v>
      </c>
    </row>
    <row r="6657" spans="1:10" customHeight="0">
      <c r="A6657" s="0">
        <f>HYPERLINK("https://dl.dropboxusercontent.com/scl/fi/u6wudnd51fnugurzitl8m/99147af.jpg?rlkey=6u8gmtkns4xutdmqlg03acnrh&amp;dl=0","Click to download Image")</f>
      </c>
      <c r="B6657" s="0">
        <f>HYPERLINK("https://dl.dropboxusercontent.com/scl/fi/0s1sg6xpavifdyyqa7hfg/size-chartladies-c.jpg?rlkey=fivngqca5n5j6kheml8snuih4&amp;dl=0","Click to download SizeChart")</f>
      </c>
      <c r="C6657" s="0" t="inlineStr">
        <is>
          <t>Carla Women's Button Down</t>
        </is>
      </c>
      <c r="D6657" s="0" t="inlineStr">
        <is>
          <t>'99147</t>
        </is>
      </c>
      <c r="E6657" s="0" t="inlineStr">
        <is>
          <t>CARLA:99147E-2XL</t>
        </is>
      </c>
      <c r="F6657" s="0" t="inlineStr">
        <is>
          <t>'000000000000</t>
        </is>
      </c>
      <c r="G6657" s="0" t="inlineStr">
        <is>
          <t>WOMENS</t>
        </is>
      </c>
      <c r="H6657" s="0" t="inlineStr">
        <is>
          <t>2XL</t>
        </is>
      </c>
      <c r="I6657" s="0">
        <v>31.99</v>
      </c>
      <c r="J6657" s="0">
        <v>76</v>
      </c>
    </row>
    <row r="6658" spans="1:10" customHeight="0">
      <c r="A6658" s="0">
        <f>HYPERLINK("https://dl.dropboxusercontent.com/scl/fi/u6wudnd51fnugurzitl8m/99147af.jpg?rlkey=6u8gmtkns4xutdmqlg03acnrh&amp;dl=0","Click to download Image")</f>
      </c>
      <c r="B6658" s="0">
        <f>HYPERLINK("https://dl.dropboxusercontent.com/scl/fi/0s1sg6xpavifdyyqa7hfg/size-chartladies-c.jpg?rlkey=fivngqca5n5j6kheml8snuih4&amp;dl=0","Click to download SizeChart")</f>
      </c>
      <c r="C6658" s="0" t="inlineStr">
        <is>
          <t>Carla Women's Button Down</t>
        </is>
      </c>
      <c r="D6658" s="0" t="inlineStr">
        <is>
          <t>'99147</t>
        </is>
      </c>
      <c r="E6658" s="0" t="inlineStr">
        <is>
          <t>CARLA:99147F-3XL</t>
        </is>
      </c>
      <c r="F6658" s="0" t="inlineStr">
        <is>
          <t>'000000000000</t>
        </is>
      </c>
      <c r="G6658" s="0" t="inlineStr">
        <is>
          <t>WOMENS</t>
        </is>
      </c>
      <c r="H6658" s="0" t="inlineStr">
        <is>
          <t>3XL</t>
        </is>
      </c>
      <c r="I6658" s="0">
        <v>31.99</v>
      </c>
      <c r="J6658" s="0">
        <v>7</v>
      </c>
    </row>
    <row r="6659" spans="1:10" customHeight="0">
      <c r="A6659" s="0">
        <f>HYPERLINK("https://dl.dropboxusercontent.com/scl/fi/tqjk9lj6nsnu7iw2003tn/96920f.jpg?rlkey=zauzig91maphf9jgvnpvpw7cu&amp;dl=0","Click to download Image")</f>
      </c>
      <c r="B6659" s="0">
        <f>HYPERLINK("https://dl.dropboxusercontent.com/scl/fi/czwlrwlx4170wtwhleccc/size-chartladies-c.jpg?rlkey=rrrvu9gmkp7fq4mbiz7e5l4ym&amp;dl=0","Click to download SizeChart")</f>
      </c>
      <c r="C6659" s="0" t="inlineStr">
        <is>
          <t>Ally Tie-Bank Women's Tank</t>
        </is>
      </c>
      <c r="D6659" s="0" t="inlineStr">
        <is>
          <t>'96920</t>
        </is>
      </c>
      <c r="E6659" s="0" t="inlineStr">
        <is>
          <t>ALLY:96920A-S</t>
        </is>
      </c>
      <c r="F6659" s="0" t="inlineStr">
        <is>
          <t>'000000000000</t>
        </is>
      </c>
      <c r="G6659" s="0" t="inlineStr">
        <is>
          <t>WOMENS</t>
        </is>
      </c>
      <c r="H6659" s="0" t="inlineStr">
        <is>
          <t>S</t>
        </is>
      </c>
      <c r="I6659" s="0">
        <v>44.99</v>
      </c>
      <c r="J6659" s="0">
        <v>41</v>
      </c>
    </row>
    <row r="6660" spans="1:10" customHeight="0">
      <c r="A6660" s="0">
        <f>HYPERLINK("https://dl.dropboxusercontent.com/scl/fi/tqjk9lj6nsnu7iw2003tn/96920f.jpg?rlkey=zauzig91maphf9jgvnpvpw7cu&amp;dl=0","Click to download Image")</f>
      </c>
      <c r="B6660" s="0">
        <f>HYPERLINK("https://dl.dropboxusercontent.com/scl/fi/czwlrwlx4170wtwhleccc/size-chartladies-c.jpg?rlkey=rrrvu9gmkp7fq4mbiz7e5l4ym&amp;dl=0","Click to download SizeChart")</f>
      </c>
      <c r="C6660" s="0" t="inlineStr">
        <is>
          <t>Ally Tie-Bank Women's Tank</t>
        </is>
      </c>
      <c r="D6660" s="0" t="inlineStr">
        <is>
          <t>'96920</t>
        </is>
      </c>
      <c r="E6660" s="0" t="inlineStr">
        <is>
          <t>ALLY:96920B-M</t>
        </is>
      </c>
      <c r="F6660" s="0" t="inlineStr">
        <is>
          <t>'000000000000</t>
        </is>
      </c>
      <c r="G6660" s="0" t="inlineStr">
        <is>
          <t>WOMENS</t>
        </is>
      </c>
      <c r="H6660" s="0" t="inlineStr">
        <is>
          <t>M</t>
        </is>
      </c>
      <c r="I6660" s="0">
        <v>44.99</v>
      </c>
      <c r="J6660" s="0">
        <v>48</v>
      </c>
    </row>
    <row r="6661" spans="1:10" customHeight="0">
      <c r="A6661" s="0">
        <f>HYPERLINK("https://dl.dropboxusercontent.com/scl/fi/tqjk9lj6nsnu7iw2003tn/96920f.jpg?rlkey=zauzig91maphf9jgvnpvpw7cu&amp;dl=0","Click to download Image")</f>
      </c>
      <c r="B6661" s="0">
        <f>HYPERLINK("https://dl.dropboxusercontent.com/scl/fi/czwlrwlx4170wtwhleccc/size-chartladies-c.jpg?rlkey=rrrvu9gmkp7fq4mbiz7e5l4ym&amp;dl=0","Click to download SizeChart")</f>
      </c>
      <c r="C6661" s="0" t="inlineStr">
        <is>
          <t>Ally Tie-Bank Women's Tank</t>
        </is>
      </c>
      <c r="D6661" s="0" t="inlineStr">
        <is>
          <t>'96920</t>
        </is>
      </c>
      <c r="E6661" s="0" t="inlineStr">
        <is>
          <t>ALLY:96920C-L</t>
        </is>
      </c>
      <c r="F6661" s="0" t="inlineStr">
        <is>
          <t>'000000000000</t>
        </is>
      </c>
      <c r="G6661" s="0" t="inlineStr">
        <is>
          <t>WOMENS</t>
        </is>
      </c>
      <c r="H6661" s="0" t="inlineStr">
        <is>
          <t>L</t>
        </is>
      </c>
      <c r="I6661" s="0">
        <v>44.99</v>
      </c>
      <c r="J6661" s="0">
        <v>120</v>
      </c>
    </row>
    <row r="6662" spans="1:10" customHeight="0">
      <c r="A6662" s="0">
        <f>HYPERLINK("https://dl.dropboxusercontent.com/scl/fi/tqjk9lj6nsnu7iw2003tn/96920f.jpg?rlkey=zauzig91maphf9jgvnpvpw7cu&amp;dl=0","Click to download Image")</f>
      </c>
      <c r="B6662" s="0">
        <f>HYPERLINK("https://dl.dropboxusercontent.com/scl/fi/czwlrwlx4170wtwhleccc/size-chartladies-c.jpg?rlkey=rrrvu9gmkp7fq4mbiz7e5l4ym&amp;dl=0","Click to download SizeChart")</f>
      </c>
      <c r="C6662" s="0" t="inlineStr">
        <is>
          <t>Ally Tie-Bank Women's Tank</t>
        </is>
      </c>
      <c r="D6662" s="0" t="inlineStr">
        <is>
          <t>'96920</t>
        </is>
      </c>
      <c r="E6662" s="0" t="inlineStr">
        <is>
          <t>ALLY:96920D-XL</t>
        </is>
      </c>
      <c r="F6662" s="0" t="inlineStr">
        <is>
          <t>'000000000000</t>
        </is>
      </c>
      <c r="G6662" s="0" t="inlineStr">
        <is>
          <t>WOMENS</t>
        </is>
      </c>
      <c r="H6662" s="0" t="inlineStr">
        <is>
          <t>XL</t>
        </is>
      </c>
      <c r="I6662" s="0">
        <v>44.99</v>
      </c>
      <c r="J6662" s="0">
        <v>116</v>
      </c>
    </row>
    <row r="6663" spans="1:10" customHeight="0">
      <c r="A6663" s="0">
        <f>HYPERLINK("https://dl.dropboxusercontent.com/scl/fi/tqjk9lj6nsnu7iw2003tn/96920f.jpg?rlkey=zauzig91maphf9jgvnpvpw7cu&amp;dl=0","Click to download Image")</f>
      </c>
      <c r="B6663" s="0">
        <f>HYPERLINK("https://dl.dropboxusercontent.com/scl/fi/czwlrwlx4170wtwhleccc/size-chartladies-c.jpg?rlkey=rrrvu9gmkp7fq4mbiz7e5l4ym&amp;dl=0","Click to download SizeChart")</f>
      </c>
      <c r="C6663" s="0" t="inlineStr">
        <is>
          <t>Ally Tie-Bank Women's Tank</t>
        </is>
      </c>
      <c r="D6663" s="0" t="inlineStr">
        <is>
          <t>'96920</t>
        </is>
      </c>
      <c r="E6663" s="0" t="inlineStr">
        <is>
          <t>ALLY:96920E-2XL</t>
        </is>
      </c>
      <c r="F6663" s="0" t="inlineStr">
        <is>
          <t>'000000000000</t>
        </is>
      </c>
      <c r="G6663" s="0" t="inlineStr">
        <is>
          <t>WOMENS</t>
        </is>
      </c>
      <c r="H6663" s="0" t="inlineStr">
        <is>
          <t>2XL</t>
        </is>
      </c>
      <c r="I6663" s="0">
        <v>46.99</v>
      </c>
      <c r="J6663" s="0">
        <v>30</v>
      </c>
    </row>
    <row r="6664" spans="1:10" customHeight="0">
      <c r="A6664" s="0">
        <f>HYPERLINK("https://dl.dropboxusercontent.com/scl/fi/5tvn23jr3w75dckn2cic9/neck-sleeves-04.jpg?rlkey=2vb4ykkboh4j9nlfhzava45xs&amp;dl=0","Click to download Image")</f>
      </c>
      <c r="C6664" s="0" t="inlineStr">
        <is>
          <t>Licensed Camo Adult Neck Sleeve</t>
        </is>
      </c>
      <c r="D6664" s="0" t="inlineStr">
        <is>
          <t>'120429</t>
        </is>
      </c>
      <c r="E6664" s="0" t="inlineStr">
        <is>
          <t>BREAK UP COUNTRY NECK SLEEVE:120429OSFM</t>
        </is>
      </c>
      <c r="F6664" s="0" t="inlineStr">
        <is>
          <t>'898120429340</t>
        </is>
      </c>
      <c r="H6664" s="0" t="inlineStr">
        <is>
          <t>OSFM</t>
        </is>
      </c>
      <c r="I6664" s="0">
        <v>19.99</v>
      </c>
      <c r="J6664" s="0">
        <v>2157</v>
      </c>
    </row>
    <row r="6665" spans="1:10" customHeight="0">
      <c r="A6665" s="0">
        <f>HYPERLINK("https://dl.dropboxusercontent.com/scl/fi/ucm4eqg1a45bvbhf80022/neck-sleeves-05.jpg?rlkey=breyv07ybm2tqf9oloptz0vrf&amp;dl=0","Click to download Image")</f>
      </c>
      <c r="C6665" s="0" t="inlineStr">
        <is>
          <t>Licensed Camo Adult Neck Sleeve</t>
        </is>
      </c>
      <c r="D6665" s="0" t="inlineStr">
        <is>
          <t>'120428</t>
        </is>
      </c>
      <c r="E6665" s="0" t="inlineStr">
        <is>
          <t>ELEMENTS BLUEFIN NECK SLEEVE:120428OSFM</t>
        </is>
      </c>
      <c r="F6665" s="0" t="inlineStr">
        <is>
          <t>'898120428343</t>
        </is>
      </c>
      <c r="H6665" s="0" t="inlineStr">
        <is>
          <t>OSFM</t>
        </is>
      </c>
      <c r="I6665" s="0">
        <v>19.99</v>
      </c>
      <c r="J6665" s="0">
        <v>1831</v>
      </c>
    </row>
    <row r="6666" spans="1:10" customHeight="0">
      <c r="A6666" s="0">
        <f>HYPERLINK("https://dl.dropboxusercontent.com/scl/fi/xsidgd9fq67u6homuvlwj/neck-sleeves-07.jpg?rlkey=tuxi7hopen71c95r657ss0ami&amp;dl=0","Click to download Image")</f>
      </c>
      <c r="C6666" s="0" t="inlineStr">
        <is>
          <t>Licensed Camo Adult Neck Sleeve</t>
        </is>
      </c>
      <c r="D6666" s="0" t="inlineStr">
        <is>
          <t>'120430</t>
        </is>
      </c>
      <c r="E6666" s="0" t="inlineStr">
        <is>
          <t>BOTTOMLAND NECK SLEEVE:120430OSFM</t>
        </is>
      </c>
      <c r="F6666" s="0" t="inlineStr">
        <is>
          <t>'898120430346</t>
        </is>
      </c>
      <c r="H6666" s="0" t="inlineStr">
        <is>
          <t>OSFM</t>
        </is>
      </c>
      <c r="I6666" s="0">
        <v>19.99</v>
      </c>
      <c r="J6666" s="0">
        <v>1127</v>
      </c>
    </row>
    <row r="6667" spans="1:10" customHeight="0">
      <c r="A6667" s="0">
        <f>HYPERLINK("https://dl.dropboxusercontent.com/scl/fi/e4ax994c6v5kufvz7lqtv/neck-sleeves-03.jpg?rlkey=bjqxbp91oijmh1r1phgkc3c4n&amp;dl=0","Click to download Image")</f>
      </c>
      <c r="C6667" s="0" t="inlineStr">
        <is>
          <t>Licensed Camo Adult Neck Sleeve</t>
        </is>
      </c>
      <c r="D6667" s="0" t="inlineStr">
        <is>
          <t>'120454</t>
        </is>
      </c>
      <c r="E6667" s="0" t="inlineStr">
        <is>
          <t>REAL TREE CAMO:120454OSFM</t>
        </is>
      </c>
      <c r="F6667" s="0" t="inlineStr">
        <is>
          <t>'898120454342</t>
        </is>
      </c>
      <c r="H6667" s="0" t="inlineStr">
        <is>
          <t>OSFM</t>
        </is>
      </c>
      <c r="I6667" s="0">
        <v>19.99</v>
      </c>
      <c r="J6667" s="0">
        <v>3889</v>
      </c>
    </row>
    <row r="6668" spans="1:10" customHeight="0">
      <c r="A6668" s="0">
        <f>HYPERLINK("https://dl.dropboxusercontent.com/scl/fi/7igldkis2603vqltidoqv/neck-sleeves-06.jpg?rlkey=qfacvyt4de40dpwba8jnmbgte&amp;dl=0","Click to download Image")</f>
      </c>
      <c r="C6668" s="0" t="inlineStr">
        <is>
          <t>Licensed Camo Adult Neck Sleeve</t>
        </is>
      </c>
      <c r="D6668" s="0" t="inlineStr">
        <is>
          <t>'121958</t>
        </is>
      </c>
      <c r="E6668" s="0" t="inlineStr">
        <is>
          <t>MO ELEME STONE:121958OSFM</t>
        </is>
      </c>
      <c r="F6668" s="0" t="inlineStr">
        <is>
          <t>'898121958344</t>
        </is>
      </c>
      <c r="H6668" s="0" t="inlineStr">
        <is>
          <t>OSFM</t>
        </is>
      </c>
      <c r="I6668" s="0">
        <v>19.99</v>
      </c>
      <c r="J6668" s="0">
        <v>43</v>
      </c>
    </row>
    <row r="6669" spans="1:10" customHeight="0">
      <c r="A6669" s="0">
        <f>HYPERLINK("https://dl.dropboxusercontent.com/scl/fi/3i93in9hdhcqx1z2xyodi/97079af-black.jpg?rlkey=26ixv51bmivrudiljn1bj22rn&amp;dl=0","Click to download Image")</f>
      </c>
      <c r="B6669" s="0">
        <f>HYPERLINK("https://dl.dropboxusercontent.com/scl/fi/hm943dvytb9y3ut9l7vqh/mens-a.jpg?rlkey=iq0u7frctk8qnnc8bqkyj9s1v&amp;dl=0","Click to download SizeChart")</f>
      </c>
      <c r="C6669" s="0" t="inlineStr">
        <is>
          <t>Ash Reversible Men's Shorts</t>
        </is>
      </c>
      <c r="D6669" s="0" t="inlineStr">
        <is>
          <t>'97079</t>
        </is>
      </c>
      <c r="E6669" s="0" t="inlineStr">
        <is>
          <t>ASH:97079A-S</t>
        </is>
      </c>
      <c r="F6669" s="0" t="inlineStr">
        <is>
          <t>'000000000000</t>
        </is>
      </c>
      <c r="G6669" s="0" t="inlineStr">
        <is>
          <t>MENS</t>
        </is>
      </c>
      <c r="H6669" s="0" t="inlineStr">
        <is>
          <t>S</t>
        </is>
      </c>
      <c r="I6669" s="0">
        <v>39.99</v>
      </c>
      <c r="J6669" s="0">
        <v>16</v>
      </c>
    </row>
    <row r="6670" spans="1:10" customHeight="0">
      <c r="A6670" s="0">
        <f>HYPERLINK("https://dl.dropboxusercontent.com/scl/fi/3i93in9hdhcqx1z2xyodi/97079af-black.jpg?rlkey=26ixv51bmivrudiljn1bj22rn&amp;dl=0","Click to download Image")</f>
      </c>
      <c r="B6670" s="0">
        <f>HYPERLINK("https://dl.dropboxusercontent.com/scl/fi/hm943dvytb9y3ut9l7vqh/mens-a.jpg?rlkey=iq0u7frctk8qnnc8bqkyj9s1v&amp;dl=0","Click to download SizeChart")</f>
      </c>
      <c r="C6670" s="0" t="inlineStr">
        <is>
          <t>Ash Reversible Men's Shorts</t>
        </is>
      </c>
      <c r="D6670" s="0" t="inlineStr">
        <is>
          <t>'97079</t>
        </is>
      </c>
      <c r="E6670" s="0" t="inlineStr">
        <is>
          <t>ASH:97079B-M</t>
        </is>
      </c>
      <c r="F6670" s="0" t="inlineStr">
        <is>
          <t>'000000000000</t>
        </is>
      </c>
      <c r="G6670" s="0" t="inlineStr">
        <is>
          <t>MENS</t>
        </is>
      </c>
      <c r="H6670" s="0" t="inlineStr">
        <is>
          <t>M</t>
        </is>
      </c>
      <c r="I6670" s="0">
        <v>39.99</v>
      </c>
      <c r="J6670" s="0">
        <v>20</v>
      </c>
    </row>
    <row r="6671" spans="1:10" customHeight="0">
      <c r="A6671" s="0">
        <f>HYPERLINK("https://dl.dropboxusercontent.com/scl/fi/3i93in9hdhcqx1z2xyodi/97079af-black.jpg?rlkey=26ixv51bmivrudiljn1bj22rn&amp;dl=0","Click to download Image")</f>
      </c>
      <c r="B6671" s="0">
        <f>HYPERLINK("https://dl.dropboxusercontent.com/scl/fi/hm943dvytb9y3ut9l7vqh/mens-a.jpg?rlkey=iq0u7frctk8qnnc8bqkyj9s1v&amp;dl=0","Click to download SizeChart")</f>
      </c>
      <c r="C6671" s="0" t="inlineStr">
        <is>
          <t>Ash Reversible Men's Shorts</t>
        </is>
      </c>
      <c r="D6671" s="0" t="inlineStr">
        <is>
          <t>'97079</t>
        </is>
      </c>
      <c r="E6671" s="0" t="inlineStr">
        <is>
          <t>ASH:97079C-L</t>
        </is>
      </c>
      <c r="F6671" s="0" t="inlineStr">
        <is>
          <t>'000000000000</t>
        </is>
      </c>
      <c r="G6671" s="0" t="inlineStr">
        <is>
          <t>MENS</t>
        </is>
      </c>
      <c r="H6671" s="0" t="inlineStr">
        <is>
          <t>L</t>
        </is>
      </c>
      <c r="I6671" s="0">
        <v>39.99</v>
      </c>
      <c r="J6671" s="0">
        <v>36</v>
      </c>
    </row>
    <row r="6672" spans="1:10" customHeight="0">
      <c r="A6672" s="0">
        <f>HYPERLINK("https://dl.dropboxusercontent.com/scl/fi/3i93in9hdhcqx1z2xyodi/97079af-black.jpg?rlkey=26ixv51bmivrudiljn1bj22rn&amp;dl=0","Click to download Image")</f>
      </c>
      <c r="B6672" s="0">
        <f>HYPERLINK("https://dl.dropboxusercontent.com/scl/fi/hm943dvytb9y3ut9l7vqh/mens-a.jpg?rlkey=iq0u7frctk8qnnc8bqkyj9s1v&amp;dl=0","Click to download SizeChart")</f>
      </c>
      <c r="C6672" s="0" t="inlineStr">
        <is>
          <t>Ash Reversible Men's Shorts</t>
        </is>
      </c>
      <c r="D6672" s="0" t="inlineStr">
        <is>
          <t>'97079</t>
        </is>
      </c>
      <c r="E6672" s="0" t="inlineStr">
        <is>
          <t>ASH:97079D-XL</t>
        </is>
      </c>
      <c r="F6672" s="0" t="inlineStr">
        <is>
          <t>'000000000000</t>
        </is>
      </c>
      <c r="G6672" s="0" t="inlineStr">
        <is>
          <t>MENS</t>
        </is>
      </c>
      <c r="H6672" s="0" t="inlineStr">
        <is>
          <t>XL</t>
        </is>
      </c>
      <c r="I6672" s="0">
        <v>39.99</v>
      </c>
      <c r="J6672" s="0">
        <v>38</v>
      </c>
    </row>
    <row r="6673" spans="1:10" customHeight="0">
      <c r="A6673" s="0">
        <f>HYPERLINK("https://dl.dropboxusercontent.com/scl/fi/3i93in9hdhcqx1z2xyodi/97079af-black.jpg?rlkey=26ixv51bmivrudiljn1bj22rn&amp;dl=0","Click to download Image")</f>
      </c>
      <c r="B6673" s="0">
        <f>HYPERLINK("https://dl.dropboxusercontent.com/scl/fi/hm943dvytb9y3ut9l7vqh/mens-a.jpg?rlkey=iq0u7frctk8qnnc8bqkyj9s1v&amp;dl=0","Click to download SizeChart")</f>
      </c>
      <c r="C6673" s="0" t="inlineStr">
        <is>
          <t>Ash Reversible Men's Shorts</t>
        </is>
      </c>
      <c r="D6673" s="0" t="inlineStr">
        <is>
          <t>'97079</t>
        </is>
      </c>
      <c r="E6673" s="0" t="inlineStr">
        <is>
          <t>ASH:97079E-2XL</t>
        </is>
      </c>
      <c r="F6673" s="0" t="inlineStr">
        <is>
          <t>'000000000000</t>
        </is>
      </c>
      <c r="G6673" s="0" t="inlineStr">
        <is>
          <t>MENS</t>
        </is>
      </c>
      <c r="H6673" s="0" t="inlineStr">
        <is>
          <t>2XL</t>
        </is>
      </c>
      <c r="I6673" s="0">
        <v>41.99</v>
      </c>
      <c r="J6673" s="0">
        <v>32</v>
      </c>
    </row>
    <row r="6674" spans="1:10" customHeight="0">
      <c r="A6674" s="0">
        <f>HYPERLINK("https://dl.dropboxusercontent.com/scl/fi/3i93in9hdhcqx1z2xyodi/97079af-black.jpg?rlkey=26ixv51bmivrudiljn1bj22rn&amp;dl=0","Click to download Image")</f>
      </c>
      <c r="B6674" s="0">
        <f>HYPERLINK("https://dl.dropboxusercontent.com/scl/fi/hm943dvytb9y3ut9l7vqh/mens-a.jpg?rlkey=iq0u7frctk8qnnc8bqkyj9s1v&amp;dl=0","Click to download SizeChart")</f>
      </c>
      <c r="C6674" s="0" t="inlineStr">
        <is>
          <t>Ash Reversible Men's Shorts</t>
        </is>
      </c>
      <c r="D6674" s="0" t="inlineStr">
        <is>
          <t>'97079</t>
        </is>
      </c>
      <c r="E6674" s="0" t="inlineStr">
        <is>
          <t>ASH:97079F-3XL</t>
        </is>
      </c>
      <c r="F6674" s="0" t="inlineStr">
        <is>
          <t>'000000000000</t>
        </is>
      </c>
      <c r="G6674" s="0" t="inlineStr">
        <is>
          <t>MENS</t>
        </is>
      </c>
      <c r="H6674" s="0" t="inlineStr">
        <is>
          <t>3XL</t>
        </is>
      </c>
      <c r="I6674" s="0">
        <v>41.99</v>
      </c>
      <c r="J6674" s="0">
        <v>20</v>
      </c>
    </row>
    <row r="6675" spans="1:10" customHeight="0">
      <c r="A6675" s="0">
        <f>HYPERLINK("https://dl.dropboxusercontent.com/scl/fi/3ymzlhdymy1cp61xmq66d/97214af-red.jpg?rlkey=o5t86sjmzy24geycoqvy0sfnb&amp;dl=0","Click to download Image")</f>
      </c>
      <c r="B6675" s="0">
        <f>HYPERLINK("https://dl.dropboxusercontent.com/scl/fi/hm943dvytb9y3ut9l7vqh/mens-a.jpg?rlkey=iq0u7frctk8qnnc8bqkyj9s1v&amp;dl=0","Click to download SizeChart")</f>
      </c>
      <c r="C6675" s="0" t="inlineStr">
        <is>
          <t>Ash Reversible Men's Shorts</t>
        </is>
      </c>
      <c r="D6675" s="0" t="inlineStr">
        <is>
          <t>'97214</t>
        </is>
      </c>
      <c r="E6675" s="0" t="inlineStr">
        <is>
          <t>ASH:97214A-S</t>
        </is>
      </c>
      <c r="F6675" s="0" t="inlineStr">
        <is>
          <t>'000000000000</t>
        </is>
      </c>
      <c r="G6675" s="0" t="inlineStr">
        <is>
          <t>MENS</t>
        </is>
      </c>
      <c r="H6675" s="0" t="inlineStr">
        <is>
          <t>S</t>
        </is>
      </c>
      <c r="I6675" s="0">
        <v>39.99</v>
      </c>
      <c r="J6675" s="0">
        <v>22</v>
      </c>
    </row>
    <row r="6676" spans="1:10" customHeight="0">
      <c r="A6676" s="0">
        <f>HYPERLINK("https://dl.dropboxusercontent.com/scl/fi/3ymzlhdymy1cp61xmq66d/97214af-red.jpg?rlkey=o5t86sjmzy24geycoqvy0sfnb&amp;dl=0","Click to download Image")</f>
      </c>
      <c r="B6676" s="0">
        <f>HYPERLINK("https://dl.dropboxusercontent.com/scl/fi/hm943dvytb9y3ut9l7vqh/mens-a.jpg?rlkey=iq0u7frctk8qnnc8bqkyj9s1v&amp;dl=0","Click to download SizeChart")</f>
      </c>
      <c r="C6676" s="0" t="inlineStr">
        <is>
          <t>Ash Reversible Men's Shorts</t>
        </is>
      </c>
      <c r="D6676" s="0" t="inlineStr">
        <is>
          <t>'97214</t>
        </is>
      </c>
      <c r="E6676" s="0" t="inlineStr">
        <is>
          <t>ASH:97214B-M</t>
        </is>
      </c>
      <c r="F6676" s="0" t="inlineStr">
        <is>
          <t>'000000000000</t>
        </is>
      </c>
      <c r="G6676" s="0" t="inlineStr">
        <is>
          <t>MENS</t>
        </is>
      </c>
      <c r="H6676" s="0" t="inlineStr">
        <is>
          <t>M</t>
        </is>
      </c>
      <c r="I6676" s="0">
        <v>39.99</v>
      </c>
      <c r="J6676" s="0">
        <v>21</v>
      </c>
    </row>
    <row r="6677" spans="1:10" customHeight="0">
      <c r="A6677" s="0">
        <f>HYPERLINK("https://dl.dropboxusercontent.com/scl/fi/3ymzlhdymy1cp61xmq66d/97214af-red.jpg?rlkey=o5t86sjmzy24geycoqvy0sfnb&amp;dl=0","Click to download Image")</f>
      </c>
      <c r="B6677" s="0">
        <f>HYPERLINK("https://dl.dropboxusercontent.com/scl/fi/hm943dvytb9y3ut9l7vqh/mens-a.jpg?rlkey=iq0u7frctk8qnnc8bqkyj9s1v&amp;dl=0","Click to download SizeChart")</f>
      </c>
      <c r="C6677" s="0" t="inlineStr">
        <is>
          <t>Ash Reversible Men's Shorts</t>
        </is>
      </c>
      <c r="D6677" s="0" t="inlineStr">
        <is>
          <t>'97214</t>
        </is>
      </c>
      <c r="E6677" s="0" t="inlineStr">
        <is>
          <t>ASH:97214C-L</t>
        </is>
      </c>
      <c r="F6677" s="0" t="inlineStr">
        <is>
          <t>'000000000000</t>
        </is>
      </c>
      <c r="G6677" s="0" t="inlineStr">
        <is>
          <t>MENS</t>
        </is>
      </c>
      <c r="H6677" s="0" t="inlineStr">
        <is>
          <t>L</t>
        </is>
      </c>
      <c r="I6677" s="0">
        <v>39.99</v>
      </c>
      <c r="J6677" s="0">
        <v>17</v>
      </c>
    </row>
    <row r="6678" spans="1:10" customHeight="0">
      <c r="A6678" s="0">
        <f>HYPERLINK("https://dl.dropboxusercontent.com/scl/fi/3ymzlhdymy1cp61xmq66d/97214af-red.jpg?rlkey=o5t86sjmzy24geycoqvy0sfnb&amp;dl=0","Click to download Image")</f>
      </c>
      <c r="B6678" s="0">
        <f>HYPERLINK("https://dl.dropboxusercontent.com/scl/fi/hm943dvytb9y3ut9l7vqh/mens-a.jpg?rlkey=iq0u7frctk8qnnc8bqkyj9s1v&amp;dl=0","Click to download SizeChart")</f>
      </c>
      <c r="C6678" s="0" t="inlineStr">
        <is>
          <t>Ash Reversible Men's Shorts</t>
        </is>
      </c>
      <c r="D6678" s="0" t="inlineStr">
        <is>
          <t>'97214</t>
        </is>
      </c>
      <c r="E6678" s="0" t="inlineStr">
        <is>
          <t>ASH:97214D-XL</t>
        </is>
      </c>
      <c r="F6678" s="0" t="inlineStr">
        <is>
          <t>'000000000000</t>
        </is>
      </c>
      <c r="G6678" s="0" t="inlineStr">
        <is>
          <t>MENS</t>
        </is>
      </c>
      <c r="H6678" s="0" t="inlineStr">
        <is>
          <t>XL</t>
        </is>
      </c>
      <c r="I6678" s="0">
        <v>39.99</v>
      </c>
      <c r="J6678" s="0">
        <v>21</v>
      </c>
    </row>
    <row r="6679" spans="1:10" customHeight="0">
      <c r="A6679" s="0">
        <f>HYPERLINK("https://dl.dropboxusercontent.com/scl/fi/3ymzlhdymy1cp61xmq66d/97214af-red.jpg?rlkey=o5t86sjmzy24geycoqvy0sfnb&amp;dl=0","Click to download Image")</f>
      </c>
      <c r="B6679" s="0">
        <f>HYPERLINK("https://dl.dropboxusercontent.com/scl/fi/hm943dvytb9y3ut9l7vqh/mens-a.jpg?rlkey=iq0u7frctk8qnnc8bqkyj9s1v&amp;dl=0","Click to download SizeChart")</f>
      </c>
      <c r="C6679" s="0" t="inlineStr">
        <is>
          <t>Ash Reversible Men's Shorts</t>
        </is>
      </c>
      <c r="D6679" s="0" t="inlineStr">
        <is>
          <t>'97214</t>
        </is>
      </c>
      <c r="E6679" s="0" t="inlineStr">
        <is>
          <t>ASH:97214E-2XL</t>
        </is>
      </c>
      <c r="F6679" s="0" t="inlineStr">
        <is>
          <t>'000000000000</t>
        </is>
      </c>
      <c r="G6679" s="0" t="inlineStr">
        <is>
          <t>MENS</t>
        </is>
      </c>
      <c r="H6679" s="0" t="inlineStr">
        <is>
          <t>2XL</t>
        </is>
      </c>
      <c r="I6679" s="0">
        <v>41.99</v>
      </c>
      <c r="J6679" s="0">
        <v>20</v>
      </c>
    </row>
    <row r="6680" spans="1:10" customHeight="0">
      <c r="A6680" s="0">
        <f>HYPERLINK("https://dl.dropboxusercontent.com/scl/fi/3ymzlhdymy1cp61xmq66d/97214af-red.jpg?rlkey=o5t86sjmzy24geycoqvy0sfnb&amp;dl=0","Click to download Image")</f>
      </c>
      <c r="B6680" s="0">
        <f>HYPERLINK("https://dl.dropboxusercontent.com/scl/fi/hm943dvytb9y3ut9l7vqh/mens-a.jpg?rlkey=iq0u7frctk8qnnc8bqkyj9s1v&amp;dl=0","Click to download SizeChart")</f>
      </c>
      <c r="C6680" s="0" t="inlineStr">
        <is>
          <t>Ash Reversible Men's Shorts</t>
        </is>
      </c>
      <c r="D6680" s="0" t="inlineStr">
        <is>
          <t>'97214</t>
        </is>
      </c>
      <c r="E6680" s="0" t="inlineStr">
        <is>
          <t>ASH:97214F-3XL</t>
        </is>
      </c>
      <c r="F6680" s="0" t="inlineStr">
        <is>
          <t>'000000000000</t>
        </is>
      </c>
      <c r="G6680" s="0" t="inlineStr">
        <is>
          <t>MENS</t>
        </is>
      </c>
      <c r="H6680" s="0" t="inlineStr">
        <is>
          <t>3XL</t>
        </is>
      </c>
      <c r="I6680" s="0">
        <v>41.99</v>
      </c>
      <c r="J6680" s="0">
        <v>23</v>
      </c>
    </row>
    <row r="6681" spans="1:10" customHeight="0">
      <c r="A6681" s="0">
        <f>HYPERLINK("https://dl.dropboxusercontent.com/scl/fi/ck3jjzkevosvmye0fjivu/97847-af.jpg?rlkey=j44mbug809gbw5ajma7dmjqj1&amp;dl=0","Click to download Image")</f>
      </c>
      <c r="B6681" s="0">
        <f>HYPERLINK("https://dl.dropboxusercontent.com/scl/fi/hm943dvytb9y3ut9l7vqh/mens-a.jpg?rlkey=iq0u7frctk8qnnc8bqkyj9s1v&amp;dl=0","Click to download SizeChart")</f>
      </c>
      <c r="C6681" s="0" t="inlineStr">
        <is>
          <t>Ash Reversible Men's Shorts</t>
        </is>
      </c>
      <c r="D6681" s="0" t="inlineStr">
        <is>
          <t>'97847</t>
        </is>
      </c>
      <c r="E6681" s="0" t="inlineStr">
        <is>
          <t>ASH:97847A-S</t>
        </is>
      </c>
      <c r="F6681" s="0" t="inlineStr">
        <is>
          <t>'000000000000</t>
        </is>
      </c>
      <c r="G6681" s="0" t="inlineStr">
        <is>
          <t>MENS</t>
        </is>
      </c>
      <c r="H6681" s="0" t="inlineStr">
        <is>
          <t>S</t>
        </is>
      </c>
      <c r="I6681" s="0">
        <v>39.99</v>
      </c>
      <c r="J6681" s="0">
        <v>14</v>
      </c>
    </row>
    <row r="6682" spans="1:10" customHeight="0">
      <c r="A6682" s="0">
        <f>HYPERLINK("https://dl.dropboxusercontent.com/scl/fi/ck3jjzkevosvmye0fjivu/97847-af.jpg?rlkey=j44mbug809gbw5ajma7dmjqj1&amp;dl=0","Click to download Image")</f>
      </c>
      <c r="B6682" s="0">
        <f>HYPERLINK("https://dl.dropboxusercontent.com/scl/fi/hm943dvytb9y3ut9l7vqh/mens-a.jpg?rlkey=iq0u7frctk8qnnc8bqkyj9s1v&amp;dl=0","Click to download SizeChart")</f>
      </c>
      <c r="C6682" s="0" t="inlineStr">
        <is>
          <t>Ash Reversible Men's Shorts</t>
        </is>
      </c>
      <c r="D6682" s="0" t="inlineStr">
        <is>
          <t>'97847</t>
        </is>
      </c>
      <c r="E6682" s="0" t="inlineStr">
        <is>
          <t>ASH:97847B-M</t>
        </is>
      </c>
      <c r="F6682" s="0" t="inlineStr">
        <is>
          <t>'000000000000</t>
        </is>
      </c>
      <c r="G6682" s="0" t="inlineStr">
        <is>
          <t>MENS</t>
        </is>
      </c>
      <c r="H6682" s="0" t="inlineStr">
        <is>
          <t>M</t>
        </is>
      </c>
      <c r="I6682" s="0">
        <v>39.99</v>
      </c>
      <c r="J6682" s="0">
        <v>14</v>
      </c>
    </row>
    <row r="6683" spans="1:10" customHeight="0">
      <c r="A6683" s="0">
        <f>HYPERLINK("https://dl.dropboxusercontent.com/scl/fi/ck3jjzkevosvmye0fjivu/97847-af.jpg?rlkey=j44mbug809gbw5ajma7dmjqj1&amp;dl=0","Click to download Image")</f>
      </c>
      <c r="B6683" s="0">
        <f>HYPERLINK("https://dl.dropboxusercontent.com/scl/fi/hm943dvytb9y3ut9l7vqh/mens-a.jpg?rlkey=iq0u7frctk8qnnc8bqkyj9s1v&amp;dl=0","Click to download SizeChart")</f>
      </c>
      <c r="C6683" s="0" t="inlineStr">
        <is>
          <t>Ash Reversible Men's Shorts</t>
        </is>
      </c>
      <c r="D6683" s="0" t="inlineStr">
        <is>
          <t>'97847</t>
        </is>
      </c>
      <c r="E6683" s="0" t="inlineStr">
        <is>
          <t>ASH:97847C-L</t>
        </is>
      </c>
      <c r="F6683" s="0" t="inlineStr">
        <is>
          <t>'000000000000</t>
        </is>
      </c>
      <c r="G6683" s="0" t="inlineStr">
        <is>
          <t>MENS</t>
        </is>
      </c>
      <c r="H6683" s="0" t="inlineStr">
        <is>
          <t>L</t>
        </is>
      </c>
      <c r="I6683" s="0">
        <v>39.99</v>
      </c>
      <c r="J6683" s="0">
        <v>31</v>
      </c>
    </row>
    <row r="6684" spans="1:10" customHeight="0">
      <c r="A6684" s="0">
        <f>HYPERLINK("https://dl.dropboxusercontent.com/scl/fi/ck3jjzkevosvmye0fjivu/97847-af.jpg?rlkey=j44mbug809gbw5ajma7dmjqj1&amp;dl=0","Click to download Image")</f>
      </c>
      <c r="B6684" s="0">
        <f>HYPERLINK("https://dl.dropboxusercontent.com/scl/fi/hm943dvytb9y3ut9l7vqh/mens-a.jpg?rlkey=iq0u7frctk8qnnc8bqkyj9s1v&amp;dl=0","Click to download SizeChart")</f>
      </c>
      <c r="C6684" s="0" t="inlineStr">
        <is>
          <t>Ash Reversible Men's Shorts</t>
        </is>
      </c>
      <c r="D6684" s="0" t="inlineStr">
        <is>
          <t>'97847</t>
        </is>
      </c>
      <c r="E6684" s="0" t="inlineStr">
        <is>
          <t>ASH:97847D-XL</t>
        </is>
      </c>
      <c r="F6684" s="0" t="inlineStr">
        <is>
          <t>'000000000000</t>
        </is>
      </c>
      <c r="G6684" s="0" t="inlineStr">
        <is>
          <t>MENS</t>
        </is>
      </c>
      <c r="H6684" s="0" t="inlineStr">
        <is>
          <t>XL</t>
        </is>
      </c>
      <c r="I6684" s="0">
        <v>39.99</v>
      </c>
      <c r="J6684" s="0">
        <v>33</v>
      </c>
    </row>
    <row r="6685" spans="1:10" customHeight="0">
      <c r="A6685" s="0">
        <f>HYPERLINK("https://dl.dropboxusercontent.com/scl/fi/ck3jjzkevosvmye0fjivu/97847-af.jpg?rlkey=j44mbug809gbw5ajma7dmjqj1&amp;dl=0","Click to download Image")</f>
      </c>
      <c r="B6685" s="0">
        <f>HYPERLINK("https://dl.dropboxusercontent.com/scl/fi/hm943dvytb9y3ut9l7vqh/mens-a.jpg?rlkey=iq0u7frctk8qnnc8bqkyj9s1v&amp;dl=0","Click to download SizeChart")</f>
      </c>
      <c r="C6685" s="0" t="inlineStr">
        <is>
          <t>Ash Reversible Men's Shorts</t>
        </is>
      </c>
      <c r="D6685" s="0" t="inlineStr">
        <is>
          <t>'97847</t>
        </is>
      </c>
      <c r="E6685" s="0" t="inlineStr">
        <is>
          <t>ASH:97847E-2XL</t>
        </is>
      </c>
      <c r="F6685" s="0" t="inlineStr">
        <is>
          <t>'000000000000</t>
        </is>
      </c>
      <c r="G6685" s="0" t="inlineStr">
        <is>
          <t>MENS</t>
        </is>
      </c>
      <c r="H6685" s="0" t="inlineStr">
        <is>
          <t>2XL</t>
        </is>
      </c>
      <c r="I6685" s="0">
        <v>41.99</v>
      </c>
      <c r="J6685" s="0">
        <v>19</v>
      </c>
    </row>
    <row r="6686" spans="1:10" customHeight="0">
      <c r="A6686" s="0">
        <f>HYPERLINK("https://dl.dropboxusercontent.com/scl/fi/ck3jjzkevosvmye0fjivu/97847-af.jpg?rlkey=j44mbug809gbw5ajma7dmjqj1&amp;dl=0","Click to download Image")</f>
      </c>
      <c r="B6686" s="0">
        <f>HYPERLINK("https://dl.dropboxusercontent.com/scl/fi/hm943dvytb9y3ut9l7vqh/mens-a.jpg?rlkey=iq0u7frctk8qnnc8bqkyj9s1v&amp;dl=0","Click to download SizeChart")</f>
      </c>
      <c r="C6686" s="0" t="inlineStr">
        <is>
          <t>Ash Reversible Men's Shorts</t>
        </is>
      </c>
      <c r="D6686" s="0" t="inlineStr">
        <is>
          <t>'97847</t>
        </is>
      </c>
      <c r="E6686" s="0" t="inlineStr">
        <is>
          <t>ASH:97847F-3XL</t>
        </is>
      </c>
      <c r="F6686" s="0" t="inlineStr">
        <is>
          <t>'000000000000</t>
        </is>
      </c>
      <c r="G6686" s="0" t="inlineStr">
        <is>
          <t>MENS</t>
        </is>
      </c>
      <c r="H6686" s="0" t="inlineStr">
        <is>
          <t>3XL</t>
        </is>
      </c>
      <c r="I6686" s="0">
        <v>41.99</v>
      </c>
      <c r="J6686" s="0">
        <v>14</v>
      </c>
    </row>
    <row r="6687" spans="1:10" customHeight="0">
      <c r="A6687" s="0">
        <f>HYPERLINK("https://dl.dropboxusercontent.com/scl/fi/ovnh9kgkdraz9l2uvme0n/neck-sleeves-09.jpg?rlkey=0znwjz0r22q31ltba9y9m2v3m&amp;dl=0","Click to download Image")</f>
      </c>
      <c r="C6687" s="0" t="inlineStr">
        <is>
          <t>Thin Blue Line Police Adult Neck Sleeve</t>
        </is>
      </c>
      <c r="D6687" s="0" t="inlineStr">
        <is>
          <t>'120425</t>
        </is>
      </c>
      <c r="E6687" s="0" t="inlineStr">
        <is>
          <t>POLICE FLAG NECK SLEEVE:120425OSFM</t>
        </is>
      </c>
      <c r="F6687" s="0" t="inlineStr">
        <is>
          <t>'898120425342</t>
        </is>
      </c>
      <c r="H6687" s="0" t="inlineStr">
        <is>
          <t>OSFM</t>
        </is>
      </c>
      <c r="I6687" s="0">
        <v>19.99</v>
      </c>
      <c r="J6687" s="0">
        <v>1901</v>
      </c>
    </row>
    <row r="6688" spans="1:10" customHeight="0">
      <c r="A6688" s="0">
        <f>HYPERLINK("https://dl.dropboxusercontent.com/scl/fi/9e2oe4e9p4wsqdjhmyf4h/98666-af.jpg?rlkey=5j655tqfwvh4tuvmmhsdzgcm4&amp;dl=0","Click to download Image")</f>
      </c>
      <c r="B6688" s="0">
        <f>HYPERLINK("https://dl.dropboxusercontent.com/scl/fi/ebbnqmg5akw80w603r1an/size-chartladies-c.jpg?rlkey=zxirid1od8ryt7yukuj22lau1&amp;dl=0","Click to download SizeChart")</f>
      </c>
      <c r="C6688" s="0" t="inlineStr">
        <is>
          <t>Charolette Women's Jacket</t>
        </is>
      </c>
      <c r="D6688" s="0" t="inlineStr">
        <is>
          <t>'98666</t>
        </is>
      </c>
      <c r="E6688" s="0" t="inlineStr">
        <is>
          <t>CHARLOTTE:98666A-S</t>
        </is>
      </c>
      <c r="F6688" s="0" t="inlineStr">
        <is>
          <t>'000000000000</t>
        </is>
      </c>
      <c r="G6688" s="0" t="inlineStr">
        <is>
          <t>WOMENS</t>
        </is>
      </c>
      <c r="H6688" s="0" t="inlineStr">
        <is>
          <t>S</t>
        </is>
      </c>
      <c r="I6688" s="0">
        <v>69.99</v>
      </c>
      <c r="J6688" s="0">
        <v>68</v>
      </c>
    </row>
    <row r="6689" spans="1:10" customHeight="0">
      <c r="A6689" s="0">
        <f>HYPERLINK("https://dl.dropboxusercontent.com/scl/fi/9e2oe4e9p4wsqdjhmyf4h/98666-af.jpg?rlkey=5j655tqfwvh4tuvmmhsdzgcm4&amp;dl=0","Click to download Image")</f>
      </c>
      <c r="B6689" s="0">
        <f>HYPERLINK("https://dl.dropboxusercontent.com/scl/fi/ebbnqmg5akw80w603r1an/size-chartladies-c.jpg?rlkey=zxirid1od8ryt7yukuj22lau1&amp;dl=0","Click to download SizeChart")</f>
      </c>
      <c r="C6689" s="0" t="inlineStr">
        <is>
          <t>Charolette Women's Jacket</t>
        </is>
      </c>
      <c r="D6689" s="0" t="inlineStr">
        <is>
          <t>'98666</t>
        </is>
      </c>
      <c r="E6689" s="0" t="inlineStr">
        <is>
          <t>CHARLOTTE:98666B-M</t>
        </is>
      </c>
      <c r="F6689" s="0" t="inlineStr">
        <is>
          <t>'000000000000</t>
        </is>
      </c>
      <c r="G6689" s="0" t="inlineStr">
        <is>
          <t>WOMENS</t>
        </is>
      </c>
      <c r="H6689" s="0" t="inlineStr">
        <is>
          <t>M</t>
        </is>
      </c>
      <c r="I6689" s="0">
        <v>69.99</v>
      </c>
      <c r="J6689" s="0">
        <v>69</v>
      </c>
    </row>
    <row r="6690" spans="1:10" customHeight="0">
      <c r="A6690" s="0">
        <f>HYPERLINK("https://dl.dropboxusercontent.com/scl/fi/9e2oe4e9p4wsqdjhmyf4h/98666-af.jpg?rlkey=5j655tqfwvh4tuvmmhsdzgcm4&amp;dl=0","Click to download Image")</f>
      </c>
      <c r="B6690" s="0">
        <f>HYPERLINK("https://dl.dropboxusercontent.com/scl/fi/ebbnqmg5akw80w603r1an/size-chartladies-c.jpg?rlkey=zxirid1od8ryt7yukuj22lau1&amp;dl=0","Click to download SizeChart")</f>
      </c>
      <c r="C6690" s="0" t="inlineStr">
        <is>
          <t>Charolette Women's Jacket</t>
        </is>
      </c>
      <c r="D6690" s="0" t="inlineStr">
        <is>
          <t>'98666</t>
        </is>
      </c>
      <c r="E6690" s="0" t="inlineStr">
        <is>
          <t>CHARLOTTE:98666C-L</t>
        </is>
      </c>
      <c r="F6690" s="0" t="inlineStr">
        <is>
          <t>'000000000000</t>
        </is>
      </c>
      <c r="G6690" s="0" t="inlineStr">
        <is>
          <t>WOMENS</t>
        </is>
      </c>
      <c r="H6690" s="0" t="inlineStr">
        <is>
          <t>L</t>
        </is>
      </c>
      <c r="I6690" s="0">
        <v>69.99</v>
      </c>
      <c r="J6690" s="0">
        <v>89</v>
      </c>
    </row>
    <row r="6691" spans="1:10" customHeight="0">
      <c r="A6691" s="0">
        <f>HYPERLINK("https://dl.dropboxusercontent.com/scl/fi/9e2oe4e9p4wsqdjhmyf4h/98666-af.jpg?rlkey=5j655tqfwvh4tuvmmhsdzgcm4&amp;dl=0","Click to download Image")</f>
      </c>
      <c r="B6691" s="0">
        <f>HYPERLINK("https://dl.dropboxusercontent.com/scl/fi/ebbnqmg5akw80w603r1an/size-chartladies-c.jpg?rlkey=zxirid1od8ryt7yukuj22lau1&amp;dl=0","Click to download SizeChart")</f>
      </c>
      <c r="C6691" s="0" t="inlineStr">
        <is>
          <t>Charolette Women's Jacket</t>
        </is>
      </c>
      <c r="D6691" s="0" t="inlineStr">
        <is>
          <t>'98666</t>
        </is>
      </c>
      <c r="E6691" s="0" t="inlineStr">
        <is>
          <t>CHARLOTTE:98666D-XL</t>
        </is>
      </c>
      <c r="F6691" s="0" t="inlineStr">
        <is>
          <t>'000000000000</t>
        </is>
      </c>
      <c r="G6691" s="0" t="inlineStr">
        <is>
          <t>WOMENS</t>
        </is>
      </c>
      <c r="H6691" s="0" t="inlineStr">
        <is>
          <t>XL</t>
        </is>
      </c>
      <c r="I6691" s="0">
        <v>69.99</v>
      </c>
      <c r="J6691" s="0">
        <v>97</v>
      </c>
    </row>
    <row r="6692" spans="1:10" customHeight="0">
      <c r="A6692" s="0">
        <f>HYPERLINK("https://dl.dropboxusercontent.com/scl/fi/9e2oe4e9p4wsqdjhmyf4h/98666-af.jpg?rlkey=5j655tqfwvh4tuvmmhsdzgcm4&amp;dl=0","Click to download Image")</f>
      </c>
      <c r="B6692" s="0">
        <f>HYPERLINK("https://dl.dropboxusercontent.com/scl/fi/ebbnqmg5akw80w603r1an/size-chartladies-c.jpg?rlkey=zxirid1od8ryt7yukuj22lau1&amp;dl=0","Click to download SizeChart")</f>
      </c>
      <c r="C6692" s="0" t="inlineStr">
        <is>
          <t>Charolette Women's Jacket</t>
        </is>
      </c>
      <c r="D6692" s="0" t="inlineStr">
        <is>
          <t>'98666</t>
        </is>
      </c>
      <c r="E6692" s="0" t="inlineStr">
        <is>
          <t>CHARLOTTE:98666E-2XL</t>
        </is>
      </c>
      <c r="F6692" s="0" t="inlineStr">
        <is>
          <t>'000000000000</t>
        </is>
      </c>
      <c r="G6692" s="0" t="inlineStr">
        <is>
          <t>WOMENS</t>
        </is>
      </c>
      <c r="H6692" s="0" t="inlineStr">
        <is>
          <t>2XL</t>
        </is>
      </c>
      <c r="I6692" s="0">
        <v>71.99</v>
      </c>
      <c r="J6692" s="0">
        <v>74</v>
      </c>
    </row>
    <row r="6693" spans="1:10" customHeight="0">
      <c r="A6693" s="0">
        <f>HYPERLINK("https://dl.dropboxusercontent.com/scl/fi/9e2oe4e9p4wsqdjhmyf4h/98666-af.jpg?rlkey=5j655tqfwvh4tuvmmhsdzgcm4&amp;dl=0","Click to download Image")</f>
      </c>
      <c r="B6693" s="0">
        <f>HYPERLINK("https://dl.dropboxusercontent.com/scl/fi/ebbnqmg5akw80w603r1an/size-chartladies-c.jpg?rlkey=zxirid1od8ryt7yukuj22lau1&amp;dl=0","Click to download SizeChart")</f>
      </c>
      <c r="C6693" s="0" t="inlineStr">
        <is>
          <t>Charolette Women's Jacket</t>
        </is>
      </c>
      <c r="D6693" s="0" t="inlineStr">
        <is>
          <t>'98666</t>
        </is>
      </c>
      <c r="E6693" s="0" t="inlineStr">
        <is>
          <t>CHARLOTTE:98666F-3XL</t>
        </is>
      </c>
      <c r="F6693" s="0" t="inlineStr">
        <is>
          <t>'000000000000</t>
        </is>
      </c>
      <c r="G6693" s="0" t="inlineStr">
        <is>
          <t>WOMENS</t>
        </is>
      </c>
      <c r="H6693" s="0" t="inlineStr">
        <is>
          <t>3XL</t>
        </is>
      </c>
      <c r="I6693" s="0">
        <v>71.99</v>
      </c>
      <c r="J6693" s="0">
        <v>16</v>
      </c>
    </row>
    <row r="6694" spans="1:10" customHeight="0">
      <c r="A6694" s="0">
        <f>HYPERLINK("https://dl.dropboxusercontent.com/scl/fi/hw7rwcqtpql18ytswcaoa/neck-sleeves-10.jpg?rlkey=qf8yx0qd0qzx4qn4kqyjnzvgf&amp;dl=0","Click to download Image")</f>
      </c>
      <c r="C6694" s="0" t="inlineStr">
        <is>
          <t>Animal Print Adult Neck Sleeves</t>
        </is>
      </c>
      <c r="D6694" s="0" t="inlineStr">
        <is>
          <t>'119017</t>
        </is>
      </c>
      <c r="E6694" s="0" t="inlineStr">
        <is>
          <t>CHEETAH NECK SLEEVE:119017OSFM</t>
        </is>
      </c>
      <c r="F6694" s="0" t="inlineStr">
        <is>
          <t>'898119017343</t>
        </is>
      </c>
      <c r="H6694" s="0" t="inlineStr">
        <is>
          <t>OSFM</t>
        </is>
      </c>
      <c r="I6694" s="0">
        <v>19.99</v>
      </c>
      <c r="J6694" s="0">
        <v>481</v>
      </c>
    </row>
    <row r="6695" spans="1:10" customHeight="0">
      <c r="A6695" s="0">
        <f>HYPERLINK("https://dl.dropboxusercontent.com/scl/fi/hteceg80msejbsr4dxgf1/neck-sleeves-11.jpg?rlkey=2j1w9chbfafddoe9k5j80gdi0&amp;dl=0","Click to download Image")</f>
      </c>
      <c r="C6695" s="0" t="inlineStr">
        <is>
          <t>Animal Print Adult Neck Sleeves</t>
        </is>
      </c>
      <c r="D6695" s="0" t="inlineStr">
        <is>
          <t>'119285</t>
        </is>
      </c>
      <c r="E6695" s="0" t="inlineStr">
        <is>
          <t>ZEBRA NECK SLEEVE:119285OSFM</t>
        </is>
      </c>
      <c r="F6695" s="0" t="inlineStr">
        <is>
          <t>'898119285346</t>
        </is>
      </c>
      <c r="H6695" s="0" t="inlineStr">
        <is>
          <t>OSFM</t>
        </is>
      </c>
      <c r="I6695" s="0">
        <v>19.99</v>
      </c>
      <c r="J6695" s="0">
        <v>485</v>
      </c>
    </row>
    <row r="6696" spans="1:10" customHeight="0">
      <c r="A6696" s="0">
        <f>HYPERLINK("https://dl.dropboxusercontent.com/scl/fi/q3a1jinmlqswvf0ek4jc5/neck-sleeves-14.jpg?rlkey=pxqi6qja5r836pibepyz4mxoj&amp;dl=0","Click to download Image")</f>
      </c>
      <c r="C6696" s="0" t="inlineStr">
        <is>
          <t>Animal Print Adult Neck Sleeves</t>
        </is>
      </c>
      <c r="D6696" s="0" t="inlineStr">
        <is>
          <t>'119284</t>
        </is>
      </c>
      <c r="E6696" s="0" t="inlineStr">
        <is>
          <t>SNAKE SKIN NECK SLEEVE:119284OSFM</t>
        </is>
      </c>
      <c r="F6696" s="0" t="inlineStr">
        <is>
          <t>'898119284349</t>
        </is>
      </c>
      <c r="H6696" s="0" t="inlineStr">
        <is>
          <t>OSFM</t>
        </is>
      </c>
      <c r="I6696" s="0">
        <v>19.99</v>
      </c>
      <c r="J6696" s="0">
        <v>494</v>
      </c>
    </row>
    <row r="6697" spans="1:10" customHeight="0">
      <c r="A6697" s="0">
        <f>HYPERLINK("https://dl.dropboxusercontent.com/scl/fi/po66271mby1ukj42bgq1a/neck-sleeves-13.jpg?rlkey=ssjvkmls7z0z43qly6ewhdvla&amp;dl=0","Click to download Image")</f>
      </c>
      <c r="C6697" s="0" t="inlineStr">
        <is>
          <t>Animal Print Adult Neck Sleeves</t>
        </is>
      </c>
      <c r="D6697" s="0" t="inlineStr">
        <is>
          <t>'119286</t>
        </is>
      </c>
      <c r="E6697" s="0" t="inlineStr">
        <is>
          <t>COW HIDE NECK SLEEVE:119286OSFM</t>
        </is>
      </c>
      <c r="F6697" s="0" t="inlineStr">
        <is>
          <t>'898119286343</t>
        </is>
      </c>
      <c r="H6697" s="0" t="inlineStr">
        <is>
          <t>OSFM</t>
        </is>
      </c>
      <c r="I6697" s="0">
        <v>19.99</v>
      </c>
      <c r="J6697" s="0">
        <v>498</v>
      </c>
    </row>
    <row r="6698" spans="1:10" customHeight="0">
      <c r="A6698" s="0">
        <f>HYPERLINK("https://dl.dropboxusercontent.com/scl/fi/1gbhpk3zl0l3i9bvza5qk/95477af.jpg?rlkey=juwqyw1j74osdgbrx6fj6vo0p&amp;dl=0","Click to download Image")</f>
      </c>
      <c r="B6698" s="0">
        <f>HYPERLINK("https://dl.dropboxusercontent.com/scl/fi/d1pju2a47quz99d1lhucm/size-chartladies-c.jpg?rlkey=ub6xgti6ydtyk1hrcegc1jlu1&amp;dl=0","Click to download SizeChart")</f>
      </c>
      <c r="C6698" s="0" t="inlineStr">
        <is>
          <t>Chrome Women's Quarter Zip</t>
        </is>
      </c>
      <c r="D6698" s="0" t="inlineStr">
        <is>
          <t>'95477</t>
        </is>
      </c>
      <c r="E6698" s="0" t="inlineStr">
        <is>
          <t>CHROME W:95477A-S</t>
        </is>
      </c>
      <c r="F6698" s="0" t="inlineStr">
        <is>
          <t>'000000000000</t>
        </is>
      </c>
      <c r="G6698" s="0" t="inlineStr">
        <is>
          <t>WOMENS</t>
        </is>
      </c>
      <c r="H6698" s="0" t="inlineStr">
        <is>
          <t>S</t>
        </is>
      </c>
      <c r="I6698" s="0">
        <v>29.99</v>
      </c>
      <c r="J6698" s="0">
        <v>18</v>
      </c>
    </row>
    <row r="6699" spans="1:10" customHeight="0">
      <c r="A6699" s="0">
        <f>HYPERLINK("https://dl.dropboxusercontent.com/scl/fi/1gbhpk3zl0l3i9bvza5qk/95477af.jpg?rlkey=juwqyw1j74osdgbrx6fj6vo0p&amp;dl=0","Click to download Image")</f>
      </c>
      <c r="B6699" s="0">
        <f>HYPERLINK("https://dl.dropboxusercontent.com/scl/fi/d1pju2a47quz99d1lhucm/size-chartladies-c.jpg?rlkey=ub6xgti6ydtyk1hrcegc1jlu1&amp;dl=0","Click to download SizeChart")</f>
      </c>
      <c r="C6699" s="0" t="inlineStr">
        <is>
          <t>Chrome Women's Quarter Zip</t>
        </is>
      </c>
      <c r="D6699" s="0" t="inlineStr">
        <is>
          <t>'95477</t>
        </is>
      </c>
      <c r="E6699" s="0" t="inlineStr">
        <is>
          <t>CHROME W:95477B-M</t>
        </is>
      </c>
      <c r="F6699" s="0" t="inlineStr">
        <is>
          <t>'000000000000</t>
        </is>
      </c>
      <c r="G6699" s="0" t="inlineStr">
        <is>
          <t>WOMENS</t>
        </is>
      </c>
      <c r="H6699" s="0" t="inlineStr">
        <is>
          <t>M</t>
        </is>
      </c>
      <c r="I6699" s="0">
        <v>29.99</v>
      </c>
      <c r="J6699" s="0">
        <v>13</v>
      </c>
    </row>
    <row r="6700" spans="1:10" customHeight="0">
      <c r="A6700" s="0">
        <f>HYPERLINK("https://dl.dropboxusercontent.com/scl/fi/1gbhpk3zl0l3i9bvza5qk/95477af.jpg?rlkey=juwqyw1j74osdgbrx6fj6vo0p&amp;dl=0","Click to download Image")</f>
      </c>
      <c r="B6700" s="0">
        <f>HYPERLINK("https://dl.dropboxusercontent.com/scl/fi/d1pju2a47quz99d1lhucm/size-chartladies-c.jpg?rlkey=ub6xgti6ydtyk1hrcegc1jlu1&amp;dl=0","Click to download SizeChart")</f>
      </c>
      <c r="C6700" s="0" t="inlineStr">
        <is>
          <t>Chrome Women's Quarter Zip</t>
        </is>
      </c>
      <c r="D6700" s="0" t="inlineStr">
        <is>
          <t>'95477</t>
        </is>
      </c>
      <c r="E6700" s="0" t="inlineStr">
        <is>
          <t>CHROME W:95477C-L</t>
        </is>
      </c>
      <c r="F6700" s="0" t="inlineStr">
        <is>
          <t>'000000000000</t>
        </is>
      </c>
      <c r="G6700" s="0" t="inlineStr">
        <is>
          <t>WOMENS</t>
        </is>
      </c>
      <c r="H6700" s="0" t="inlineStr">
        <is>
          <t>L</t>
        </is>
      </c>
      <c r="I6700" s="0">
        <v>29.99</v>
      </c>
      <c r="J6700" s="0">
        <v>15</v>
      </c>
    </row>
    <row r="6701" spans="1:10" customHeight="0">
      <c r="A6701" s="0">
        <f>HYPERLINK("https://dl.dropboxusercontent.com/scl/fi/1gbhpk3zl0l3i9bvza5qk/95477af.jpg?rlkey=juwqyw1j74osdgbrx6fj6vo0p&amp;dl=0","Click to download Image")</f>
      </c>
      <c r="B6701" s="0">
        <f>HYPERLINK("https://dl.dropboxusercontent.com/scl/fi/d1pju2a47quz99d1lhucm/size-chartladies-c.jpg?rlkey=ub6xgti6ydtyk1hrcegc1jlu1&amp;dl=0","Click to download SizeChart")</f>
      </c>
      <c r="C6701" s="0" t="inlineStr">
        <is>
          <t>Chrome Women's Quarter Zip</t>
        </is>
      </c>
      <c r="D6701" s="0" t="inlineStr">
        <is>
          <t>'95477</t>
        </is>
      </c>
      <c r="E6701" s="0" t="inlineStr">
        <is>
          <t>CHROME W:95477D-XL</t>
        </is>
      </c>
      <c r="F6701" s="0" t="inlineStr">
        <is>
          <t>'000000000000</t>
        </is>
      </c>
      <c r="G6701" s="0" t="inlineStr">
        <is>
          <t>WOMENS</t>
        </is>
      </c>
      <c r="H6701" s="0" t="inlineStr">
        <is>
          <t>XL</t>
        </is>
      </c>
      <c r="I6701" s="0">
        <v>29.99</v>
      </c>
      <c r="J6701" s="0">
        <v>32</v>
      </c>
    </row>
    <row r="6702" spans="1:10" customHeight="0">
      <c r="A6702" s="0">
        <f>HYPERLINK("https://dl.dropboxusercontent.com/scl/fi/1gbhpk3zl0l3i9bvza5qk/95477af.jpg?rlkey=juwqyw1j74osdgbrx6fj6vo0p&amp;dl=0","Click to download Image")</f>
      </c>
      <c r="B6702" s="0">
        <f>HYPERLINK("https://dl.dropboxusercontent.com/scl/fi/d1pju2a47quz99d1lhucm/size-chartladies-c.jpg?rlkey=ub6xgti6ydtyk1hrcegc1jlu1&amp;dl=0","Click to download SizeChart")</f>
      </c>
      <c r="C6702" s="0" t="inlineStr">
        <is>
          <t>Chrome Women's Quarter Zip</t>
        </is>
      </c>
      <c r="D6702" s="0" t="inlineStr">
        <is>
          <t>'95477</t>
        </is>
      </c>
      <c r="E6702" s="0" t="inlineStr">
        <is>
          <t>CHROME W:95477E-2X</t>
        </is>
      </c>
      <c r="F6702" s="0" t="inlineStr">
        <is>
          <t>'000000000000</t>
        </is>
      </c>
      <c r="G6702" s="0" t="inlineStr">
        <is>
          <t>WOMENS</t>
        </is>
      </c>
      <c r="H6702" s="0" t="inlineStr">
        <is>
          <t>2XL</t>
        </is>
      </c>
      <c r="I6702" s="0">
        <v>31.99</v>
      </c>
      <c r="J6702" s="0">
        <v>1</v>
      </c>
    </row>
    <row r="6703" spans="1:10" customHeight="0">
      <c r="A6703" s="0">
        <f>HYPERLINK("https://dl.dropboxusercontent.com/scl/fi/1gbhpk3zl0l3i9bvza5qk/95477af.jpg?rlkey=juwqyw1j74osdgbrx6fj6vo0p&amp;dl=0","Click to download Image")</f>
      </c>
      <c r="B6703" s="0">
        <f>HYPERLINK("https://dl.dropboxusercontent.com/scl/fi/d1pju2a47quz99d1lhucm/size-chartladies-c.jpg?rlkey=ub6xgti6ydtyk1hrcegc1jlu1&amp;dl=0","Click to download SizeChart")</f>
      </c>
      <c r="C6703" s="0" t="inlineStr">
        <is>
          <t>Chrome Women's Quarter Zip</t>
        </is>
      </c>
      <c r="D6703" s="0" t="inlineStr">
        <is>
          <t>'95477</t>
        </is>
      </c>
      <c r="E6703" s="0" t="inlineStr">
        <is>
          <t>CHROME W:95477F-3X</t>
        </is>
      </c>
      <c r="F6703" s="0" t="inlineStr">
        <is>
          <t>'000000000000</t>
        </is>
      </c>
      <c r="G6703" s="0" t="inlineStr">
        <is>
          <t>WOMENS</t>
        </is>
      </c>
      <c r="H6703" s="0" t="inlineStr">
        <is>
          <t>3XL</t>
        </is>
      </c>
      <c r="I6703" s="0">
        <v>31.99</v>
      </c>
      <c r="J6703" s="0">
        <v>1</v>
      </c>
    </row>
    <row r="6704" spans="1:10" customHeight="0">
      <c r="A6704" s="0">
        <f>HYPERLINK("https://dl.dropboxusercontent.com/scl/fi/rqha4yz6c47prpupqf986/103296-af.jpg?rlkey=19cxbfdydy5d424u50lqlkh4b&amp;dl=0","Click to download Image")</f>
      </c>
      <c r="B6704" s="0">
        <f>HYPERLINK("https://dl.dropboxusercontent.com/scl/fi/d1pju2a47quz99d1lhucm/size-chartladies-c.jpg?rlkey=ub6xgti6ydtyk1hrcegc1jlu1&amp;dl=0","Click to download SizeChart")</f>
      </c>
      <c r="C6704" s="0" t="inlineStr">
        <is>
          <t>Chrome Women's Quarter Zip</t>
        </is>
      </c>
      <c r="D6704" s="0" t="inlineStr">
        <is>
          <t>'103296</t>
        </is>
      </c>
      <c r="E6704" s="0" t="inlineStr">
        <is>
          <t>CHROME:103296A-S</t>
        </is>
      </c>
      <c r="F6704" s="0" t="inlineStr">
        <is>
          <t>'000000000000</t>
        </is>
      </c>
      <c r="G6704" s="0" t="inlineStr">
        <is>
          <t>WOMENS</t>
        </is>
      </c>
      <c r="I6704" s="0">
        <v>29.99</v>
      </c>
      <c r="J6704" s="0">
        <v>10</v>
      </c>
    </row>
    <row r="6705" spans="1:10" customHeight="0">
      <c r="A6705" s="0">
        <f>HYPERLINK("https://dl.dropboxusercontent.com/scl/fi/rqha4yz6c47prpupqf986/103296-af.jpg?rlkey=19cxbfdydy5d424u50lqlkh4b&amp;dl=0","Click to download Image")</f>
      </c>
      <c r="B6705" s="0">
        <f>HYPERLINK("https://dl.dropboxusercontent.com/scl/fi/d1pju2a47quz99d1lhucm/size-chartladies-c.jpg?rlkey=ub6xgti6ydtyk1hrcegc1jlu1&amp;dl=0","Click to download SizeChart")</f>
      </c>
      <c r="C6705" s="0" t="inlineStr">
        <is>
          <t>Chrome Women's Quarter Zip</t>
        </is>
      </c>
      <c r="D6705" s="0" t="inlineStr">
        <is>
          <t>'103296</t>
        </is>
      </c>
      <c r="E6705" s="0" t="inlineStr">
        <is>
          <t>CHROME:103296B-M</t>
        </is>
      </c>
      <c r="F6705" s="0" t="inlineStr">
        <is>
          <t>'000000000000</t>
        </is>
      </c>
      <c r="G6705" s="0" t="inlineStr">
        <is>
          <t>WOMENS</t>
        </is>
      </c>
      <c r="I6705" s="0">
        <v>29.99</v>
      </c>
      <c r="J6705" s="0">
        <v>17</v>
      </c>
    </row>
    <row r="6706" spans="1:10" customHeight="0">
      <c r="A6706" s="0">
        <f>HYPERLINK("https://dl.dropboxusercontent.com/scl/fi/rqha4yz6c47prpupqf986/103296-af.jpg?rlkey=19cxbfdydy5d424u50lqlkh4b&amp;dl=0","Click to download Image")</f>
      </c>
      <c r="B6706" s="0">
        <f>HYPERLINK("https://dl.dropboxusercontent.com/scl/fi/d1pju2a47quz99d1lhucm/size-chartladies-c.jpg?rlkey=ub6xgti6ydtyk1hrcegc1jlu1&amp;dl=0","Click to download SizeChart")</f>
      </c>
      <c r="C6706" s="0" t="inlineStr">
        <is>
          <t>Chrome Women's Quarter Zip</t>
        </is>
      </c>
      <c r="D6706" s="0" t="inlineStr">
        <is>
          <t>'103296</t>
        </is>
      </c>
      <c r="E6706" s="0" t="inlineStr">
        <is>
          <t>CHROME:103296C-L</t>
        </is>
      </c>
      <c r="F6706" s="0" t="inlineStr">
        <is>
          <t>'000000000000</t>
        </is>
      </c>
      <c r="G6706" s="0" t="inlineStr">
        <is>
          <t>WOMENS</t>
        </is>
      </c>
      <c r="I6706" s="0">
        <v>29.99</v>
      </c>
      <c r="J6706" s="0">
        <v>34</v>
      </c>
    </row>
    <row r="6707" spans="1:10" customHeight="0">
      <c r="A6707" s="0">
        <f>HYPERLINK("https://dl.dropboxusercontent.com/scl/fi/rqha4yz6c47prpupqf986/103296-af.jpg?rlkey=19cxbfdydy5d424u50lqlkh4b&amp;dl=0","Click to download Image")</f>
      </c>
      <c r="B6707" s="0">
        <f>HYPERLINK("https://dl.dropboxusercontent.com/scl/fi/d1pju2a47quz99d1lhucm/size-chartladies-c.jpg?rlkey=ub6xgti6ydtyk1hrcegc1jlu1&amp;dl=0","Click to download SizeChart")</f>
      </c>
      <c r="C6707" s="0" t="inlineStr">
        <is>
          <t>Chrome Women's Quarter Zip</t>
        </is>
      </c>
      <c r="D6707" s="0" t="inlineStr">
        <is>
          <t>'103296</t>
        </is>
      </c>
      <c r="E6707" s="0" t="inlineStr">
        <is>
          <t>CHROME:103296D-XL</t>
        </is>
      </c>
      <c r="F6707" s="0" t="inlineStr">
        <is>
          <t>'000000000000</t>
        </is>
      </c>
      <c r="G6707" s="0" t="inlineStr">
        <is>
          <t>WOMENS</t>
        </is>
      </c>
      <c r="I6707" s="0">
        <v>29.99</v>
      </c>
      <c r="J6707" s="0">
        <v>38</v>
      </c>
    </row>
    <row r="6708" spans="1:10" customHeight="0">
      <c r="A6708" s="0">
        <f>HYPERLINK("https://dl.dropboxusercontent.com/scl/fi/rqha4yz6c47prpupqf986/103296-af.jpg?rlkey=19cxbfdydy5d424u50lqlkh4b&amp;dl=0","Click to download Image")</f>
      </c>
      <c r="B6708" s="0">
        <f>HYPERLINK("https://dl.dropboxusercontent.com/scl/fi/d1pju2a47quz99d1lhucm/size-chartladies-c.jpg?rlkey=ub6xgti6ydtyk1hrcegc1jlu1&amp;dl=0","Click to download SizeChart")</f>
      </c>
      <c r="C6708" s="0" t="inlineStr">
        <is>
          <t>Chrome Women's Quarter Zip</t>
        </is>
      </c>
      <c r="D6708" s="0" t="inlineStr">
        <is>
          <t>'103296</t>
        </is>
      </c>
      <c r="E6708" s="0" t="inlineStr">
        <is>
          <t>CHROME:103296E-2XL</t>
        </is>
      </c>
      <c r="F6708" s="0" t="inlineStr">
        <is>
          <t>'000000000000</t>
        </is>
      </c>
      <c r="G6708" s="0" t="inlineStr">
        <is>
          <t>WOMENS</t>
        </is>
      </c>
      <c r="I6708" s="0">
        <v>29.99</v>
      </c>
      <c r="J6708" s="0">
        <v>19</v>
      </c>
    </row>
    <row r="6709" spans="1:10" customHeight="0">
      <c r="A6709" s="0">
        <f>HYPERLINK("https://dl.dropboxusercontent.com/scl/fi/rqha4yz6c47prpupqf986/103296-af.jpg?rlkey=19cxbfdydy5d424u50lqlkh4b&amp;dl=0","Click to download Image")</f>
      </c>
      <c r="B6709" s="0">
        <f>HYPERLINK("https://dl.dropboxusercontent.com/scl/fi/d1pju2a47quz99d1lhucm/size-chartladies-c.jpg?rlkey=ub6xgti6ydtyk1hrcegc1jlu1&amp;dl=0","Click to download SizeChart")</f>
      </c>
      <c r="C6709" s="0" t="inlineStr">
        <is>
          <t>Chrome Women's Quarter Zip</t>
        </is>
      </c>
      <c r="D6709" s="0" t="inlineStr">
        <is>
          <t>'103296</t>
        </is>
      </c>
      <c r="E6709" s="0" t="inlineStr">
        <is>
          <t>CHROME:103296F-3XL</t>
        </is>
      </c>
      <c r="F6709" s="0" t="inlineStr">
        <is>
          <t>'000000000000</t>
        </is>
      </c>
      <c r="G6709" s="0" t="inlineStr">
        <is>
          <t>WOMENS</t>
        </is>
      </c>
      <c r="I6709" s="0">
        <v>29.99</v>
      </c>
      <c r="J6709" s="0">
        <v>12</v>
      </c>
    </row>
    <row r="6710" spans="1:10" customHeight="0">
      <c r="A6710" s="0">
        <f>HYPERLINK("https://dl.dropboxusercontent.com/scl/fi/2lwn6du9pzs3xy3zny1l1/90723af.jpg?rlkey=53zaoh9ugrwdywcdbypoid70i&amp;dl=0","Click to download Image")</f>
      </c>
      <c r="B6710" s="0">
        <f>HYPERLINK("https://dl.dropboxusercontent.com/scl/fi/67kzc7izzl65a13d7c4uv/mens-a.jpg?rlkey=62wyf0vnt7ylj2xzryw2o0via&amp;dl=0","Click to download SizeChart")</f>
      </c>
      <c r="C6710" s="0" t="inlineStr">
        <is>
          <t>Chrome Men's Quarter Zip</t>
        </is>
      </c>
      <c r="D6710" s="0" t="inlineStr">
        <is>
          <t>'90723</t>
        </is>
      </c>
      <c r="E6710" s="0" t="inlineStr">
        <is>
          <t>CHROME:90723A-S</t>
        </is>
      </c>
      <c r="F6710" s="0" t="inlineStr">
        <is>
          <t>'000000000000</t>
        </is>
      </c>
      <c r="G6710" s="0" t="inlineStr">
        <is>
          <t>MENS</t>
        </is>
      </c>
      <c r="H6710" s="0" t="inlineStr">
        <is>
          <t>S</t>
        </is>
      </c>
      <c r="I6710" s="0">
        <v>29.99</v>
      </c>
      <c r="J6710" s="0">
        <v>0</v>
      </c>
    </row>
    <row r="6711" spans="1:10" customHeight="0">
      <c r="A6711" s="0">
        <f>HYPERLINK("https://dl.dropboxusercontent.com/scl/fi/2lwn6du9pzs3xy3zny1l1/90723af.jpg?rlkey=53zaoh9ugrwdywcdbypoid70i&amp;dl=0","Click to download Image")</f>
      </c>
      <c r="B6711" s="0">
        <f>HYPERLINK("https://dl.dropboxusercontent.com/scl/fi/67kzc7izzl65a13d7c4uv/mens-a.jpg?rlkey=62wyf0vnt7ylj2xzryw2o0via&amp;dl=0","Click to download SizeChart")</f>
      </c>
      <c r="C6711" s="0" t="inlineStr">
        <is>
          <t>Chrome Men's Quarter Zip</t>
        </is>
      </c>
      <c r="D6711" s="0" t="inlineStr">
        <is>
          <t>'90723</t>
        </is>
      </c>
      <c r="E6711" s="0" t="inlineStr">
        <is>
          <t>CHROME:90723B-M</t>
        </is>
      </c>
      <c r="F6711" s="0" t="inlineStr">
        <is>
          <t>'000000000000</t>
        </is>
      </c>
      <c r="G6711" s="0" t="inlineStr">
        <is>
          <t>MENS</t>
        </is>
      </c>
      <c r="H6711" s="0" t="inlineStr">
        <is>
          <t>M</t>
        </is>
      </c>
      <c r="I6711" s="0">
        <v>29.99</v>
      </c>
      <c r="J6711" s="0">
        <v>11</v>
      </c>
    </row>
    <row r="6712" spans="1:10" customHeight="0">
      <c r="A6712" s="0">
        <f>HYPERLINK("https://dl.dropboxusercontent.com/scl/fi/2lwn6du9pzs3xy3zny1l1/90723af.jpg?rlkey=53zaoh9ugrwdywcdbypoid70i&amp;dl=0","Click to download Image")</f>
      </c>
      <c r="B6712" s="0">
        <f>HYPERLINK("https://dl.dropboxusercontent.com/scl/fi/67kzc7izzl65a13d7c4uv/mens-a.jpg?rlkey=62wyf0vnt7ylj2xzryw2o0via&amp;dl=0","Click to download SizeChart")</f>
      </c>
      <c r="C6712" s="0" t="inlineStr">
        <is>
          <t>Chrome Men's Quarter Zip</t>
        </is>
      </c>
      <c r="D6712" s="0" t="inlineStr">
        <is>
          <t>'90723</t>
        </is>
      </c>
      <c r="E6712" s="0" t="inlineStr">
        <is>
          <t>CHOME:90723C-L</t>
        </is>
      </c>
      <c r="F6712" s="0" t="inlineStr">
        <is>
          <t>'000000000000</t>
        </is>
      </c>
      <c r="G6712" s="0" t="inlineStr">
        <is>
          <t>MENS</t>
        </is>
      </c>
      <c r="H6712" s="0" t="inlineStr">
        <is>
          <t>L</t>
        </is>
      </c>
      <c r="I6712" s="0">
        <v>29.99</v>
      </c>
      <c r="J6712" s="0">
        <v>0</v>
      </c>
    </row>
    <row r="6713" spans="1:10" customHeight="0">
      <c r="A6713" s="0">
        <f>HYPERLINK("https://dl.dropboxusercontent.com/scl/fi/2lwn6du9pzs3xy3zny1l1/90723af.jpg?rlkey=53zaoh9ugrwdywcdbypoid70i&amp;dl=0","Click to download Image")</f>
      </c>
      <c r="B6713" s="0">
        <f>HYPERLINK("https://dl.dropboxusercontent.com/scl/fi/67kzc7izzl65a13d7c4uv/mens-a.jpg?rlkey=62wyf0vnt7ylj2xzryw2o0via&amp;dl=0","Click to download SizeChart")</f>
      </c>
      <c r="C6713" s="0" t="inlineStr">
        <is>
          <t>Chrome Men's Quarter Zip</t>
        </is>
      </c>
      <c r="D6713" s="0" t="inlineStr">
        <is>
          <t>'90723</t>
        </is>
      </c>
      <c r="E6713" s="0" t="inlineStr">
        <is>
          <t>CHROME:90723D-XL</t>
        </is>
      </c>
      <c r="F6713" s="0" t="inlineStr">
        <is>
          <t>'000000000000</t>
        </is>
      </c>
      <c r="G6713" s="0" t="inlineStr">
        <is>
          <t>MENS</t>
        </is>
      </c>
      <c r="H6713" s="0" t="inlineStr">
        <is>
          <t>XL</t>
        </is>
      </c>
      <c r="I6713" s="0">
        <v>29.99</v>
      </c>
      <c r="J6713" s="0">
        <v>0</v>
      </c>
    </row>
    <row r="6714" spans="1:10" customHeight="0">
      <c r="A6714" s="0">
        <f>HYPERLINK("https://dl.dropboxusercontent.com/scl/fi/2lwn6du9pzs3xy3zny1l1/90723af.jpg?rlkey=53zaoh9ugrwdywcdbypoid70i&amp;dl=0","Click to download Image")</f>
      </c>
      <c r="B6714" s="0">
        <f>HYPERLINK("https://dl.dropboxusercontent.com/scl/fi/67kzc7izzl65a13d7c4uv/mens-a.jpg?rlkey=62wyf0vnt7ylj2xzryw2o0via&amp;dl=0","Click to download SizeChart")</f>
      </c>
      <c r="C6714" s="0" t="inlineStr">
        <is>
          <t>Chrome Men's Quarter Zip</t>
        </is>
      </c>
      <c r="D6714" s="0" t="inlineStr">
        <is>
          <t>'90723</t>
        </is>
      </c>
      <c r="E6714" s="0" t="inlineStr">
        <is>
          <t>CHROME:90723E-2XL</t>
        </is>
      </c>
      <c r="F6714" s="0" t="inlineStr">
        <is>
          <t>'000000000000</t>
        </is>
      </c>
      <c r="G6714" s="0" t="inlineStr">
        <is>
          <t>MENS</t>
        </is>
      </c>
      <c r="H6714" s="0" t="inlineStr">
        <is>
          <t>2XL</t>
        </is>
      </c>
      <c r="I6714" s="0">
        <v>31.99</v>
      </c>
      <c r="J6714" s="0">
        <v>0</v>
      </c>
    </row>
    <row r="6715" spans="1:10" customHeight="0">
      <c r="A6715" s="0">
        <f>HYPERLINK("https://dl.dropboxusercontent.com/scl/fi/j78fvct5gxgnn36byslj2/103262-af.jpg?rlkey=vcgb47kr8slb37keq40jfjlz5&amp;dl=0","Click to download Image")</f>
      </c>
      <c r="B6715" s="0">
        <f>HYPERLINK("https://dl.dropboxusercontent.com/scl/fi/67kzc7izzl65a13d7c4uv/mens-a.jpg?rlkey=62wyf0vnt7ylj2xzryw2o0via&amp;dl=0","Click to download SizeChart")</f>
      </c>
      <c r="C6715" s="0" t="inlineStr">
        <is>
          <t>Chrome Men's Quarter Zip</t>
        </is>
      </c>
      <c r="D6715" s="0" t="inlineStr">
        <is>
          <t>'103262</t>
        </is>
      </c>
      <c r="E6715" s="0" t="inlineStr">
        <is>
          <t>CHROME:103262A-S</t>
        </is>
      </c>
      <c r="F6715" s="0" t="inlineStr">
        <is>
          <t>'000000000000</t>
        </is>
      </c>
      <c r="G6715" s="0" t="inlineStr">
        <is>
          <t>MENS</t>
        </is>
      </c>
      <c r="H6715" s="0" t="inlineStr">
        <is>
          <t>S</t>
        </is>
      </c>
      <c r="I6715" s="0">
        <v>29.99</v>
      </c>
      <c r="J6715" s="0">
        <v>12</v>
      </c>
    </row>
    <row r="6716" spans="1:10" customHeight="0">
      <c r="A6716" s="0">
        <f>HYPERLINK("https://dl.dropboxusercontent.com/scl/fi/j78fvct5gxgnn36byslj2/103262-af.jpg?rlkey=vcgb47kr8slb37keq40jfjlz5&amp;dl=0","Click to download Image")</f>
      </c>
      <c r="B6716" s="0">
        <f>HYPERLINK("https://dl.dropboxusercontent.com/scl/fi/67kzc7izzl65a13d7c4uv/mens-a.jpg?rlkey=62wyf0vnt7ylj2xzryw2o0via&amp;dl=0","Click to download SizeChart")</f>
      </c>
      <c r="C6716" s="0" t="inlineStr">
        <is>
          <t>Chrome Men's Quarter Zip</t>
        </is>
      </c>
      <c r="D6716" s="0" t="inlineStr">
        <is>
          <t>'103262</t>
        </is>
      </c>
      <c r="E6716" s="0" t="inlineStr">
        <is>
          <t>CHROME:103262B-M</t>
        </is>
      </c>
      <c r="F6716" s="0" t="inlineStr">
        <is>
          <t>'000000000000</t>
        </is>
      </c>
      <c r="G6716" s="0" t="inlineStr">
        <is>
          <t>MENS</t>
        </is>
      </c>
      <c r="H6716" s="0" t="inlineStr">
        <is>
          <t>M</t>
        </is>
      </c>
      <c r="I6716" s="0">
        <v>29.99</v>
      </c>
      <c r="J6716" s="0">
        <v>3</v>
      </c>
    </row>
    <row r="6717" spans="1:10" customHeight="0">
      <c r="A6717" s="0">
        <f>HYPERLINK("https://dl.dropboxusercontent.com/scl/fi/j78fvct5gxgnn36byslj2/103262-af.jpg?rlkey=vcgb47kr8slb37keq40jfjlz5&amp;dl=0","Click to download Image")</f>
      </c>
      <c r="B6717" s="0">
        <f>HYPERLINK("https://dl.dropboxusercontent.com/scl/fi/67kzc7izzl65a13d7c4uv/mens-a.jpg?rlkey=62wyf0vnt7ylj2xzryw2o0via&amp;dl=0","Click to download SizeChart")</f>
      </c>
      <c r="C6717" s="0" t="inlineStr">
        <is>
          <t>Chrome Men's Quarter Zip</t>
        </is>
      </c>
      <c r="D6717" s="0" t="inlineStr">
        <is>
          <t>'103262</t>
        </is>
      </c>
      <c r="E6717" s="0" t="inlineStr">
        <is>
          <t>CHOME:103262C-L</t>
        </is>
      </c>
      <c r="F6717" s="0" t="inlineStr">
        <is>
          <t>'000000000000</t>
        </is>
      </c>
      <c r="G6717" s="0" t="inlineStr">
        <is>
          <t>MENS</t>
        </is>
      </c>
      <c r="H6717" s="0" t="inlineStr">
        <is>
          <t>L</t>
        </is>
      </c>
      <c r="I6717" s="0">
        <v>29.99</v>
      </c>
      <c r="J6717" s="0">
        <v>0</v>
      </c>
    </row>
    <row r="6718" spans="1:10" customHeight="0">
      <c r="A6718" s="0">
        <f>HYPERLINK("https://dl.dropboxusercontent.com/scl/fi/j78fvct5gxgnn36byslj2/103262-af.jpg?rlkey=vcgb47kr8slb37keq40jfjlz5&amp;dl=0","Click to download Image")</f>
      </c>
      <c r="B6718" s="0">
        <f>HYPERLINK("https://dl.dropboxusercontent.com/scl/fi/67kzc7izzl65a13d7c4uv/mens-a.jpg?rlkey=62wyf0vnt7ylj2xzryw2o0via&amp;dl=0","Click to download SizeChart")</f>
      </c>
      <c r="C6718" s="0" t="inlineStr">
        <is>
          <t>Chrome Men's Quarter Zip</t>
        </is>
      </c>
      <c r="D6718" s="0" t="inlineStr">
        <is>
          <t>'103262</t>
        </is>
      </c>
      <c r="E6718" s="0" t="inlineStr">
        <is>
          <t>CHROME:103262D-XL</t>
        </is>
      </c>
      <c r="F6718" s="0" t="inlineStr">
        <is>
          <t>'000000000000</t>
        </is>
      </c>
      <c r="G6718" s="0" t="inlineStr">
        <is>
          <t>MENS</t>
        </is>
      </c>
      <c r="H6718" s="0" t="inlineStr">
        <is>
          <t>XL</t>
        </is>
      </c>
      <c r="I6718" s="0">
        <v>29.99</v>
      </c>
      <c r="J6718" s="0">
        <v>0</v>
      </c>
    </row>
    <row r="6719" spans="1:10" customHeight="0">
      <c r="A6719" s="0">
        <f>HYPERLINK("https://dl.dropboxusercontent.com/scl/fi/j78fvct5gxgnn36byslj2/103262-af.jpg?rlkey=vcgb47kr8slb37keq40jfjlz5&amp;dl=0","Click to download Image")</f>
      </c>
      <c r="B6719" s="0">
        <f>HYPERLINK("https://dl.dropboxusercontent.com/scl/fi/67kzc7izzl65a13d7c4uv/mens-a.jpg?rlkey=62wyf0vnt7ylj2xzryw2o0via&amp;dl=0","Click to download SizeChart")</f>
      </c>
      <c r="C6719" s="0" t="inlineStr">
        <is>
          <t>Chrome Men's Quarter Zip</t>
        </is>
      </c>
      <c r="D6719" s="0" t="inlineStr">
        <is>
          <t>'103262</t>
        </is>
      </c>
      <c r="E6719" s="0" t="inlineStr">
        <is>
          <t>CHROME:103262E-2XL</t>
        </is>
      </c>
      <c r="F6719" s="0" t="inlineStr">
        <is>
          <t>'000000000000</t>
        </is>
      </c>
      <c r="G6719" s="0" t="inlineStr">
        <is>
          <t>MENS</t>
        </is>
      </c>
      <c r="H6719" s="0" t="inlineStr">
        <is>
          <t>2XL</t>
        </is>
      </c>
      <c r="I6719" s="0">
        <v>31.99</v>
      </c>
      <c r="J6719" s="0">
        <v>0</v>
      </c>
    </row>
    <row r="6720" spans="1:10" customHeight="0">
      <c r="A6720" s="0">
        <f>HYPERLINK("https://dl.dropboxusercontent.com/scl/fi/j78fvct5gxgnn36byslj2/103262-af.jpg?rlkey=vcgb47kr8slb37keq40jfjlz5&amp;dl=0","Click to download Image")</f>
      </c>
      <c r="B6720" s="0">
        <f>HYPERLINK("https://dl.dropboxusercontent.com/scl/fi/67kzc7izzl65a13d7c4uv/mens-a.jpg?rlkey=62wyf0vnt7ylj2xzryw2o0via&amp;dl=0","Click to download SizeChart")</f>
      </c>
      <c r="C6720" s="0" t="inlineStr">
        <is>
          <t>Chrome Men's Quarter Zip</t>
        </is>
      </c>
      <c r="D6720" s="0" t="inlineStr">
        <is>
          <t>'103262</t>
        </is>
      </c>
      <c r="E6720" s="0" t="inlineStr">
        <is>
          <t>CHROME:103262F-3XL</t>
        </is>
      </c>
      <c r="F6720" s="0" t="inlineStr">
        <is>
          <t>'000000000000</t>
        </is>
      </c>
      <c r="G6720" s="0" t="inlineStr">
        <is>
          <t>MENS</t>
        </is>
      </c>
      <c r="H6720" s="0" t="inlineStr">
        <is>
          <t>3XL</t>
        </is>
      </c>
      <c r="I6720" s="0">
        <v>31.99</v>
      </c>
      <c r="J6720" s="0">
        <v>4</v>
      </c>
    </row>
    <row r="6721" spans="1:10" customHeight="0">
      <c r="A6721" s="0">
        <f>HYPERLINK("https://dl.dropboxusercontent.com/scl/fi/vqw0euic3dxb9uova9n6w/ns.jpg?rlkey=9axlzpn8lh0thh70z3v16ymmo&amp;dl=0","Click to download Image")</f>
      </c>
      <c r="C6721" s="0" t="inlineStr">
        <is>
          <t>Licensed Adult Neck Sleeve</t>
        </is>
      </c>
      <c r="D6721" s="0" t="inlineStr">
        <is>
          <t>'118884</t>
        </is>
      </c>
      <c r="E6721" s="0" t="inlineStr">
        <is>
          <t>IOWA NECKSLEEVE:118884OSFM</t>
        </is>
      </c>
      <c r="F6721" s="0" t="inlineStr">
        <is>
          <t>'800118884345</t>
        </is>
      </c>
      <c r="H6721" s="0" t="inlineStr">
        <is>
          <t>OSFM</t>
        </is>
      </c>
      <c r="I6721" s="0">
        <v>19.99</v>
      </c>
      <c r="J6721" s="0">
        <v>678</v>
      </c>
    </row>
    <row r="6722" spans="1:10" customHeight="0">
      <c r="A6722" s="0">
        <f>HYPERLINK("https://dl.dropboxusercontent.com/scl/fi/kxzukpw73syp1gqyl601u/licensed-ns-a-03.jpg?rlkey=990rts6eq8xmpo29aishx5tkz&amp;dl=0","Click to download Image")</f>
      </c>
      <c r="C6722" s="0" t="inlineStr">
        <is>
          <t>Licensed Adult Neck Sleeve</t>
        </is>
      </c>
      <c r="D6722" s="0" t="inlineStr">
        <is>
          <t>'118886</t>
        </is>
      </c>
      <c r="E6722" s="0" t="inlineStr">
        <is>
          <t>IOWA NECKSLEEVE:118886OSFM</t>
        </is>
      </c>
      <c r="F6722" s="0" t="inlineStr">
        <is>
          <t>'800118884345</t>
        </is>
      </c>
      <c r="H6722" s="0" t="inlineStr">
        <is>
          <t>OSFM</t>
        </is>
      </c>
      <c r="I6722" s="0">
        <v>19.99</v>
      </c>
      <c r="J6722" s="0">
        <v>629</v>
      </c>
    </row>
    <row r="6723" spans="1:10" customHeight="0">
      <c r="A6723" s="0">
        <f>HYPERLINK("https://dl.dropboxusercontent.com/scl/fi/1rdtgtt7efy146kmxx5lf/licensed-ns-a-04.jpg?rlkey=4417fcfqn4t8usr6hozc2sfby&amp;dl=0","Click to download Image")</f>
      </c>
      <c r="C6723" s="0" t="inlineStr">
        <is>
          <t>Licensed Adult Neck Sleeve</t>
        </is>
      </c>
      <c r="D6723" s="0" t="inlineStr">
        <is>
          <t>'118869</t>
        </is>
      </c>
      <c r="E6723" s="0" t="inlineStr">
        <is>
          <t>IOWA NECKSLEEVE:118869OSFM</t>
        </is>
      </c>
      <c r="F6723" s="0" t="inlineStr">
        <is>
          <t>'800118884345</t>
        </is>
      </c>
      <c r="H6723" s="0" t="inlineStr">
        <is>
          <t>OSFM</t>
        </is>
      </c>
      <c r="I6723" s="0">
        <v>19.99</v>
      </c>
      <c r="J6723" s="0">
        <v>690</v>
      </c>
    </row>
    <row r="6724" spans="1:10" customHeight="0">
      <c r="A6724" s="0">
        <f>HYPERLINK("https://dl.dropboxusercontent.com/scl/fi/i52m60zoapue6uit1ypg9/dsc4879.jpg?rlkey=n71yzyhyqrwjjz6mrp7n9yw7o&amp;dl=0","Click to download Image")</f>
      </c>
      <c r="C6724" s="0" t="inlineStr">
        <is>
          <t>Licensed Adult Neck Sleeve</t>
        </is>
      </c>
      <c r="D6724" s="0" t="inlineStr">
        <is>
          <t>'118868</t>
        </is>
      </c>
      <c r="E6724" s="0" t="inlineStr">
        <is>
          <t>IOWA NECKSLEEVE:118868OSFM</t>
        </is>
      </c>
      <c r="F6724" s="0" t="inlineStr">
        <is>
          <t>'800118884345</t>
        </is>
      </c>
      <c r="H6724" s="0" t="inlineStr">
        <is>
          <t>OSFM</t>
        </is>
      </c>
      <c r="I6724" s="0">
        <v>19.99</v>
      </c>
      <c r="J6724" s="0">
        <v>192</v>
      </c>
    </row>
    <row r="6725" spans="1:10" customHeight="0">
      <c r="A6725" s="0">
        <f>HYPERLINK("https://dl.dropboxusercontent.com/scl/fi/amu5b3dxskryaycny0yeq/dsc4853edit.jpg?rlkey=8c4wpwybxvred6jqdjq9d69vy&amp;dl=0","Click to download Image")</f>
      </c>
      <c r="C6725" s="0" t="inlineStr">
        <is>
          <t>Licensed Adult Neck Sleeve</t>
        </is>
      </c>
      <c r="D6725" s="0" t="inlineStr">
        <is>
          <t>'118883</t>
        </is>
      </c>
      <c r="E6725" s="0" t="inlineStr">
        <is>
          <t>IOWA NECKSLEEVE:118883OSFM</t>
        </is>
      </c>
      <c r="F6725" s="0" t="inlineStr">
        <is>
          <t>'800118884345</t>
        </is>
      </c>
      <c r="H6725" s="0" t="inlineStr">
        <is>
          <t>OSFM</t>
        </is>
      </c>
      <c r="I6725" s="0">
        <v>19.99</v>
      </c>
      <c r="J6725" s="0">
        <v>904</v>
      </c>
    </row>
    <row r="6726" spans="1:10" customHeight="0">
      <c r="A6726" s="0">
        <f>HYPERLINK("https://dl.dropboxusercontent.com/scl/fi/5u2nfqzmp0tsvnmqeil5h/dsc4809.jpg?rlkey=mplre8fo4s6hgz9amr4a4645g&amp;dl=0","Click to download Image")</f>
      </c>
      <c r="C6726" s="0" t="inlineStr">
        <is>
          <t>Licensed Adult Neck Sleeve</t>
        </is>
      </c>
      <c r="D6726" s="0" t="inlineStr">
        <is>
          <t>'118892</t>
        </is>
      </c>
      <c r="E6726" s="0" t="inlineStr">
        <is>
          <t>ISU NECKSLEEVE:118892OSFM</t>
        </is>
      </c>
      <c r="F6726" s="0" t="inlineStr">
        <is>
          <t>'801118247345</t>
        </is>
      </c>
      <c r="H6726" s="0" t="inlineStr">
        <is>
          <t>OSFM</t>
        </is>
      </c>
      <c r="I6726" s="0">
        <v>19.99</v>
      </c>
      <c r="J6726" s="0">
        <v>284</v>
      </c>
    </row>
    <row r="6727" spans="1:10" customHeight="0">
      <c r="A6727" s="0">
        <f>HYPERLINK("https://dl.dropboxusercontent.com/scl/fi/ke08q50w4fz6luli16k54/licensed-ns-a-09.jpg?rlkey=ebwut6v5syg8hyeha4aq5jtzy&amp;dl=0","Click to download Image")</f>
      </c>
      <c r="C6727" s="0" t="inlineStr">
        <is>
          <t>Licensed Adult Neck Sleeve</t>
        </is>
      </c>
      <c r="D6727" s="0" t="inlineStr">
        <is>
          <t>'118247</t>
        </is>
      </c>
      <c r="E6727" s="0" t="inlineStr">
        <is>
          <t>ISU NECKSLEEVE:118247OSFM</t>
        </is>
      </c>
      <c r="F6727" s="0" t="inlineStr">
        <is>
          <t>'801118247345</t>
        </is>
      </c>
      <c r="H6727" s="0" t="inlineStr">
        <is>
          <t>OSFM</t>
        </is>
      </c>
      <c r="I6727" s="0">
        <v>19.99</v>
      </c>
      <c r="J6727" s="0">
        <v>340</v>
      </c>
    </row>
    <row r="6728" spans="1:10" customHeight="0">
      <c r="A6728" s="0">
        <f>HYPERLINK("https://dl.dropboxusercontent.com/scl/fi/l69u0woe3y1jddk4icopl/licensed-ns-a-10.jpg?rlkey=ovoqnkvt0c7k7mllys06cznfa&amp;dl=0","Click to download Image")</f>
      </c>
      <c r="C6728" s="0" t="inlineStr">
        <is>
          <t>Licensed Adult Neck Sleeve</t>
        </is>
      </c>
      <c r="D6728" s="0" t="inlineStr">
        <is>
          <t>'118889</t>
        </is>
      </c>
      <c r="E6728" s="0" t="inlineStr">
        <is>
          <t>ISU NECKSLEEVE:118889OSFM</t>
        </is>
      </c>
      <c r="F6728" s="0" t="inlineStr">
        <is>
          <t>'801118247345</t>
        </is>
      </c>
      <c r="H6728" s="0" t="inlineStr">
        <is>
          <t>OSFM</t>
        </is>
      </c>
      <c r="I6728" s="0">
        <v>19.99</v>
      </c>
      <c r="J6728" s="0">
        <v>477</v>
      </c>
    </row>
    <row r="6729" spans="1:10" customHeight="0">
      <c r="A6729" s="0">
        <f>HYPERLINK("https://dl.dropboxusercontent.com/scl/fi/iavmvywvnjqdb6tfbsktv/ns.jpg?rlkey=h81ednw8yjlssnwaercagupdd&amp;dl=0","Click to download Image")</f>
      </c>
      <c r="C6729" s="0" t="inlineStr">
        <is>
          <t>Licensed Adult Neck Sleeve</t>
        </is>
      </c>
      <c r="D6729" s="0" t="inlineStr">
        <is>
          <t>'118894</t>
        </is>
      </c>
      <c r="E6729" s="0" t="inlineStr">
        <is>
          <t>UNI NECKSLEEVE:118894OSFM</t>
        </is>
      </c>
      <c r="F6729" s="0" t="inlineStr">
        <is>
          <t>'802118893341</t>
        </is>
      </c>
      <c r="H6729" s="0" t="inlineStr">
        <is>
          <t>OSFM</t>
        </is>
      </c>
      <c r="I6729" s="0">
        <v>19.99</v>
      </c>
      <c r="J6729" s="0">
        <v>250</v>
      </c>
    </row>
    <row r="6730" spans="1:10" customHeight="0">
      <c r="A6730" s="0">
        <f>HYPERLINK("https://dl.dropboxusercontent.com/scl/fi/ha3d2q4bewc9ncb0hje0h/licensed-ns-a-12.jpg?rlkey=agmpyalch89viw4tkecfxa6d5&amp;dl=0","Click to download Image")</f>
      </c>
      <c r="C6730" s="0" t="inlineStr">
        <is>
          <t>Licensed Adult Neck Sleeve</t>
        </is>
      </c>
      <c r="D6730" s="0" t="inlineStr">
        <is>
          <t>'118896</t>
        </is>
      </c>
      <c r="E6730" s="0" t="inlineStr">
        <is>
          <t>UNI NECKSLEEVE:118896OSFM</t>
        </is>
      </c>
      <c r="F6730" s="0" t="inlineStr">
        <is>
          <t>'802118893341</t>
        </is>
      </c>
      <c r="H6730" s="0" t="inlineStr">
        <is>
          <t>OSFM</t>
        </is>
      </c>
      <c r="I6730" s="0">
        <v>19.99</v>
      </c>
      <c r="J6730" s="0">
        <v>28</v>
      </c>
    </row>
    <row r="6731" spans="1:10" customHeight="0">
      <c r="A6731" s="0">
        <f>HYPERLINK("https://dl.dropboxusercontent.com/scl/fi/mfpbg8lhmfstx0lnfcyrb/dsc4842-1.jpg?rlkey=retaubfrzxmky98bharwainll&amp;dl=0","Click to download Image")</f>
      </c>
      <c r="C6731" s="0" t="inlineStr">
        <is>
          <t>Licensed Adult Neck Sleeve</t>
        </is>
      </c>
      <c r="D6731" s="0" t="inlineStr">
        <is>
          <t>'118218</t>
        </is>
      </c>
      <c r="E6731" s="0" t="inlineStr">
        <is>
          <t>UNI NECKSLEEVE:118218OSFM</t>
        </is>
      </c>
      <c r="F6731" s="0" t="inlineStr">
        <is>
          <t>'802118893341</t>
        </is>
      </c>
      <c r="H6731" s="0" t="inlineStr">
        <is>
          <t>OSFM</t>
        </is>
      </c>
      <c r="I6731" s="0">
        <v>19.99</v>
      </c>
      <c r="J6731" s="0">
        <v>184</v>
      </c>
    </row>
    <row r="6732" spans="1:10" customHeight="0">
      <c r="A6732" s="0">
        <f>HYPERLINK("https://dl.dropboxusercontent.com/scl/fi/ny1n16i6awzc8g82071t1/licensed-ns-a-14.jpg?rlkey=2pw32w3o6lwjv5ta20dmy7he1&amp;dl=0","Click to download Image")</f>
      </c>
      <c r="C6732" s="0" t="inlineStr">
        <is>
          <t>Licensed Adult Neck Sleeve</t>
        </is>
      </c>
      <c r="D6732" s="0" t="inlineStr">
        <is>
          <t>'118219</t>
        </is>
      </c>
      <c r="E6732" s="0" t="inlineStr">
        <is>
          <t>UNI NECKSLEEVE:118219OSFM</t>
        </is>
      </c>
      <c r="F6732" s="0" t="inlineStr">
        <is>
          <t>'802118893341</t>
        </is>
      </c>
      <c r="H6732" s="0" t="inlineStr">
        <is>
          <t>OSFM</t>
        </is>
      </c>
      <c r="I6732" s="0">
        <v>19.99</v>
      </c>
      <c r="J6732" s="0">
        <v>233</v>
      </c>
    </row>
    <row r="6733" spans="1:10" customHeight="0">
      <c r="A6733" s="0">
        <f>HYPERLINK("https://dl.dropboxusercontent.com/scl/fi/1uqk6t85rr8cnmw3dawlw/licensed-ns-a-15.jpg?rlkey=w4n134v47ng1hme5xuo8m808o&amp;dl=0","Click to download Image")</f>
      </c>
      <c r="C6733" s="0" t="inlineStr">
        <is>
          <t>Licensed Adult Neck Sleeve</t>
        </is>
      </c>
      <c r="D6733" s="0" t="inlineStr">
        <is>
          <t>'118893</t>
        </is>
      </c>
      <c r="E6733" s="0" t="inlineStr">
        <is>
          <t>UNI NECKSLEEVE:118893OSFM</t>
        </is>
      </c>
      <c r="F6733" s="0" t="inlineStr">
        <is>
          <t>'802118893341</t>
        </is>
      </c>
      <c r="H6733" s="0" t="inlineStr">
        <is>
          <t>OSFM</t>
        </is>
      </c>
      <c r="I6733" s="0">
        <v>19.99</v>
      </c>
      <c r="J6733" s="0">
        <v>233</v>
      </c>
    </row>
    <row r="6734" spans="1:10" customHeight="0">
      <c r="A6734" s="0">
        <f>HYPERLINK("https://dl.dropboxusercontent.com/scl/fi/ibbaktamvqj8cglo9ulxf/ns.jpg?rlkey=pxigm1yp7z9xo9vb0b5gphcwu&amp;dl=0","Click to download Image")</f>
      </c>
      <c r="C6734" s="0" t="inlineStr">
        <is>
          <t>Licensed Adult Neck Sleeve</t>
        </is>
      </c>
      <c r="D6734" s="0" t="inlineStr">
        <is>
          <t>'119694</t>
        </is>
      </c>
      <c r="E6734" s="0" t="inlineStr">
        <is>
          <t>CREIGHTON NECKSLEEVE:119694OSFM</t>
        </is>
      </c>
      <c r="F6734" s="0" t="inlineStr">
        <is>
          <t>'810119692344</t>
        </is>
      </c>
      <c r="H6734" s="0" t="inlineStr">
        <is>
          <t>OSFM</t>
        </is>
      </c>
      <c r="I6734" s="0">
        <v>19.99</v>
      </c>
      <c r="J6734" s="0">
        <v>94</v>
      </c>
    </row>
    <row r="6735" spans="1:10" customHeight="0">
      <c r="A6735" s="0">
        <f>HYPERLINK("https://dl.dropboxusercontent.com/scl/fi/h1ju8prsaup1f8o49q99n/dsc0154.jpg?rlkey=micjroy4ry31mbcqsi3queugv&amp;dl=0","Click to download Image")</f>
      </c>
      <c r="C6735" s="0" t="inlineStr">
        <is>
          <t>Licensed Adult Neck Sleeve</t>
        </is>
      </c>
      <c r="D6735" s="0" t="inlineStr">
        <is>
          <t>'119692</t>
        </is>
      </c>
      <c r="E6735" s="0" t="inlineStr">
        <is>
          <t>CREIGHTON NECKSLEEVE:119692OSFM</t>
        </is>
      </c>
      <c r="F6735" s="0" t="inlineStr">
        <is>
          <t>'810119692344</t>
        </is>
      </c>
      <c r="H6735" s="0" t="inlineStr">
        <is>
          <t>OSFM</t>
        </is>
      </c>
      <c r="I6735" s="0">
        <v>19.99</v>
      </c>
      <c r="J6735" s="0">
        <v>94</v>
      </c>
    </row>
    <row r="6736" spans="1:10" customHeight="0">
      <c r="A6736" s="0">
        <f>HYPERLINK("https://dl.dropboxusercontent.com/scl/fi/rybmn939lm81t51rbl4wk/licensed-ns-a-18.jpg?rlkey=ugnxij6z9ox9l12wffmu8xmli&amp;dl=0","Click to download Image")</f>
      </c>
      <c r="C6736" s="0" t="inlineStr">
        <is>
          <t>Licensed Adult Neck Sleeve</t>
        </is>
      </c>
      <c r="D6736" s="0" t="inlineStr">
        <is>
          <t>'119697</t>
        </is>
      </c>
      <c r="E6736" s="0" t="inlineStr">
        <is>
          <t>CREIGHTON NECKSLEEVE:119697OSFM</t>
        </is>
      </c>
      <c r="F6736" s="0" t="inlineStr">
        <is>
          <t>'810119692344</t>
        </is>
      </c>
      <c r="H6736" s="0" t="inlineStr">
        <is>
          <t>OSFM</t>
        </is>
      </c>
      <c r="I6736" s="0">
        <v>19.99</v>
      </c>
      <c r="J6736" s="0">
        <v>90</v>
      </c>
    </row>
    <row r="6737" spans="1:10" customHeight="0">
      <c r="A6737" s="0">
        <f>HYPERLINK("https://dl.dropboxusercontent.com/scl/fi/cg9i4ba6aic72lsvfq1ih/licensed-ns-a-19.jpg?rlkey=sqcyzww73upjeoi9lut4eofq0&amp;dl=0","Click to download Image")</f>
      </c>
      <c r="C6737" s="0" t="inlineStr">
        <is>
          <t>Licensed Adult Neck Sleeve</t>
        </is>
      </c>
      <c r="D6737" s="0" t="inlineStr">
        <is>
          <t>'119696</t>
        </is>
      </c>
      <c r="E6737" s="0" t="inlineStr">
        <is>
          <t>CREIGHTON NECKSLEEVE:119696OSFM</t>
        </is>
      </c>
      <c r="F6737" s="0" t="inlineStr">
        <is>
          <t>'810119692344</t>
        </is>
      </c>
      <c r="H6737" s="0" t="inlineStr">
        <is>
          <t>OSFM</t>
        </is>
      </c>
      <c r="I6737" s="0">
        <v>19.99</v>
      </c>
      <c r="J6737" s="0">
        <v>96</v>
      </c>
    </row>
    <row r="6738" spans="1:10" customHeight="0">
      <c r="A6738" s="0">
        <f>HYPERLINK("https://dl.dropboxusercontent.com/scl/fi/zf4llbk5jyj1pxpt4r4gv/licensed-ns-a-20.jpg?rlkey=ic1zx6qcaspceeluyzs8o2w8l&amp;dl=0","Click to download Image")</f>
      </c>
      <c r="C6738" s="0" t="inlineStr">
        <is>
          <t>Licensed Adult Neck Sleeve</t>
        </is>
      </c>
      <c r="D6738" s="0" t="inlineStr">
        <is>
          <t>'119695</t>
        </is>
      </c>
      <c r="E6738" s="0" t="inlineStr">
        <is>
          <t>CREIGHTON NECKSLEEVE:119695OSFM</t>
        </is>
      </c>
      <c r="F6738" s="0" t="inlineStr">
        <is>
          <t>'810119692344</t>
        </is>
      </c>
      <c r="H6738" s="0" t="inlineStr">
        <is>
          <t>OSFM</t>
        </is>
      </c>
      <c r="I6738" s="0">
        <v>19.99</v>
      </c>
      <c r="J6738" s="0">
        <v>94</v>
      </c>
    </row>
    <row r="6739" spans="1:10" customHeight="0">
      <c r="A6739" s="0">
        <f>HYPERLINK("https://dl.dropboxusercontent.com/scl/fi/8d41ovm20scjyrkof62di/ns71831.jpg?rlkey=fdatpb48v4vsqehmyi60wocmz&amp;dl=0","Click to download Image")</f>
      </c>
      <c r="C6739" s="0" t="inlineStr">
        <is>
          <t>Licensed Adult Neck Sleeve</t>
        </is>
      </c>
      <c r="D6739" s="0" t="inlineStr">
        <is>
          <t>'119527</t>
        </is>
      </c>
      <c r="E6739" s="0" t="inlineStr">
        <is>
          <t>KSU NECK SLEEVE:119527OSFM</t>
        </is>
      </c>
      <c r="F6739" s="0" t="inlineStr">
        <is>
          <t>'805119526348</t>
        </is>
      </c>
      <c r="H6739" s="0" t="inlineStr">
        <is>
          <t>OSFM</t>
        </is>
      </c>
      <c r="I6739" s="0">
        <v>19.99</v>
      </c>
      <c r="J6739" s="0">
        <v>240</v>
      </c>
    </row>
    <row r="6740" spans="1:10" customHeight="0">
      <c r="A6740" s="0">
        <f>HYPERLINK("https://dl.dropboxusercontent.com/scl/fi/4wtcmlsnydvxt1ikh0t4q/licensed-ns-a-22.jpg?rlkey=iw83sg4peb514xpe28o6mhyke&amp;dl=0","Click to download Image")</f>
      </c>
      <c r="C6740" s="0" t="inlineStr">
        <is>
          <t>Licensed Adult Neck Sleeve</t>
        </is>
      </c>
      <c r="D6740" s="0" t="inlineStr">
        <is>
          <t>'119526</t>
        </is>
      </c>
      <c r="E6740" s="0" t="inlineStr">
        <is>
          <t>KSU NECK SLEEVE:119526OSFM</t>
        </is>
      </c>
      <c r="F6740" s="0" t="inlineStr">
        <is>
          <t>'805119526348</t>
        </is>
      </c>
      <c r="H6740" s="0" t="inlineStr">
        <is>
          <t>OSFM</t>
        </is>
      </c>
      <c r="I6740" s="0">
        <v>19.99</v>
      </c>
      <c r="J6740" s="0">
        <v>230</v>
      </c>
    </row>
    <row r="6741" spans="1:10" customHeight="0">
      <c r="A6741" s="0">
        <f>HYPERLINK("https://dl.dropboxusercontent.com/scl/fi/tfh5r4h283k5ji8o2t7wc/licensed-ns-a-23.jpg?rlkey=ypetw98euy87k147qlodxkby7&amp;dl=0","Click to download Image")</f>
      </c>
      <c r="C6741" s="0" t="inlineStr">
        <is>
          <t>Licensed Adult Neck Sleeve</t>
        </is>
      </c>
      <c r="D6741" s="0" t="inlineStr">
        <is>
          <t>'119530</t>
        </is>
      </c>
      <c r="E6741" s="0" t="inlineStr">
        <is>
          <t>KSU NECK SLEEVE:119530OSFM</t>
        </is>
      </c>
      <c r="F6741" s="0" t="inlineStr">
        <is>
          <t>'805119526348</t>
        </is>
      </c>
      <c r="H6741" s="0" t="inlineStr">
        <is>
          <t>OSFM</t>
        </is>
      </c>
      <c r="I6741" s="0">
        <v>19.99</v>
      </c>
      <c r="J6741" s="0">
        <v>241</v>
      </c>
    </row>
    <row r="6742" spans="1:10" customHeight="0">
      <c r="A6742" s="0">
        <f>HYPERLINK("https://dl.dropboxusercontent.com/scl/fi/licab8e9j8el777q2tkdx/licensed-ns-a-24.jpg?rlkey=q6xj9yemf00rivfc5rj3bfosh&amp;dl=0","Click to download Image")</f>
      </c>
      <c r="C6742" s="0" t="inlineStr">
        <is>
          <t>Licensed Adult Neck Sleeve</t>
        </is>
      </c>
      <c r="D6742" s="0" t="inlineStr">
        <is>
          <t>'119529</t>
        </is>
      </c>
      <c r="E6742" s="0" t="inlineStr">
        <is>
          <t>KSU NECK SLEEVE:119529OSFM</t>
        </is>
      </c>
      <c r="F6742" s="0" t="inlineStr">
        <is>
          <t>'805119526348</t>
        </is>
      </c>
      <c r="H6742" s="0" t="inlineStr">
        <is>
          <t>OSFM</t>
        </is>
      </c>
      <c r="I6742" s="0">
        <v>19.99</v>
      </c>
      <c r="J6742" s="0">
        <v>233</v>
      </c>
    </row>
    <row r="6743" spans="1:10" customHeight="0">
      <c r="A6743" s="0">
        <f>HYPERLINK("https://dl.dropboxusercontent.com/scl/fi/n7ccdgw8veza67u2fdmyq/licensed-ns-a-25.jpg?rlkey=2yjktkjhjag5lgcoc16ysugqc&amp;dl=0","Click to download Image")</f>
      </c>
      <c r="C6743" s="0" t="inlineStr">
        <is>
          <t>Licensed Adult Neck Sleeve</t>
        </is>
      </c>
      <c r="D6743" s="0" t="inlineStr">
        <is>
          <t>'119528</t>
        </is>
      </c>
      <c r="E6743" s="0" t="inlineStr">
        <is>
          <t>KSU NECK SLEEVE:119528OSFM</t>
        </is>
      </c>
      <c r="F6743" s="0" t="inlineStr">
        <is>
          <t>'805119526348</t>
        </is>
      </c>
      <c r="H6743" s="0" t="inlineStr">
        <is>
          <t>OSFM</t>
        </is>
      </c>
      <c r="I6743" s="0">
        <v>19.99</v>
      </c>
      <c r="J6743" s="0">
        <v>261</v>
      </c>
    </row>
    <row r="6744" spans="1:10" customHeight="0">
      <c r="A6744" s="0">
        <f>HYPERLINK("https://dl.dropboxusercontent.com/scl/fi/cr1cr1u61y5jl09e2x3xg/necksleeveimages-0650396.jpg?rlkey=cj42ka8mp7scicrd66ie5azq2&amp;dl=0","Click to download Image")</f>
      </c>
      <c r="C6744" s="0" t="inlineStr">
        <is>
          <t>Licensed Adult Neck Sleeve</t>
        </is>
      </c>
      <c r="D6744" s="0" t="inlineStr">
        <is>
          <t>'119731</t>
        </is>
      </c>
      <c r="E6744" s="0" t="inlineStr">
        <is>
          <t>MU NECK SLEEVE:119731OSFM</t>
        </is>
      </c>
      <c r="F6744" s="0" t="inlineStr">
        <is>
          <t>'803119730345</t>
        </is>
      </c>
      <c r="H6744" s="0" t="inlineStr">
        <is>
          <t>OSFM</t>
        </is>
      </c>
      <c r="I6744" s="0">
        <v>19.99</v>
      </c>
      <c r="J6744" s="0">
        <v>192</v>
      </c>
    </row>
    <row r="6745" spans="1:10" customHeight="0">
      <c r="A6745" s="0">
        <f>HYPERLINK("https://dl.dropboxusercontent.com/scl/fi/ysr5f2ks89s1r88yrdlwa/necksleeveimages-0508498.jpg?rlkey=wmxg8y8w2s37njzbhvnaqgpji&amp;dl=0","Click to download Image")</f>
      </c>
      <c r="C6745" s="0" t="inlineStr">
        <is>
          <t>Licensed Adult Neck Sleeve</t>
        </is>
      </c>
      <c r="D6745" s="0" t="inlineStr">
        <is>
          <t>'119730</t>
        </is>
      </c>
      <c r="E6745" s="0" t="inlineStr">
        <is>
          <t>MU NECK SLEEVE:119730OSFM</t>
        </is>
      </c>
      <c r="F6745" s="0" t="inlineStr">
        <is>
          <t>'803119730345</t>
        </is>
      </c>
      <c r="H6745" s="0" t="inlineStr">
        <is>
          <t>OSFM</t>
        </is>
      </c>
      <c r="I6745" s="0">
        <v>19.99</v>
      </c>
      <c r="J6745" s="0">
        <v>198</v>
      </c>
    </row>
    <row r="6746" spans="1:10" customHeight="0">
      <c r="A6746" s="0">
        <f>HYPERLINK("https://dl.dropboxusercontent.com/scl/fi/17lwg68cui9kt98nhocku/necksleeveimages-0185592.jpg?rlkey=tl1agnr1y8wwq9sg75m2qke4b&amp;dl=0","Click to download Image")</f>
      </c>
      <c r="C6746" s="0" t="inlineStr">
        <is>
          <t>Licensed Adult Neck Sleeve</t>
        </is>
      </c>
      <c r="D6746" s="0" t="inlineStr">
        <is>
          <t>'119734</t>
        </is>
      </c>
      <c r="E6746" s="0" t="inlineStr">
        <is>
          <t>MU NECK SLEEVE:119734OSFM</t>
        </is>
      </c>
      <c r="F6746" s="0" t="inlineStr">
        <is>
          <t>'803119730345</t>
        </is>
      </c>
      <c r="H6746" s="0" t="inlineStr">
        <is>
          <t>OSFM</t>
        </is>
      </c>
      <c r="I6746" s="0">
        <v>19.99</v>
      </c>
      <c r="J6746" s="0">
        <v>193</v>
      </c>
    </row>
    <row r="6747" spans="1:10" customHeight="0">
      <c r="A6747" s="0">
        <f>HYPERLINK("https://dl.dropboxusercontent.com/scl/fi/2aidpgojed95ke2phb0ln/necksleeveimages-0235698.jpg?rlkey=bgd357g7g76d0f8oslx2xh5qc&amp;dl=0","Click to download Image")</f>
      </c>
      <c r="C6747" s="0" t="inlineStr">
        <is>
          <t>Licensed Adult Neck Sleeve</t>
        </is>
      </c>
      <c r="D6747" s="0" t="inlineStr">
        <is>
          <t>'119733</t>
        </is>
      </c>
      <c r="E6747" s="0" t="inlineStr">
        <is>
          <t>MU NECK SLEEVE:119733OSFM</t>
        </is>
      </c>
      <c r="F6747" s="0" t="inlineStr">
        <is>
          <t>'000000000000</t>
        </is>
      </c>
      <c r="H6747" s="0" t="inlineStr">
        <is>
          <t>OSFM</t>
        </is>
      </c>
      <c r="I6747" s="0">
        <v>19.99</v>
      </c>
      <c r="J6747" s="0">
        <v>194</v>
      </c>
    </row>
    <row r="6748" spans="1:10" customHeight="0">
      <c r="A6748" s="0">
        <f>HYPERLINK("https://dl.dropboxusercontent.com/scl/fi/hvjsairf927xu576r3rsu/necksleeveimages-0352275.jpg?rlkey=4bq675lh6q06zw5eq4t0fiyuf&amp;dl=0","Click to download Image")</f>
      </c>
      <c r="C6748" s="0" t="inlineStr">
        <is>
          <t>Licensed Adult Neck Sleeve</t>
        </is>
      </c>
      <c r="D6748" s="0" t="inlineStr">
        <is>
          <t>'119732</t>
        </is>
      </c>
      <c r="E6748" s="0" t="inlineStr">
        <is>
          <t>MU NECK SLEEVE:119732OSFM</t>
        </is>
      </c>
      <c r="F6748" s="0" t="inlineStr">
        <is>
          <t>'000000000000</t>
        </is>
      </c>
      <c r="H6748" s="0" t="inlineStr">
        <is>
          <t>OSFM</t>
        </is>
      </c>
      <c r="I6748" s="0">
        <v>19.99</v>
      </c>
      <c r="J6748" s="0">
        <v>193</v>
      </c>
    </row>
    <row r="6749" spans="1:10" customHeight="0">
      <c r="A6749" s="0">
        <f>HYPERLINK("https://dl.dropboxusercontent.com/scl/fi/a2t2eqls561ys2276yzn6/dsc0112-copy.jpg?rlkey=oyjbap1rxw95w9p3lbws7tnrj&amp;dl=0","Click to download Image")</f>
      </c>
      <c r="C6749" s="0" t="inlineStr">
        <is>
          <t>Licensed Adult Neck Sleeve</t>
        </is>
      </c>
      <c r="D6749" s="0" t="inlineStr">
        <is>
          <t>'119737</t>
        </is>
      </c>
      <c r="E6749" s="0" t="inlineStr">
        <is>
          <t>NDSU NECK SLEEVE:119737OSFM</t>
        </is>
      </c>
      <c r="F6749" s="0" t="inlineStr">
        <is>
          <t>'813119735349</t>
        </is>
      </c>
      <c r="H6749" s="0" t="inlineStr">
        <is>
          <t>OSFM</t>
        </is>
      </c>
      <c r="I6749" s="0">
        <v>19.99</v>
      </c>
      <c r="J6749" s="0">
        <v>184</v>
      </c>
    </row>
    <row r="6750" spans="1:10" customHeight="0">
      <c r="A6750" s="0">
        <f>HYPERLINK("https://dl.dropboxusercontent.com/scl/fi/gos5u6hac3w6115jtxis7/licensed-ns-a-27.jpg?rlkey=rkzpx4y8ego8yxjdz1zym21os&amp;dl=0","Click to download Image")</f>
      </c>
      <c r="C6750" s="0" t="inlineStr">
        <is>
          <t>Licensed Adult Neck Sleeve</t>
        </is>
      </c>
      <c r="D6750" s="0" t="inlineStr">
        <is>
          <t>'119735</t>
        </is>
      </c>
      <c r="E6750" s="0" t="inlineStr">
        <is>
          <t>NDSU NECK SLEEVE:119735OSFM</t>
        </is>
      </c>
      <c r="F6750" s="0" t="inlineStr">
        <is>
          <t>'813119735349</t>
        </is>
      </c>
      <c r="H6750" s="0" t="inlineStr">
        <is>
          <t>OSFM</t>
        </is>
      </c>
      <c r="I6750" s="0">
        <v>19.99</v>
      </c>
      <c r="J6750" s="0">
        <v>173</v>
      </c>
    </row>
    <row r="6751" spans="1:10" customHeight="0">
      <c r="A6751" s="0">
        <f>HYPERLINK("https://dl.dropboxusercontent.com/scl/fi/mykquk13u75gv9a1qglda/licensed-ns-a-28.jpg?rlkey=0bhxjkw15ekdcmxqyhbwnn9nm&amp;dl=0","Click to download Image")</f>
      </c>
      <c r="C6751" s="0" t="inlineStr">
        <is>
          <t>Licensed Adult Neck Sleeve</t>
        </is>
      </c>
      <c r="D6751" s="0" t="inlineStr">
        <is>
          <t>'119741</t>
        </is>
      </c>
      <c r="E6751" s="0" t="inlineStr">
        <is>
          <t>NDSU NECK SLEEVE:119741OSFM</t>
        </is>
      </c>
      <c r="F6751" s="0" t="inlineStr">
        <is>
          <t>'813119735349</t>
        </is>
      </c>
      <c r="H6751" s="0" t="inlineStr">
        <is>
          <t>OSFM</t>
        </is>
      </c>
      <c r="I6751" s="0">
        <v>19.99</v>
      </c>
      <c r="J6751" s="0">
        <v>176</v>
      </c>
    </row>
    <row r="6752" spans="1:10" customHeight="0">
      <c r="A6752" s="0">
        <f>HYPERLINK("https://dl.dropboxusercontent.com/scl/fi/28vw558yawl4ekapfmx53/licensed-ns-a-29.jpg?rlkey=ajqqd2wv31xgabpzdejwd7rgf&amp;dl=0","Click to download Image")</f>
      </c>
      <c r="C6752" s="0" t="inlineStr">
        <is>
          <t>Licensed Adult Neck Sleeve</t>
        </is>
      </c>
      <c r="D6752" s="0" t="inlineStr">
        <is>
          <t>'119740</t>
        </is>
      </c>
      <c r="E6752" s="0" t="inlineStr">
        <is>
          <t>NDSU NECK SLEEVE:119740OSFM</t>
        </is>
      </c>
      <c r="F6752" s="0" t="inlineStr">
        <is>
          <t>'813119735349</t>
        </is>
      </c>
      <c r="H6752" s="0" t="inlineStr">
        <is>
          <t>OSFM</t>
        </is>
      </c>
      <c r="I6752" s="0">
        <v>19.99</v>
      </c>
      <c r="J6752" s="0">
        <v>183</v>
      </c>
    </row>
    <row r="6753" spans="1:10" customHeight="0">
      <c r="A6753" s="0">
        <f>HYPERLINK("https://dl.dropboxusercontent.com/scl/fi/teb9l2gf4t9yu63dpvjdh/licensed-ns-a-30.jpg?rlkey=4qil9711jyd9na39zf406za1p&amp;dl=0","Click to download Image")</f>
      </c>
      <c r="C6753" s="0" t="inlineStr">
        <is>
          <t>Licensed Adult Neck Sleeve</t>
        </is>
      </c>
      <c r="D6753" s="0" t="inlineStr">
        <is>
          <t>'119739</t>
        </is>
      </c>
      <c r="E6753" s="0" t="inlineStr">
        <is>
          <t>NDSU NECK SLEEVE:119739OSFM</t>
        </is>
      </c>
      <c r="F6753" s="0" t="inlineStr">
        <is>
          <t>'813119735349</t>
        </is>
      </c>
      <c r="H6753" s="0" t="inlineStr">
        <is>
          <t>OSFM</t>
        </is>
      </c>
      <c r="I6753" s="0">
        <v>19.99</v>
      </c>
      <c r="J6753" s="0">
        <v>176</v>
      </c>
    </row>
    <row r="6754" spans="1:10" customHeight="0">
      <c r="A6754" s="0">
        <f>HYPERLINK("https://dl.dropboxusercontent.com/scl/fi/oazasqnle7us4zoh6kpag/ns.jpg?rlkey=bpmeybmqx3h9qulwtp3o3uory&amp;dl=0","Click to download Image")</f>
      </c>
      <c r="C6754" s="0" t="inlineStr">
        <is>
          <t>Licensed Adult Neck Sleeve</t>
        </is>
      </c>
      <c r="D6754" s="0" t="inlineStr">
        <is>
          <t>'119743</t>
        </is>
      </c>
      <c r="E6754" s="0" t="inlineStr">
        <is>
          <t>PURDUE NECK SLEEVE:119743OSFM</t>
        </is>
      </c>
      <c r="F6754" s="0" t="inlineStr">
        <is>
          <t>'000000000000</t>
        </is>
      </c>
      <c r="H6754" s="0" t="inlineStr">
        <is>
          <t>OSFM</t>
        </is>
      </c>
      <c r="I6754" s="0">
        <v>19.99</v>
      </c>
      <c r="J6754" s="0">
        <v>97</v>
      </c>
    </row>
    <row r="6755" spans="1:10" customHeight="0">
      <c r="A6755" s="0">
        <f>HYPERLINK("https://dl.dropboxusercontent.com/scl/fi/mep5taycc669khaaeac03/licensed-ns-a-32.jpg?rlkey=sf0qyerzjq441fe8xxx60rj5k&amp;dl=0","Click to download Image")</f>
      </c>
      <c r="C6755" s="0" t="inlineStr">
        <is>
          <t>Licensed Adult Neck Sleeve</t>
        </is>
      </c>
      <c r="D6755" s="0" t="inlineStr">
        <is>
          <t>'119742</t>
        </is>
      </c>
      <c r="E6755" s="0" t="inlineStr">
        <is>
          <t>PURDUE NECK SLEEVE:119742OSFM</t>
        </is>
      </c>
      <c r="F6755" s="0" t="inlineStr">
        <is>
          <t>'000000000000</t>
        </is>
      </c>
      <c r="H6755" s="0" t="inlineStr">
        <is>
          <t>OSFM</t>
        </is>
      </c>
      <c r="I6755" s="0">
        <v>19.99</v>
      </c>
      <c r="J6755" s="0">
        <v>93</v>
      </c>
    </row>
    <row r="6756" spans="1:10" customHeight="0">
      <c r="A6756" s="0">
        <f>HYPERLINK("https://dl.dropboxusercontent.com/scl/fi/5vldckbkcs875lmpsa0sp/licensed-ns-a-33.jpg?rlkey=sm8ewwu7zrqc3j4c6wnjg844o&amp;dl=0","Click to download Image")</f>
      </c>
      <c r="C6756" s="0" t="inlineStr">
        <is>
          <t>Licensed Adult Neck Sleeve</t>
        </is>
      </c>
      <c r="D6756" s="0" t="inlineStr">
        <is>
          <t>'119746</t>
        </is>
      </c>
      <c r="E6756" s="0" t="inlineStr">
        <is>
          <t>PURDUE NECK SLEEVE:119746OSFM</t>
        </is>
      </c>
      <c r="F6756" s="0" t="inlineStr">
        <is>
          <t>'000000000000</t>
        </is>
      </c>
      <c r="H6756" s="0" t="inlineStr">
        <is>
          <t>OSFM</t>
        </is>
      </c>
      <c r="I6756" s="0">
        <v>19.99</v>
      </c>
      <c r="J6756" s="0">
        <v>93</v>
      </c>
    </row>
    <row r="6757" spans="1:10" customHeight="0">
      <c r="A6757" s="0">
        <f>HYPERLINK("https://dl.dropboxusercontent.com/scl/fi/8mdus3dnox5a864f9haws/licensed-ns-a-34.jpg?rlkey=7vuyjrwhkvw6qrz6of2ii646x&amp;dl=0","Click to download Image")</f>
      </c>
      <c r="C6757" s="0" t="inlineStr">
        <is>
          <t>Licensed Adult Neck Sleeve</t>
        </is>
      </c>
      <c r="D6757" s="0" t="inlineStr">
        <is>
          <t>'119745</t>
        </is>
      </c>
      <c r="E6757" s="0" t="inlineStr">
        <is>
          <t>PURDUE NECK SLEEVE:119745OSFM</t>
        </is>
      </c>
      <c r="F6757" s="0" t="inlineStr">
        <is>
          <t>'000000000000</t>
        </is>
      </c>
      <c r="H6757" s="0" t="inlineStr">
        <is>
          <t>OSFM</t>
        </is>
      </c>
      <c r="I6757" s="0">
        <v>19.99</v>
      </c>
      <c r="J6757" s="0">
        <v>95</v>
      </c>
    </row>
    <row r="6758" spans="1:10" customHeight="0">
      <c r="A6758" s="0">
        <f>HYPERLINK("https://dl.dropboxusercontent.com/scl/fi/k4i9g8ezf6ncjh2c75ojf/licensed-ns-a-35.jpg?rlkey=uy9bzdunstz3uofermi1r5c48&amp;dl=0","Click to download Image")</f>
      </c>
      <c r="C6758" s="0" t="inlineStr">
        <is>
          <t>Licensed Adult Neck Sleeve</t>
        </is>
      </c>
      <c r="D6758" s="0" t="inlineStr">
        <is>
          <t>'119744</t>
        </is>
      </c>
      <c r="E6758" s="0" t="inlineStr">
        <is>
          <t>PURDUE NECK SLEEVE:119744OSFM</t>
        </is>
      </c>
      <c r="F6758" s="0" t="inlineStr">
        <is>
          <t>'000000000000</t>
        </is>
      </c>
      <c r="H6758" s="0" t="inlineStr">
        <is>
          <t>OSFM</t>
        </is>
      </c>
      <c r="I6758" s="0">
        <v>19.99</v>
      </c>
      <c r="J6758" s="0">
        <v>97</v>
      </c>
    </row>
    <row r="6759" spans="1:10" customHeight="0">
      <c r="A6759" s="0">
        <f>HYPERLINK("https://dl.dropboxusercontent.com/scl/fi/kzwagy4sjirebeh2uausj/ns.jpg?rlkey=5igupjsc6g3z8sukdm0pkxjgo&amp;dl=0","Click to download Image")</f>
      </c>
      <c r="C6759" s="0" t="inlineStr">
        <is>
          <t>Licensed Adult Neck Sleeve</t>
        </is>
      </c>
      <c r="D6759" s="0" t="inlineStr">
        <is>
          <t>'119749</t>
        </is>
      </c>
      <c r="E6759" s="0" t="inlineStr">
        <is>
          <t>SDSU NECK SLEEVE:119749OSFM</t>
        </is>
      </c>
      <c r="F6759" s="0" t="inlineStr">
        <is>
          <t>'000000000000</t>
        </is>
      </c>
      <c r="H6759" s="0" t="inlineStr">
        <is>
          <t>OSFM</t>
        </is>
      </c>
      <c r="I6759" s="0">
        <v>19.99</v>
      </c>
      <c r="J6759" s="0">
        <v>151</v>
      </c>
    </row>
    <row r="6760" spans="1:10" customHeight="0">
      <c r="A6760" s="0">
        <f>HYPERLINK("https://dl.dropboxusercontent.com/scl/fi/phcc06j1s4m38xeeno70v/licensed-ns-a-37.jpg?rlkey=y9rokqiziic53fnylu90bjr2q&amp;dl=0","Click to download Image")</f>
      </c>
      <c r="C6760" s="0" t="inlineStr">
        <is>
          <t>Licensed Adult Neck Sleeve</t>
        </is>
      </c>
      <c r="D6760" s="0" t="inlineStr">
        <is>
          <t>'119747</t>
        </is>
      </c>
      <c r="E6760" s="0" t="inlineStr">
        <is>
          <t>SDSU NECK SLEEVE:119747OSFM</t>
        </is>
      </c>
      <c r="F6760" s="0" t="inlineStr">
        <is>
          <t>'000000000000</t>
        </is>
      </c>
      <c r="H6760" s="0" t="inlineStr">
        <is>
          <t>OSFM</t>
        </is>
      </c>
      <c r="I6760" s="0">
        <v>19.99</v>
      </c>
      <c r="J6760" s="0">
        <v>69</v>
      </c>
    </row>
    <row r="6761" spans="1:10" customHeight="0">
      <c r="A6761" s="0">
        <f>HYPERLINK("https://dl.dropboxusercontent.com/scl/fi/d5r3tekqpttj2ovcg9mcy/licensed-ns-a-38.jpg?rlkey=f5iku7ea0ybjgaha3aoz8mqm7&amp;dl=0","Click to download Image")</f>
      </c>
      <c r="C6761" s="0" t="inlineStr">
        <is>
          <t>Licensed Adult Neck Sleeve</t>
        </is>
      </c>
      <c r="D6761" s="0" t="inlineStr">
        <is>
          <t>'119756</t>
        </is>
      </c>
      <c r="E6761" s="0" t="inlineStr">
        <is>
          <t>SDSU NECK SLEEVE:119756OSFM</t>
        </is>
      </c>
      <c r="F6761" s="0" t="inlineStr">
        <is>
          <t>'000000000000</t>
        </is>
      </c>
      <c r="H6761" s="0" t="inlineStr">
        <is>
          <t>OSFM</t>
        </is>
      </c>
      <c r="I6761" s="0">
        <v>19.99</v>
      </c>
      <c r="J6761" s="0">
        <v>141</v>
      </c>
    </row>
    <row r="6762" spans="1:10" customHeight="0">
      <c r="A6762" s="0">
        <f>HYPERLINK("https://dl.dropboxusercontent.com/scl/fi/qos9atpna5jbpabrqxqim/licensed-ns-a-39.jpg?rlkey=vm1ef34v6vbskbzujqjr63kio&amp;dl=0","Click to download Image")</f>
      </c>
      <c r="C6762" s="0" t="inlineStr">
        <is>
          <t>Licensed Adult Neck Sleeve</t>
        </is>
      </c>
      <c r="D6762" s="0" t="inlineStr">
        <is>
          <t>'119753</t>
        </is>
      </c>
      <c r="E6762" s="0" t="inlineStr">
        <is>
          <t>SDSU NECK SLEEVE:119753OSFM</t>
        </is>
      </c>
      <c r="F6762" s="0" t="inlineStr">
        <is>
          <t>'000000000000</t>
        </is>
      </c>
      <c r="H6762" s="0" t="inlineStr">
        <is>
          <t>OSFM</t>
        </is>
      </c>
      <c r="I6762" s="0">
        <v>19.99</v>
      </c>
      <c r="J6762" s="0">
        <v>77</v>
      </c>
    </row>
    <row r="6763" spans="1:10" customHeight="0">
      <c r="A6763" s="0">
        <f>HYPERLINK("https://dl.dropboxusercontent.com/scl/fi/8uoypjm71441px0ygonsx/licensed-ns-a-40.jpg?rlkey=4v8qd6cjt4o8y06hig8bcj24u&amp;dl=0","Click to download Image")</f>
      </c>
      <c r="C6763" s="0" t="inlineStr">
        <is>
          <t>Licensed Adult Neck Sleeve</t>
        </is>
      </c>
      <c r="D6763" s="0" t="inlineStr">
        <is>
          <t>'119750</t>
        </is>
      </c>
      <c r="E6763" s="0" t="inlineStr">
        <is>
          <t>SDSU NECK SLEEVE:119750OSFM</t>
        </is>
      </c>
      <c r="F6763" s="0" t="inlineStr">
        <is>
          <t>'000000000000</t>
        </is>
      </c>
      <c r="H6763" s="0" t="inlineStr">
        <is>
          <t>OSFM</t>
        </is>
      </c>
      <c r="I6763" s="0">
        <v>19.99</v>
      </c>
      <c r="J6763" s="0">
        <v>128</v>
      </c>
    </row>
    <row r="6764" spans="1:10" customHeight="0">
      <c r="A6764" s="0">
        <f>HYPERLINK("https://dl.dropboxusercontent.com/scl/fi/wlq0i9xcflj8st2img7w2/ns.jpg?rlkey=mns457lpjjlwmy4x94qsrj7ph&amp;dl=0","Click to download Image")</f>
      </c>
      <c r="C6764" s="0" t="inlineStr">
        <is>
          <t>Licensed Adult Neck Sleeve</t>
        </is>
      </c>
      <c r="D6764" s="0" t="inlineStr">
        <is>
          <t>'119765</t>
        </is>
      </c>
      <c r="E6764" s="0" t="inlineStr">
        <is>
          <t>USD NECK SLEEVE:119765OSFM</t>
        </is>
      </c>
      <c r="F6764" s="0" t="inlineStr">
        <is>
          <t>'000000000000</t>
        </is>
      </c>
      <c r="H6764" s="0" t="inlineStr">
        <is>
          <t>OSFM</t>
        </is>
      </c>
      <c r="I6764" s="0">
        <v>19.99</v>
      </c>
      <c r="J6764" s="0">
        <v>83</v>
      </c>
    </row>
    <row r="6765" spans="1:10" customHeight="0">
      <c r="A6765" s="0">
        <f>HYPERLINK("https://dl.dropboxusercontent.com/scl/fi/pqpdntoxwscii9vr6l5nn/licensed-ns-a-42.jpg?rlkey=54hv1y9vzq8c7giayq2hp8fy7&amp;dl=0","Click to download Image")</f>
      </c>
      <c r="C6765" s="0" t="inlineStr">
        <is>
          <t>Licensed Adult Neck Sleeve</t>
        </is>
      </c>
      <c r="D6765" s="0" t="inlineStr">
        <is>
          <t>'119764</t>
        </is>
      </c>
      <c r="E6765" s="0" t="inlineStr">
        <is>
          <t>USD NECK SLEEVE:119764OSFM</t>
        </is>
      </c>
      <c r="F6765" s="0" t="inlineStr">
        <is>
          <t>'000000000000</t>
        </is>
      </c>
      <c r="H6765" s="0" t="inlineStr">
        <is>
          <t>OSFM</t>
        </is>
      </c>
      <c r="I6765" s="0">
        <v>19.99</v>
      </c>
      <c r="J6765" s="0">
        <v>83</v>
      </c>
    </row>
    <row r="6766" spans="1:10" customHeight="0">
      <c r="A6766" s="0">
        <f>HYPERLINK("https://dl.dropboxusercontent.com/scl/fi/zacxkt4ojep49aewyluma/licensed-ns-a-43.jpg?rlkey=1rd87nxps5pz0r2p7ox74wj2q&amp;dl=0","Click to download Image")</f>
      </c>
      <c r="C6766" s="0" t="inlineStr">
        <is>
          <t>Licensed Adult Neck Sleeve</t>
        </is>
      </c>
      <c r="D6766" s="0" t="inlineStr">
        <is>
          <t>'119768</t>
        </is>
      </c>
      <c r="E6766" s="0" t="inlineStr">
        <is>
          <t>USD NECK SLEEVE:119768OSFM</t>
        </is>
      </c>
      <c r="F6766" s="0" t="inlineStr">
        <is>
          <t>'000000000000</t>
        </is>
      </c>
      <c r="H6766" s="0" t="inlineStr">
        <is>
          <t>OSFM</t>
        </is>
      </c>
      <c r="I6766" s="0">
        <v>19.99</v>
      </c>
      <c r="J6766" s="0">
        <v>84</v>
      </c>
    </row>
    <row r="6767" spans="1:10" customHeight="0">
      <c r="A6767" s="0">
        <f>HYPERLINK("https://dl.dropboxusercontent.com/scl/fi/yjhj8tru6ub1rk53wjmu9/licensed-ns-a-44.jpg?rlkey=5ak8cvgbfj25eghy2eiao3c3c&amp;dl=0","Click to download Image")</f>
      </c>
      <c r="C6767" s="0" t="inlineStr">
        <is>
          <t>Licensed Adult Neck Sleeve</t>
        </is>
      </c>
      <c r="D6767" s="0" t="inlineStr">
        <is>
          <t>'119768</t>
        </is>
      </c>
      <c r="E6767" s="0" t="inlineStr">
        <is>
          <t>USD NECK SLEEVE:119767OSFM</t>
        </is>
      </c>
      <c r="F6767" s="0" t="inlineStr">
        <is>
          <t>'000000000000</t>
        </is>
      </c>
      <c r="H6767" s="0" t="inlineStr">
        <is>
          <t>OSFM</t>
        </is>
      </c>
      <c r="I6767" s="0">
        <v>19.99</v>
      </c>
      <c r="J6767" s="0">
        <v>91</v>
      </c>
    </row>
    <row r="6768" spans="1:10" customHeight="0">
      <c r="A6768" s="0">
        <f>HYPERLINK("https://dl.dropboxusercontent.com/scl/fi/562swltssmd2knednvfun/licensed-ns-a-45.jpg?rlkey=3ykfn9s0btj6yv08f0ik5srv5&amp;dl=0","Click to download Image")</f>
      </c>
      <c r="C6768" s="0" t="inlineStr">
        <is>
          <t>Licensed Adult Neck Sleeve</t>
        </is>
      </c>
      <c r="D6768" s="0" t="inlineStr">
        <is>
          <t>'119766</t>
        </is>
      </c>
      <c r="E6768" s="0" t="inlineStr">
        <is>
          <t>USD NECK SLEEVE:119766OSFM</t>
        </is>
      </c>
      <c r="F6768" s="0" t="inlineStr">
        <is>
          <t>'000000000000</t>
        </is>
      </c>
      <c r="H6768" s="0" t="inlineStr">
        <is>
          <t>OSFM</t>
        </is>
      </c>
      <c r="I6768" s="0">
        <v>19.99</v>
      </c>
      <c r="J6768" s="0">
        <v>84</v>
      </c>
    </row>
    <row r="6769" spans="1:10" customHeight="0">
      <c r="A6769" s="0">
        <f>HYPERLINK("https://dl.dropboxusercontent.com/scl/fi/p9slo07lxf94j2rnl0nbd/ns.jpg?rlkey=1f9z4lpzcoti8lzkxieya26t0&amp;dl=0","Click to download Image")</f>
      </c>
      <c r="C6769" s="0" t="inlineStr">
        <is>
          <t>Licensed Adult Neck Sleeve</t>
        </is>
      </c>
      <c r="D6769" s="0" t="inlineStr">
        <is>
          <t>'119758</t>
        </is>
      </c>
      <c r="E6769" s="0" t="inlineStr">
        <is>
          <t>UNO NECK SLEEVE:119758OSFM</t>
        </is>
      </c>
      <c r="F6769" s="0" t="inlineStr">
        <is>
          <t>'000000000000</t>
        </is>
      </c>
      <c r="H6769" s="0" t="inlineStr">
        <is>
          <t>OSFM</t>
        </is>
      </c>
      <c r="I6769" s="0">
        <v>19.99</v>
      </c>
      <c r="J6769" s="0">
        <v>91</v>
      </c>
    </row>
    <row r="6770" spans="1:10" customHeight="0">
      <c r="A6770" s="0">
        <f>HYPERLINK("https://dl.dropboxusercontent.com/scl/fi/1ymv3zmh6t9wkgn78w9kf/licensed-ns-a-47.jpg?rlkey=aedn89ffl4uc7pk4a9u45w3zs&amp;dl=0","Click to download Image")</f>
      </c>
      <c r="C6770" s="0" t="inlineStr">
        <is>
          <t>Licensed Adult Neck Sleeve</t>
        </is>
      </c>
      <c r="D6770" s="0" t="inlineStr">
        <is>
          <t>'119757</t>
        </is>
      </c>
      <c r="E6770" s="0" t="inlineStr">
        <is>
          <t>UNO NECK SLEEVE:119757OSFM</t>
        </is>
      </c>
      <c r="F6770" s="0" t="inlineStr">
        <is>
          <t>'000000000000</t>
        </is>
      </c>
      <c r="H6770" s="0" t="inlineStr">
        <is>
          <t>OSFM</t>
        </is>
      </c>
      <c r="I6770" s="0">
        <v>19.99</v>
      </c>
      <c r="J6770" s="0">
        <v>83</v>
      </c>
    </row>
    <row r="6771" spans="1:10" customHeight="0">
      <c r="A6771" s="0">
        <f>HYPERLINK("https://dl.dropboxusercontent.com/scl/fi/w1cyni6p5ophulpa46tw0/licensed-ns-a-48.jpg?rlkey=nfduymvtl95zxo126dpjqmrvv&amp;dl=0","Click to download Image")</f>
      </c>
      <c r="C6771" s="0" t="inlineStr">
        <is>
          <t>Licensed Adult Neck Sleeve</t>
        </is>
      </c>
      <c r="D6771" s="0" t="inlineStr">
        <is>
          <t>'119762</t>
        </is>
      </c>
      <c r="E6771" s="0" t="inlineStr">
        <is>
          <t>UNO NECK SLEEVE:119762OSFM</t>
        </is>
      </c>
      <c r="F6771" s="0" t="inlineStr">
        <is>
          <t>'000000000000</t>
        </is>
      </c>
      <c r="H6771" s="0" t="inlineStr">
        <is>
          <t>OSFM</t>
        </is>
      </c>
      <c r="I6771" s="0">
        <v>19.99</v>
      </c>
      <c r="J6771" s="0">
        <v>83</v>
      </c>
    </row>
    <row r="6772" spans="1:10" customHeight="0">
      <c r="A6772" s="0">
        <f>HYPERLINK("https://dl.dropboxusercontent.com/scl/fi/1lijhwrecut32614j9p12/licensed-ns-a-49.jpg?rlkey=uvymfu4vzjufd5djs79r6i6d7&amp;dl=0","Click to download Image")</f>
      </c>
      <c r="C6772" s="0" t="inlineStr">
        <is>
          <t>Licensed Adult Neck Sleeve</t>
        </is>
      </c>
      <c r="D6772" s="0" t="inlineStr">
        <is>
          <t>'119761</t>
        </is>
      </c>
      <c r="E6772" s="0" t="inlineStr">
        <is>
          <t>UNO NECK SLEEVE:119761OSFM</t>
        </is>
      </c>
      <c r="F6772" s="0" t="inlineStr">
        <is>
          <t>'000000000000</t>
        </is>
      </c>
      <c r="H6772" s="0" t="inlineStr">
        <is>
          <t>OSFM</t>
        </is>
      </c>
      <c r="I6772" s="0">
        <v>19.99</v>
      </c>
      <c r="J6772" s="0">
        <v>91</v>
      </c>
    </row>
    <row r="6773" spans="1:10" customHeight="0">
      <c r="A6773" s="0">
        <f>HYPERLINK("https://dl.dropboxusercontent.com/scl/fi/ybzdbg7uxgzzj22cllpdn/licensed-ns-a-50.jpg?rlkey=284x6wco5x5oxcnu3dlxzeyyj&amp;dl=0","Click to download Image")</f>
      </c>
      <c r="C6773" s="0" t="inlineStr">
        <is>
          <t>Licensed Adult Neck Sleeve</t>
        </is>
      </c>
      <c r="D6773" s="0" t="inlineStr">
        <is>
          <t>'119759</t>
        </is>
      </c>
      <c r="E6773" s="0" t="inlineStr">
        <is>
          <t>UNO NECK SLEEVE:119759OSFM</t>
        </is>
      </c>
      <c r="F6773" s="0" t="inlineStr">
        <is>
          <t>'000000000000</t>
        </is>
      </c>
      <c r="H6773" s="0" t="inlineStr">
        <is>
          <t>OSFM</t>
        </is>
      </c>
      <c r="I6773" s="0">
        <v>19.99</v>
      </c>
      <c r="J6773" s="0">
        <v>79</v>
      </c>
    </row>
    <row r="6774" spans="1:10" customHeight="0">
      <c r="A6774" s="0">
        <f>HYPERLINK("https://dl.dropboxusercontent.com/scl/fi/alex6px1qpgb5lgeapjm8/dsc0112.jpg?rlkey=e595d1jpruyi204c252ypiqg2&amp;dl=0","Click to download Image")</f>
      </c>
      <c r="C6774" s="0" t="inlineStr">
        <is>
          <t>Licensed Adult Neck Sleeve</t>
        </is>
      </c>
      <c r="D6774" s="0" t="inlineStr">
        <is>
          <t>'119770</t>
        </is>
      </c>
      <c r="E6774" s="0" t="inlineStr">
        <is>
          <t>UWY NECK SLEEVE:119770OSFM</t>
        </is>
      </c>
      <c r="F6774" s="0" t="inlineStr">
        <is>
          <t>'000000000000</t>
        </is>
      </c>
      <c r="H6774" s="0" t="inlineStr">
        <is>
          <t>OSFM</t>
        </is>
      </c>
      <c r="I6774" s="0">
        <v>19.99</v>
      </c>
      <c r="J6774" s="0">
        <v>137</v>
      </c>
    </row>
    <row r="6775" spans="1:10" customHeight="0">
      <c r="A6775" s="0">
        <f>HYPERLINK("https://dl.dropboxusercontent.com/scl/fi/cb2ojanoc5w7fof365wcc/119769af.jpg?rlkey=dp677yhtx8h8q1f6bo0h2zuc0&amp;dl=0","Click to download Image")</f>
      </c>
      <c r="C6775" s="0" t="inlineStr">
        <is>
          <t>Licensed Adult Neck Sleeve</t>
        </is>
      </c>
      <c r="D6775" s="0" t="inlineStr">
        <is>
          <t>'119769</t>
        </is>
      </c>
      <c r="E6775" s="0" t="inlineStr">
        <is>
          <t>UWY NECK SLEEVE:119769OSFM</t>
        </is>
      </c>
      <c r="F6775" s="0" t="inlineStr">
        <is>
          <t>'000000000000</t>
        </is>
      </c>
      <c r="H6775" s="0" t="inlineStr">
        <is>
          <t>OSFM</t>
        </is>
      </c>
      <c r="I6775" s="0">
        <v>19.99</v>
      </c>
      <c r="J6775" s="0">
        <v>133</v>
      </c>
    </row>
    <row r="6776" spans="1:10" customHeight="0">
      <c r="A6776" s="0">
        <f>HYPERLINK("https://dl.dropboxusercontent.com/scl/fi/yxiz5jvbr4wmvg6sy2hlx/dsc0107.jpg?rlkey=lq4a2wq754gutpmwl1afx0xtm&amp;dl=0","Click to download Image")</f>
      </c>
      <c r="C6776" s="0" t="inlineStr">
        <is>
          <t>Licensed Adult Neck Sleeve</t>
        </is>
      </c>
      <c r="D6776" s="0" t="inlineStr">
        <is>
          <t>'119773</t>
        </is>
      </c>
      <c r="E6776" s="0" t="inlineStr">
        <is>
          <t>UWY NECK SLEEVE:119773OSFM</t>
        </is>
      </c>
      <c r="F6776" s="0" t="inlineStr">
        <is>
          <t>'000000000000</t>
        </is>
      </c>
      <c r="H6776" s="0" t="inlineStr">
        <is>
          <t>OSFM</t>
        </is>
      </c>
      <c r="I6776" s="0">
        <v>19.99</v>
      </c>
      <c r="J6776" s="0">
        <v>153</v>
      </c>
    </row>
    <row r="6777" spans="1:10" customHeight="0">
      <c r="A6777" s="0">
        <f>HYPERLINK("https://dl.dropboxusercontent.com/scl/fi/cijjw79c8b7ef2ydvz61q/119772f2.jpg?rlkey=hmuy5cncl64ltf1e07nt0mi19&amp;dl=0","Click to download Image")</f>
      </c>
      <c r="C6777" s="0" t="inlineStr">
        <is>
          <t>Licensed Adult Neck Sleeve</t>
        </is>
      </c>
      <c r="D6777" s="0" t="inlineStr">
        <is>
          <t>'119772</t>
        </is>
      </c>
      <c r="E6777" s="0" t="inlineStr">
        <is>
          <t>UWY NECK SLEEVE:119772OSFM</t>
        </is>
      </c>
      <c r="F6777" s="0" t="inlineStr">
        <is>
          <t>'000000000000</t>
        </is>
      </c>
      <c r="H6777" s="0" t="inlineStr">
        <is>
          <t>OSFM</t>
        </is>
      </c>
      <c r="I6777" s="0">
        <v>19.99</v>
      </c>
      <c r="J6777" s="0">
        <v>157</v>
      </c>
    </row>
    <row r="6778" spans="1:10" customHeight="0">
      <c r="A6778" s="0">
        <f>HYPERLINK("https://dl.dropboxusercontent.com/scl/fi/a0hwnjn3fx1caqlx88o4z/119771af.jpg?rlkey=9tut1exmpgjwfwr6gvopmaux2&amp;dl=0","Click to download Image")</f>
      </c>
      <c r="C6778" s="0" t="inlineStr">
        <is>
          <t>Licensed Adult Neck Sleeve</t>
        </is>
      </c>
      <c r="D6778" s="0" t="inlineStr">
        <is>
          <t>'119771</t>
        </is>
      </c>
      <c r="E6778" s="0" t="inlineStr">
        <is>
          <t>UWY NECK SLEEVE:119771OSFM</t>
        </is>
      </c>
      <c r="F6778" s="0" t="inlineStr">
        <is>
          <t>'000000000000</t>
        </is>
      </c>
      <c r="H6778" s="0" t="inlineStr">
        <is>
          <t>OSFM</t>
        </is>
      </c>
      <c r="I6778" s="0">
        <v>19.99</v>
      </c>
      <c r="J6778" s="0">
        <v>154</v>
      </c>
    </row>
    <row r="6779" spans="1:10" customHeight="0">
      <c r="A6779" s="0">
        <f>HYPERLINK("https://dl.dropboxusercontent.com/scl/fi/euuj0t5357kg1p41r3cwi/cookt.jpg?rlkey=ra2mm02s9vzcmm9omryz2z7w5&amp;dl=0","Click to download Image")</f>
      </c>
      <c r="B6779" s="0">
        <f>HYPERLINK("https://dl.dropboxusercontent.com/scl/fi/flrn058qwuqzgox9iycag/mens-d-2.jpg?rlkey=6goh8akqkrjkcavnv40ac4h70&amp;dl=0","Click to download SizeChart")</f>
      </c>
      <c r="C6779" s="0" t="inlineStr">
        <is>
          <t>Cook Men's Full Zip Jacket</t>
        </is>
      </c>
      <c r="D6779" s="0" t="inlineStr">
        <is>
          <t>'95594</t>
        </is>
      </c>
      <c r="E6779" s="0" t="inlineStr">
        <is>
          <t>COOK:95594A-S</t>
        </is>
      </c>
      <c r="F6779" s="0" t="inlineStr">
        <is>
          <t>'000000000000</t>
        </is>
      </c>
      <c r="G6779" s="0" t="inlineStr">
        <is>
          <t>MENS</t>
        </is>
      </c>
      <c r="H6779" s="0" t="inlineStr">
        <is>
          <t>S</t>
        </is>
      </c>
      <c r="I6779" s="0">
        <v>54.99</v>
      </c>
      <c r="J6779" s="0">
        <v>5</v>
      </c>
    </row>
    <row r="6780" spans="1:10" customHeight="0">
      <c r="A6780" s="0">
        <f>HYPERLINK("https://dl.dropboxusercontent.com/scl/fi/euuj0t5357kg1p41r3cwi/cookt.jpg?rlkey=ra2mm02s9vzcmm9omryz2z7w5&amp;dl=0","Click to download Image")</f>
      </c>
      <c r="B6780" s="0">
        <f>HYPERLINK("https://dl.dropboxusercontent.com/scl/fi/flrn058qwuqzgox9iycag/mens-d-2.jpg?rlkey=6goh8akqkrjkcavnv40ac4h70&amp;dl=0","Click to download SizeChart")</f>
      </c>
      <c r="C6780" s="0" t="inlineStr">
        <is>
          <t>Cook Men's Full Zip Jacket</t>
        </is>
      </c>
      <c r="D6780" s="0" t="inlineStr">
        <is>
          <t>'95594</t>
        </is>
      </c>
      <c r="E6780" s="0" t="inlineStr">
        <is>
          <t>COOK:95594B-M</t>
        </is>
      </c>
      <c r="F6780" s="0" t="inlineStr">
        <is>
          <t>'000000000000</t>
        </is>
      </c>
      <c r="G6780" s="0" t="inlineStr">
        <is>
          <t>MENS</t>
        </is>
      </c>
      <c r="H6780" s="0" t="inlineStr">
        <is>
          <t>M</t>
        </is>
      </c>
      <c r="I6780" s="0">
        <v>54.99</v>
      </c>
      <c r="J6780" s="0">
        <v>27</v>
      </c>
    </row>
    <row r="6781" spans="1:10" customHeight="0">
      <c r="A6781" s="0">
        <f>HYPERLINK("https://dl.dropboxusercontent.com/scl/fi/euuj0t5357kg1p41r3cwi/cookt.jpg?rlkey=ra2mm02s9vzcmm9omryz2z7w5&amp;dl=0","Click to download Image")</f>
      </c>
      <c r="B6781" s="0">
        <f>HYPERLINK("https://dl.dropboxusercontent.com/scl/fi/flrn058qwuqzgox9iycag/mens-d-2.jpg?rlkey=6goh8akqkrjkcavnv40ac4h70&amp;dl=0","Click to download SizeChart")</f>
      </c>
      <c r="C6781" s="0" t="inlineStr">
        <is>
          <t>Cook Men's Full Zip Jacket</t>
        </is>
      </c>
      <c r="D6781" s="0" t="inlineStr">
        <is>
          <t>'95594</t>
        </is>
      </c>
      <c r="E6781" s="0" t="inlineStr">
        <is>
          <t>COOK:95594C-L</t>
        </is>
      </c>
      <c r="F6781" s="0" t="inlineStr">
        <is>
          <t>'000000000000</t>
        </is>
      </c>
      <c r="G6781" s="0" t="inlineStr">
        <is>
          <t>MENS</t>
        </is>
      </c>
      <c r="H6781" s="0" t="inlineStr">
        <is>
          <t>L</t>
        </is>
      </c>
      <c r="I6781" s="0">
        <v>54.99</v>
      </c>
      <c r="J6781" s="0">
        <v>50</v>
      </c>
    </row>
    <row r="6782" spans="1:10" customHeight="0">
      <c r="A6782" s="0">
        <f>HYPERLINK("https://dl.dropboxusercontent.com/scl/fi/euuj0t5357kg1p41r3cwi/cookt.jpg?rlkey=ra2mm02s9vzcmm9omryz2z7w5&amp;dl=0","Click to download Image")</f>
      </c>
      <c r="B6782" s="0">
        <f>HYPERLINK("https://dl.dropboxusercontent.com/scl/fi/flrn058qwuqzgox9iycag/mens-d-2.jpg?rlkey=6goh8akqkrjkcavnv40ac4h70&amp;dl=0","Click to download SizeChart")</f>
      </c>
      <c r="C6782" s="0" t="inlineStr">
        <is>
          <t>Cook Men's Full Zip Jacket</t>
        </is>
      </c>
      <c r="D6782" s="0" t="inlineStr">
        <is>
          <t>'95594</t>
        </is>
      </c>
      <c r="E6782" s="0" t="inlineStr">
        <is>
          <t>COOK:95594D-XL</t>
        </is>
      </c>
      <c r="F6782" s="0" t="inlineStr">
        <is>
          <t>'000000000000</t>
        </is>
      </c>
      <c r="G6782" s="0" t="inlineStr">
        <is>
          <t>MENS</t>
        </is>
      </c>
      <c r="H6782" s="0" t="inlineStr">
        <is>
          <t>XL</t>
        </is>
      </c>
      <c r="I6782" s="0">
        <v>54.99</v>
      </c>
      <c r="J6782" s="0">
        <v>48</v>
      </c>
    </row>
    <row r="6783" spans="1:10" customHeight="0">
      <c r="A6783" s="0">
        <f>HYPERLINK("https://dl.dropboxusercontent.com/scl/fi/euuj0t5357kg1p41r3cwi/cookt.jpg?rlkey=ra2mm02s9vzcmm9omryz2z7w5&amp;dl=0","Click to download Image")</f>
      </c>
      <c r="B6783" s="0">
        <f>HYPERLINK("https://dl.dropboxusercontent.com/scl/fi/flrn058qwuqzgox9iycag/mens-d-2.jpg?rlkey=6goh8akqkrjkcavnv40ac4h70&amp;dl=0","Click to download SizeChart")</f>
      </c>
      <c r="C6783" s="0" t="inlineStr">
        <is>
          <t>Cook Men's Full Zip Jacket</t>
        </is>
      </c>
      <c r="D6783" s="0" t="inlineStr">
        <is>
          <t>'95594</t>
        </is>
      </c>
      <c r="E6783" s="0" t="inlineStr">
        <is>
          <t>COOK:95594E-2X</t>
        </is>
      </c>
      <c r="F6783" s="0" t="inlineStr">
        <is>
          <t>'000000000000</t>
        </is>
      </c>
      <c r="G6783" s="0" t="inlineStr">
        <is>
          <t>MENS</t>
        </is>
      </c>
      <c r="H6783" s="0" t="inlineStr">
        <is>
          <t>2XL</t>
        </is>
      </c>
      <c r="I6783" s="0">
        <v>56.99</v>
      </c>
      <c r="J6783" s="0">
        <v>31</v>
      </c>
    </row>
    <row r="6784" spans="1:10" customHeight="0">
      <c r="A6784" s="0">
        <f>HYPERLINK("https://dl.dropboxusercontent.com/scl/fi/euuj0t5357kg1p41r3cwi/cookt.jpg?rlkey=ra2mm02s9vzcmm9omryz2z7w5&amp;dl=0","Click to download Image")</f>
      </c>
      <c r="B6784" s="0">
        <f>HYPERLINK("https://dl.dropboxusercontent.com/scl/fi/flrn058qwuqzgox9iycag/mens-d-2.jpg?rlkey=6goh8akqkrjkcavnv40ac4h70&amp;dl=0","Click to download SizeChart")</f>
      </c>
      <c r="C6784" s="0" t="inlineStr">
        <is>
          <t>Cook Men's Full Zip Jacket</t>
        </is>
      </c>
      <c r="D6784" s="0" t="inlineStr">
        <is>
          <t>'95594</t>
        </is>
      </c>
      <c r="E6784" s="0" t="inlineStr">
        <is>
          <t>COOK:95594F-3X</t>
        </is>
      </c>
      <c r="F6784" s="0" t="inlineStr">
        <is>
          <t>'000000000000</t>
        </is>
      </c>
      <c r="G6784" s="0" t="inlineStr">
        <is>
          <t>MENS</t>
        </is>
      </c>
      <c r="H6784" s="0" t="inlineStr">
        <is>
          <t>3XL</t>
        </is>
      </c>
      <c r="I6784" s="0">
        <v>56.99</v>
      </c>
      <c r="J6784" s="0">
        <v>8</v>
      </c>
    </row>
    <row r="6785" spans="1:10" customHeight="0">
      <c r="A6785" s="0">
        <f>HYPERLINK("https://dl.dropboxusercontent.com/scl/fi/p1oexnmx0u6hoccak7wyo/dane.jpg?rlkey=ibe2koukaiitput0n39fntajk&amp;dl=0","Click to download Image")</f>
      </c>
      <c r="B6785" s="0">
        <f>HYPERLINK("https://dl.dropboxusercontent.com/scl/fi/q6atv4yka1zliiyll29jb/mens-d-3.jpg?rlkey=kveyp6gr4wd7i0h91rsfnvmcs&amp;dl=0","Click to download SizeChart")</f>
      </c>
      <c r="C6785" s="0" t="inlineStr">
        <is>
          <t>Dane Men's 1/4 Zip</t>
        </is>
      </c>
      <c r="D6785" s="0" t="inlineStr">
        <is>
          <t>'95403</t>
        </is>
      </c>
      <c r="E6785" s="0" t="inlineStr">
        <is>
          <t>DANE:95403A-S</t>
        </is>
      </c>
      <c r="F6785" s="0" t="inlineStr">
        <is>
          <t>'000000000000</t>
        </is>
      </c>
      <c r="G6785" s="0" t="inlineStr">
        <is>
          <t>MENS</t>
        </is>
      </c>
      <c r="H6785" s="0" t="inlineStr">
        <is>
          <t>S</t>
        </is>
      </c>
      <c r="I6785" s="0">
        <v>48.99</v>
      </c>
      <c r="J6785" s="0">
        <v>52</v>
      </c>
    </row>
    <row r="6786" spans="1:10" customHeight="0">
      <c r="A6786" s="0">
        <f>HYPERLINK("https://dl.dropboxusercontent.com/scl/fi/p1oexnmx0u6hoccak7wyo/dane.jpg?rlkey=ibe2koukaiitput0n39fntajk&amp;dl=0","Click to download Image")</f>
      </c>
      <c r="B6786" s="0">
        <f>HYPERLINK("https://dl.dropboxusercontent.com/scl/fi/q6atv4yka1zliiyll29jb/mens-d-3.jpg?rlkey=kveyp6gr4wd7i0h91rsfnvmcs&amp;dl=0","Click to download SizeChart")</f>
      </c>
      <c r="C6786" s="0" t="inlineStr">
        <is>
          <t>Dane Men's 1/4 Zip</t>
        </is>
      </c>
      <c r="D6786" s="0" t="inlineStr">
        <is>
          <t>'95403</t>
        </is>
      </c>
      <c r="E6786" s="0" t="inlineStr">
        <is>
          <t>DANE:95403B-M</t>
        </is>
      </c>
      <c r="F6786" s="0" t="inlineStr">
        <is>
          <t>'000000000000</t>
        </is>
      </c>
      <c r="G6786" s="0" t="inlineStr">
        <is>
          <t>MENS</t>
        </is>
      </c>
      <c r="H6786" s="0" t="inlineStr">
        <is>
          <t>M</t>
        </is>
      </c>
      <c r="I6786" s="0">
        <v>48.99</v>
      </c>
      <c r="J6786" s="0">
        <v>97</v>
      </c>
    </row>
    <row r="6787" spans="1:10" customHeight="0">
      <c r="A6787" s="0">
        <f>HYPERLINK("https://dl.dropboxusercontent.com/scl/fi/p1oexnmx0u6hoccak7wyo/dane.jpg?rlkey=ibe2koukaiitput0n39fntajk&amp;dl=0","Click to download Image")</f>
      </c>
      <c r="B6787" s="0">
        <f>HYPERLINK("https://dl.dropboxusercontent.com/scl/fi/q6atv4yka1zliiyll29jb/mens-d-3.jpg?rlkey=kveyp6gr4wd7i0h91rsfnvmcs&amp;dl=0","Click to download SizeChart")</f>
      </c>
      <c r="C6787" s="0" t="inlineStr">
        <is>
          <t>Dane Men's 1/4 Zip</t>
        </is>
      </c>
      <c r="D6787" s="0" t="inlineStr">
        <is>
          <t>'95403</t>
        </is>
      </c>
      <c r="E6787" s="0" t="inlineStr">
        <is>
          <t>DANE:95403C-L</t>
        </is>
      </c>
      <c r="F6787" s="0" t="inlineStr">
        <is>
          <t>'000000000000</t>
        </is>
      </c>
      <c r="G6787" s="0" t="inlineStr">
        <is>
          <t>MENS</t>
        </is>
      </c>
      <c r="H6787" s="0" t="inlineStr">
        <is>
          <t>L</t>
        </is>
      </c>
      <c r="I6787" s="0">
        <v>48.99</v>
      </c>
      <c r="J6787" s="0">
        <v>83</v>
      </c>
    </row>
    <row r="6788" spans="1:10" customHeight="0">
      <c r="A6788" s="0">
        <f>HYPERLINK("https://dl.dropboxusercontent.com/scl/fi/p1oexnmx0u6hoccak7wyo/dane.jpg?rlkey=ibe2koukaiitput0n39fntajk&amp;dl=0","Click to download Image")</f>
      </c>
      <c r="B6788" s="0">
        <f>HYPERLINK("https://dl.dropboxusercontent.com/scl/fi/q6atv4yka1zliiyll29jb/mens-d-3.jpg?rlkey=kveyp6gr4wd7i0h91rsfnvmcs&amp;dl=0","Click to download SizeChart")</f>
      </c>
      <c r="C6788" s="0" t="inlineStr">
        <is>
          <t>Dane Men's 1/4 Zip</t>
        </is>
      </c>
      <c r="D6788" s="0" t="inlineStr">
        <is>
          <t>'95403</t>
        </is>
      </c>
      <c r="E6788" s="0" t="inlineStr">
        <is>
          <t>DANE:95403D-XL</t>
        </is>
      </c>
      <c r="F6788" s="0" t="inlineStr">
        <is>
          <t>'000000000000</t>
        </is>
      </c>
      <c r="G6788" s="0" t="inlineStr">
        <is>
          <t>MENS</t>
        </is>
      </c>
      <c r="H6788" s="0" t="inlineStr">
        <is>
          <t>XL</t>
        </is>
      </c>
      <c r="I6788" s="0">
        <v>48.99</v>
      </c>
      <c r="J6788" s="0">
        <v>94</v>
      </c>
    </row>
    <row r="6789" spans="1:10" customHeight="0">
      <c r="A6789" s="0">
        <f>HYPERLINK("https://dl.dropboxusercontent.com/scl/fi/p1oexnmx0u6hoccak7wyo/dane.jpg?rlkey=ibe2koukaiitput0n39fntajk&amp;dl=0","Click to download Image")</f>
      </c>
      <c r="B6789" s="0">
        <f>HYPERLINK("https://dl.dropboxusercontent.com/scl/fi/q6atv4yka1zliiyll29jb/mens-d-3.jpg?rlkey=kveyp6gr4wd7i0h91rsfnvmcs&amp;dl=0","Click to download SizeChart")</f>
      </c>
      <c r="C6789" s="0" t="inlineStr">
        <is>
          <t>Dane Men's 1/4 Zip</t>
        </is>
      </c>
      <c r="D6789" s="0" t="inlineStr">
        <is>
          <t>'95403</t>
        </is>
      </c>
      <c r="E6789" s="0" t="inlineStr">
        <is>
          <t>DANE:95403E-2X</t>
        </is>
      </c>
      <c r="F6789" s="0" t="inlineStr">
        <is>
          <t>'000000000000</t>
        </is>
      </c>
      <c r="G6789" s="0" t="inlineStr">
        <is>
          <t>MENS</t>
        </is>
      </c>
      <c r="H6789" s="0" t="inlineStr">
        <is>
          <t>2XL</t>
        </is>
      </c>
      <c r="I6789" s="0">
        <v>50.99</v>
      </c>
      <c r="J6789" s="0">
        <v>49</v>
      </c>
    </row>
    <row r="6790" spans="1:10" customHeight="0">
      <c r="A6790" s="0">
        <f>HYPERLINK("https://dl.dropboxusercontent.com/scl/fi/p1oexnmx0u6hoccak7wyo/dane.jpg?rlkey=ibe2koukaiitput0n39fntajk&amp;dl=0","Click to download Image")</f>
      </c>
      <c r="B6790" s="0">
        <f>HYPERLINK("https://dl.dropboxusercontent.com/scl/fi/q6atv4yka1zliiyll29jb/mens-d-3.jpg?rlkey=kveyp6gr4wd7i0h91rsfnvmcs&amp;dl=0","Click to download SizeChart")</f>
      </c>
      <c r="C6790" s="0" t="inlineStr">
        <is>
          <t>Dane Men's 1/4 Zip</t>
        </is>
      </c>
      <c r="D6790" s="0" t="inlineStr">
        <is>
          <t>'95403</t>
        </is>
      </c>
      <c r="E6790" s="0" t="inlineStr">
        <is>
          <t>DANE:95403F-3X</t>
        </is>
      </c>
      <c r="F6790" s="0" t="inlineStr">
        <is>
          <t>'000000000000</t>
        </is>
      </c>
      <c r="G6790" s="0" t="inlineStr">
        <is>
          <t>MENS</t>
        </is>
      </c>
      <c r="H6790" s="0" t="inlineStr">
        <is>
          <t>3XL</t>
        </is>
      </c>
      <c r="I6790" s="0">
        <v>50.99</v>
      </c>
      <c r="J6790" s="0">
        <v>42</v>
      </c>
    </row>
    <row r="6791" spans="1:10" customHeight="0">
      <c r="A6791" s="0">
        <f>HYPERLINK("https://dl.dropboxusercontent.com/scl/fi/5ysc89eaeuhn5phkez7sx/dave.jpg?rlkey=8asfxhd2hq2zro64083xaybrc&amp;dl=0","Click to download Image")</f>
      </c>
      <c r="C6791" s="0" t="inlineStr">
        <is>
          <t>David Performance Men's Long Sleeve</t>
        </is>
      </c>
      <c r="D6791" s="0" t="inlineStr">
        <is>
          <t>'96571</t>
        </is>
      </c>
      <c r="E6791" s="0" t="inlineStr">
        <is>
          <t>DAVID:96571A-S</t>
        </is>
      </c>
      <c r="F6791" s="0" t="inlineStr">
        <is>
          <t>'000000000000</t>
        </is>
      </c>
      <c r="G6791" s="0" t="inlineStr">
        <is>
          <t>MENS</t>
        </is>
      </c>
      <c r="H6791" s="0" t="inlineStr">
        <is>
          <t>S</t>
        </is>
      </c>
      <c r="I6791" s="0">
        <v>37.99</v>
      </c>
      <c r="J6791" s="0">
        <v>47</v>
      </c>
    </row>
    <row r="6792" spans="1:10" customHeight="0">
      <c r="A6792" s="0">
        <f>HYPERLINK("https://dl.dropboxusercontent.com/scl/fi/5ysc89eaeuhn5phkez7sx/dave.jpg?rlkey=8asfxhd2hq2zro64083xaybrc&amp;dl=0","Click to download Image")</f>
      </c>
      <c r="C6792" s="0" t="inlineStr">
        <is>
          <t>David Performance Men's Long Sleeve</t>
        </is>
      </c>
      <c r="D6792" s="0" t="inlineStr">
        <is>
          <t>'96571</t>
        </is>
      </c>
      <c r="E6792" s="0" t="inlineStr">
        <is>
          <t>DAVID:96571B-M</t>
        </is>
      </c>
      <c r="F6792" s="0" t="inlineStr">
        <is>
          <t>'000000000000</t>
        </is>
      </c>
      <c r="G6792" s="0" t="inlineStr">
        <is>
          <t>MENS</t>
        </is>
      </c>
      <c r="H6792" s="0" t="inlineStr">
        <is>
          <t>M</t>
        </is>
      </c>
      <c r="I6792" s="0">
        <v>37.99</v>
      </c>
      <c r="J6792" s="0">
        <v>46</v>
      </c>
    </row>
    <row r="6793" spans="1:10" customHeight="0">
      <c r="A6793" s="0">
        <f>HYPERLINK("https://dl.dropboxusercontent.com/scl/fi/5ysc89eaeuhn5phkez7sx/dave.jpg?rlkey=8asfxhd2hq2zro64083xaybrc&amp;dl=0","Click to download Image")</f>
      </c>
      <c r="C6793" s="0" t="inlineStr">
        <is>
          <t>David Performance Men's Long Sleeve</t>
        </is>
      </c>
      <c r="D6793" s="0" t="inlineStr">
        <is>
          <t>'96571</t>
        </is>
      </c>
      <c r="E6793" s="0" t="inlineStr">
        <is>
          <t>DAVID:96571C-L</t>
        </is>
      </c>
      <c r="F6793" s="0" t="inlineStr">
        <is>
          <t>'000000000000</t>
        </is>
      </c>
      <c r="G6793" s="0" t="inlineStr">
        <is>
          <t>MENS</t>
        </is>
      </c>
      <c r="H6793" s="0" t="inlineStr">
        <is>
          <t>L</t>
        </is>
      </c>
      <c r="I6793" s="0">
        <v>37.99</v>
      </c>
      <c r="J6793" s="0">
        <v>10</v>
      </c>
    </row>
    <row r="6794" spans="1:10" customHeight="0">
      <c r="A6794" s="0">
        <f>HYPERLINK("https://dl.dropboxusercontent.com/scl/fi/5ysc89eaeuhn5phkez7sx/dave.jpg?rlkey=8asfxhd2hq2zro64083xaybrc&amp;dl=0","Click to download Image")</f>
      </c>
      <c r="C6794" s="0" t="inlineStr">
        <is>
          <t>David Performance Men's Long Sleeve</t>
        </is>
      </c>
      <c r="D6794" s="0" t="inlineStr">
        <is>
          <t>'96571</t>
        </is>
      </c>
      <c r="E6794" s="0" t="inlineStr">
        <is>
          <t>DAVID:96571D-XL</t>
        </is>
      </c>
      <c r="F6794" s="0" t="inlineStr">
        <is>
          <t>'000000000000</t>
        </is>
      </c>
      <c r="G6794" s="0" t="inlineStr">
        <is>
          <t>MENS</t>
        </is>
      </c>
      <c r="H6794" s="0" t="inlineStr">
        <is>
          <t>XL</t>
        </is>
      </c>
      <c r="I6794" s="0">
        <v>37.99</v>
      </c>
      <c r="J6794" s="0">
        <v>16</v>
      </c>
    </row>
    <row r="6795" spans="1:10" customHeight="0">
      <c r="A6795" s="0">
        <f>HYPERLINK("https://dl.dropboxusercontent.com/scl/fi/5ysc89eaeuhn5phkez7sx/dave.jpg?rlkey=8asfxhd2hq2zro64083xaybrc&amp;dl=0","Click to download Image")</f>
      </c>
      <c r="C6795" s="0" t="inlineStr">
        <is>
          <t>David Performance Men's Long Sleeve</t>
        </is>
      </c>
      <c r="D6795" s="0" t="inlineStr">
        <is>
          <t>'96571</t>
        </is>
      </c>
      <c r="E6795" s="0" t="inlineStr">
        <is>
          <t>DAVID:96571E-2XL</t>
        </is>
      </c>
      <c r="F6795" s="0" t="inlineStr">
        <is>
          <t>'000000000000</t>
        </is>
      </c>
      <c r="G6795" s="0" t="inlineStr">
        <is>
          <t>MENS</t>
        </is>
      </c>
      <c r="H6795" s="0" t="inlineStr">
        <is>
          <t>2XL</t>
        </is>
      </c>
      <c r="I6795" s="0">
        <v>39.99</v>
      </c>
      <c r="J6795" s="0">
        <v>19</v>
      </c>
    </row>
    <row r="6796" spans="1:10" customHeight="0">
      <c r="A6796" s="0">
        <f>HYPERLINK("https://dl.dropboxusercontent.com/scl/fi/5ysc89eaeuhn5phkez7sx/dave.jpg?rlkey=8asfxhd2hq2zro64083xaybrc&amp;dl=0","Click to download Image")</f>
      </c>
      <c r="C6796" s="0" t="inlineStr">
        <is>
          <t>David Performance Men's Long Sleeve</t>
        </is>
      </c>
      <c r="D6796" s="0" t="inlineStr">
        <is>
          <t>'96571</t>
        </is>
      </c>
      <c r="E6796" s="0" t="inlineStr">
        <is>
          <t>DAVID:96571F-3XL</t>
        </is>
      </c>
      <c r="F6796" s="0" t="inlineStr">
        <is>
          <t>'000000000000</t>
        </is>
      </c>
      <c r="G6796" s="0" t="inlineStr">
        <is>
          <t>MENS</t>
        </is>
      </c>
      <c r="H6796" s="0" t="inlineStr">
        <is>
          <t>3XL</t>
        </is>
      </c>
      <c r="I6796" s="0">
        <v>39.99</v>
      </c>
      <c r="J6796" s="0">
        <v>16</v>
      </c>
    </row>
    <row r="6797" spans="1:10" customHeight="0">
      <c r="A6797" s="0">
        <f>HYPERLINK("https://dl.dropboxusercontent.com/scl/fi/0fbwtn9eigflshmqc34k0/95142af.jpg?rlkey=0dkzleu5c8ycmfa2vbeds6w6q&amp;dl=0","Click to download Image")</f>
      </c>
      <c r="B6797" s="0">
        <f>HYPERLINK("https://dl.dropboxusercontent.com/scl/fi/o5np6krnktzgm3vkzj82k/size-chartyouth-d.jpg?rlkey=tlp439wuhyqdcptpoavzcegoc&amp;dl=0","Click to download SizeChart")</f>
      </c>
      <c r="C6797" s="0" t="inlineStr">
        <is>
          <t>Dillard Youth Basketball Shorts</t>
        </is>
      </c>
      <c r="D6797" s="0" t="inlineStr">
        <is>
          <t>'95142</t>
        </is>
      </c>
      <c r="E6797" s="0" t="inlineStr">
        <is>
          <t>DILLARD SHORTS:95142A- YS</t>
        </is>
      </c>
      <c r="F6797" s="0" t="inlineStr">
        <is>
          <t>'000000000000</t>
        </is>
      </c>
      <c r="G6797" s="0" t="inlineStr">
        <is>
          <t>YOUTH</t>
        </is>
      </c>
      <c r="H6797" s="0" t="inlineStr">
        <is>
          <t>YS</t>
        </is>
      </c>
      <c r="I6797" s="0">
        <v>22.99</v>
      </c>
      <c r="J6797" s="0">
        <v>55</v>
      </c>
    </row>
    <row r="6798" spans="1:10" customHeight="0">
      <c r="A6798" s="0">
        <f>HYPERLINK("https://dl.dropboxusercontent.com/scl/fi/0fbwtn9eigflshmqc34k0/95142af.jpg?rlkey=0dkzleu5c8ycmfa2vbeds6w6q&amp;dl=0","Click to download Image")</f>
      </c>
      <c r="B6798" s="0">
        <f>HYPERLINK("https://dl.dropboxusercontent.com/scl/fi/o5np6krnktzgm3vkzj82k/size-chartyouth-d.jpg?rlkey=tlp439wuhyqdcptpoavzcegoc&amp;dl=0","Click to download SizeChart")</f>
      </c>
      <c r="C6798" s="0" t="inlineStr">
        <is>
          <t>Dillard Youth Basketball Shorts</t>
        </is>
      </c>
      <c r="D6798" s="0" t="inlineStr">
        <is>
          <t>'95142</t>
        </is>
      </c>
      <c r="E6798" s="0" t="inlineStr">
        <is>
          <t>DILLARD SHORTS:95142B- YM</t>
        </is>
      </c>
      <c r="F6798" s="0" t="inlineStr">
        <is>
          <t>'000000000000</t>
        </is>
      </c>
      <c r="G6798" s="0" t="inlineStr">
        <is>
          <t>YOUTH</t>
        </is>
      </c>
      <c r="H6798" s="0" t="inlineStr">
        <is>
          <t>YM</t>
        </is>
      </c>
      <c r="I6798" s="0">
        <v>22.99</v>
      </c>
      <c r="J6798" s="0">
        <v>64</v>
      </c>
    </row>
    <row r="6799" spans="1:10" customHeight="0">
      <c r="A6799" s="0">
        <f>HYPERLINK("https://dl.dropboxusercontent.com/scl/fi/0fbwtn9eigflshmqc34k0/95142af.jpg?rlkey=0dkzleu5c8ycmfa2vbeds6w6q&amp;dl=0","Click to download Image")</f>
      </c>
      <c r="B6799" s="0">
        <f>HYPERLINK("https://dl.dropboxusercontent.com/scl/fi/o5np6krnktzgm3vkzj82k/size-chartyouth-d.jpg?rlkey=tlp439wuhyqdcptpoavzcegoc&amp;dl=0","Click to download SizeChart")</f>
      </c>
      <c r="C6799" s="0" t="inlineStr">
        <is>
          <t>Dillard Youth Basketball Shorts</t>
        </is>
      </c>
      <c r="D6799" s="0" t="inlineStr">
        <is>
          <t>'95142</t>
        </is>
      </c>
      <c r="E6799" s="0" t="inlineStr">
        <is>
          <t>DILLARD SHORTS:95142C- YL</t>
        </is>
      </c>
      <c r="F6799" s="0" t="inlineStr">
        <is>
          <t>'000000000000</t>
        </is>
      </c>
      <c r="G6799" s="0" t="inlineStr">
        <is>
          <t>YOUTH</t>
        </is>
      </c>
      <c r="H6799" s="0" t="inlineStr">
        <is>
          <t>YL</t>
        </is>
      </c>
      <c r="I6799" s="0">
        <v>22.99</v>
      </c>
      <c r="J6799" s="0">
        <v>73</v>
      </c>
    </row>
    <row r="6800" spans="1:10" customHeight="0">
      <c r="A6800" s="0">
        <f>HYPERLINK("https://dl.dropboxusercontent.com/scl/fi/0fbwtn9eigflshmqc34k0/95142af.jpg?rlkey=0dkzleu5c8ycmfa2vbeds6w6q&amp;dl=0","Click to download Image")</f>
      </c>
      <c r="B6800" s="0">
        <f>HYPERLINK("https://dl.dropboxusercontent.com/scl/fi/o5np6krnktzgm3vkzj82k/size-chartyouth-d.jpg?rlkey=tlp439wuhyqdcptpoavzcegoc&amp;dl=0","Click to download SizeChart")</f>
      </c>
      <c r="C6800" s="0" t="inlineStr">
        <is>
          <t>Dillard Youth Basketball Shorts</t>
        </is>
      </c>
      <c r="D6800" s="0" t="inlineStr">
        <is>
          <t>'95142</t>
        </is>
      </c>
      <c r="E6800" s="0" t="inlineStr">
        <is>
          <t>DILLARD SHORTS:95142D- YXL</t>
        </is>
      </c>
      <c r="F6800" s="0" t="inlineStr">
        <is>
          <t>'000000000000</t>
        </is>
      </c>
      <c r="G6800" s="0" t="inlineStr">
        <is>
          <t>YOUTH</t>
        </is>
      </c>
      <c r="H6800" s="0" t="inlineStr">
        <is>
          <t>YXL</t>
        </is>
      </c>
      <c r="I6800" s="0">
        <v>22.99</v>
      </c>
      <c r="J6800" s="0">
        <v>70</v>
      </c>
    </row>
    <row r="6801" spans="1:10" customHeight="0">
      <c r="A6801" s="0">
        <f>HYPERLINK("https://dl.dropboxusercontent.com/scl/fi/2vyhhp1ltzpyn3ws3dg4j/95142af.jpg?rlkey=wnfwonz2d3uyf3nm4t5s0sov1&amp;dl=0","Click to download Image")</f>
      </c>
      <c r="C6801" s="0" t="inlineStr">
        <is>
          <t>Dillard Men's Basketball Shorts</t>
        </is>
      </c>
      <c r="D6801" s="0" t="inlineStr">
        <is>
          <t>'95308</t>
        </is>
      </c>
      <c r="E6801" s="0" t="inlineStr">
        <is>
          <t>DILLARD SHORTS:95308A-AS</t>
        </is>
      </c>
      <c r="F6801" s="0" t="inlineStr">
        <is>
          <t>'000000000000</t>
        </is>
      </c>
      <c r="G6801" s="0" t="inlineStr">
        <is>
          <t>MENS</t>
        </is>
      </c>
      <c r="H6801" s="0" t="inlineStr">
        <is>
          <t>S</t>
        </is>
      </c>
      <c r="I6801" s="0">
        <v>22.99</v>
      </c>
      <c r="J6801" s="0">
        <v>61</v>
      </c>
    </row>
    <row r="6802" spans="1:10" customHeight="0">
      <c r="A6802" s="0">
        <f>HYPERLINK("https://dl.dropboxusercontent.com/scl/fi/2vyhhp1ltzpyn3ws3dg4j/95142af.jpg?rlkey=wnfwonz2d3uyf3nm4t5s0sov1&amp;dl=0","Click to download Image")</f>
      </c>
      <c r="C6802" s="0" t="inlineStr">
        <is>
          <t>Dillard Men's Basketball Shorts</t>
        </is>
      </c>
      <c r="D6802" s="0" t="inlineStr">
        <is>
          <t>'95308</t>
        </is>
      </c>
      <c r="E6802" s="0" t="inlineStr">
        <is>
          <t>DILLARD SHORTS:95308B-AM</t>
        </is>
      </c>
      <c r="F6802" s="0" t="inlineStr">
        <is>
          <t>'000000000000</t>
        </is>
      </c>
      <c r="G6802" s="0" t="inlineStr">
        <is>
          <t>MENS</t>
        </is>
      </c>
      <c r="H6802" s="0" t="inlineStr">
        <is>
          <t>M</t>
        </is>
      </c>
      <c r="I6802" s="0">
        <v>22.99</v>
      </c>
      <c r="J6802" s="0">
        <v>43</v>
      </c>
    </row>
    <row r="6803" spans="1:10" customHeight="0">
      <c r="A6803" s="0">
        <f>HYPERLINK("https://dl.dropboxusercontent.com/scl/fi/hw7fqwroalv60zgms91jf/95307af.jpg?rlkey=3zt9fqmvca74o8zw14hkmijkw&amp;dl=0","Click to download Image")</f>
      </c>
      <c r="B6803" s="0">
        <f>HYPERLINK("https://dl.dropboxusercontent.com/scl/fi/2127gecpabbicqrotthsj/size-chartyouth-a.jpg?rlkey=8kd3a1ig8cynyka5y2xxvhmp1&amp;dl=0","Click to download SizeChart")</f>
      </c>
      <c r="C6803" s="0" t="inlineStr">
        <is>
          <t>Dillard Youth Basketball Jersey</t>
        </is>
      </c>
      <c r="D6803" s="0" t="inlineStr">
        <is>
          <t>'95141</t>
        </is>
      </c>
      <c r="E6803" s="0" t="inlineStr">
        <is>
          <t>DILLARD JERSEY:95141A - YS</t>
        </is>
      </c>
      <c r="F6803" s="0" t="inlineStr">
        <is>
          <t>'000000000000</t>
        </is>
      </c>
      <c r="G6803" s="0" t="inlineStr">
        <is>
          <t>YOUTH</t>
        </is>
      </c>
      <c r="H6803" s="0" t="inlineStr">
        <is>
          <t>YS</t>
        </is>
      </c>
      <c r="I6803" s="0">
        <v>22.99</v>
      </c>
      <c r="J6803" s="0">
        <v>64</v>
      </c>
    </row>
    <row r="6804" spans="1:10" customHeight="0">
      <c r="A6804" s="0">
        <f>HYPERLINK("https://dl.dropboxusercontent.com/scl/fi/hw7fqwroalv60zgms91jf/95307af.jpg?rlkey=3zt9fqmvca74o8zw14hkmijkw&amp;dl=0","Click to download Image")</f>
      </c>
      <c r="B6804" s="0">
        <f>HYPERLINK("https://dl.dropboxusercontent.com/scl/fi/2127gecpabbicqrotthsj/size-chartyouth-a.jpg?rlkey=8kd3a1ig8cynyka5y2xxvhmp1&amp;dl=0","Click to download SizeChart")</f>
      </c>
      <c r="C6804" s="0" t="inlineStr">
        <is>
          <t>Dillard Youth Basketball Jersey</t>
        </is>
      </c>
      <c r="D6804" s="0" t="inlineStr">
        <is>
          <t>'95141</t>
        </is>
      </c>
      <c r="E6804" s="0" t="inlineStr">
        <is>
          <t>DILLARD JERSEY:95141B - YM</t>
        </is>
      </c>
      <c r="F6804" s="0" t="inlineStr">
        <is>
          <t>'000000000000</t>
        </is>
      </c>
      <c r="G6804" s="0" t="inlineStr">
        <is>
          <t>YOUTH</t>
        </is>
      </c>
      <c r="H6804" s="0" t="inlineStr">
        <is>
          <t>YM</t>
        </is>
      </c>
      <c r="I6804" s="0">
        <v>22.99</v>
      </c>
      <c r="J6804" s="0">
        <v>72</v>
      </c>
    </row>
    <row r="6805" spans="1:10" customHeight="0">
      <c r="A6805" s="0">
        <f>HYPERLINK("https://dl.dropboxusercontent.com/scl/fi/hw7fqwroalv60zgms91jf/95307af.jpg?rlkey=3zt9fqmvca74o8zw14hkmijkw&amp;dl=0","Click to download Image")</f>
      </c>
      <c r="B6805" s="0">
        <f>HYPERLINK("https://dl.dropboxusercontent.com/scl/fi/2127gecpabbicqrotthsj/size-chartyouth-a.jpg?rlkey=8kd3a1ig8cynyka5y2xxvhmp1&amp;dl=0","Click to download SizeChart")</f>
      </c>
      <c r="C6805" s="0" t="inlineStr">
        <is>
          <t>Dillard Youth Basketball Jersey</t>
        </is>
      </c>
      <c r="D6805" s="0" t="inlineStr">
        <is>
          <t>'95141</t>
        </is>
      </c>
      <c r="E6805" s="0" t="inlineStr">
        <is>
          <t>DILLARD JERSEY:95141C - YL</t>
        </is>
      </c>
      <c r="F6805" s="0" t="inlineStr">
        <is>
          <t>'000000000000</t>
        </is>
      </c>
      <c r="G6805" s="0" t="inlineStr">
        <is>
          <t>YOUTH</t>
        </is>
      </c>
      <c r="H6805" s="0" t="inlineStr">
        <is>
          <t>YL</t>
        </is>
      </c>
      <c r="I6805" s="0">
        <v>22.99</v>
      </c>
      <c r="J6805" s="0">
        <v>79</v>
      </c>
    </row>
    <row r="6806" spans="1:10" customHeight="0">
      <c r="A6806" s="0">
        <f>HYPERLINK("https://dl.dropboxusercontent.com/scl/fi/hw7fqwroalv60zgms91jf/95307af.jpg?rlkey=3zt9fqmvca74o8zw14hkmijkw&amp;dl=0","Click to download Image")</f>
      </c>
      <c r="B6806" s="0">
        <f>HYPERLINK("https://dl.dropboxusercontent.com/scl/fi/2127gecpabbicqrotthsj/size-chartyouth-a.jpg?rlkey=8kd3a1ig8cynyka5y2xxvhmp1&amp;dl=0","Click to download SizeChart")</f>
      </c>
      <c r="C6806" s="0" t="inlineStr">
        <is>
          <t>Dillard Youth Basketball Jersey</t>
        </is>
      </c>
      <c r="D6806" s="0" t="inlineStr">
        <is>
          <t>'95141</t>
        </is>
      </c>
      <c r="E6806" s="0" t="inlineStr">
        <is>
          <t>DILLARD JERSEY:95141D - YXL</t>
        </is>
      </c>
      <c r="F6806" s="0" t="inlineStr">
        <is>
          <t>'000000000000</t>
        </is>
      </c>
      <c r="G6806" s="0" t="inlineStr">
        <is>
          <t>YOUTH</t>
        </is>
      </c>
      <c r="H6806" s="0" t="inlineStr">
        <is>
          <t>YXL</t>
        </is>
      </c>
      <c r="I6806" s="0">
        <v>22.99</v>
      </c>
      <c r="J6806" s="0">
        <v>83</v>
      </c>
    </row>
    <row r="6807" spans="1:10" customHeight="0">
      <c r="A6807" s="0">
        <f>HYPERLINK("https://dl.dropboxusercontent.com/scl/fi/677hgu7vz3j4kq0q1i428/95307af.jpg?rlkey=dhi5noj5lrzyaqwhzlumro6hk&amp;dl=0","Click to download Image")</f>
      </c>
      <c r="B6807" s="0">
        <f>HYPERLINK("https://dl.dropboxusercontent.com/scl/fi/45zt2dp159jhr4adkzbxy/mens-a.jpg?rlkey=oalltlrknucejktho3lq8j5tg&amp;dl=0","Click to download SizeChart")</f>
      </c>
      <c r="C6807" s="0" t="inlineStr">
        <is>
          <t>Dillard Men's Basketball Jersey</t>
        </is>
      </c>
      <c r="D6807" s="0" t="inlineStr">
        <is>
          <t>'95307</t>
        </is>
      </c>
      <c r="E6807" s="0" t="inlineStr">
        <is>
          <t>DILLARD JERSEY:95307A-AS</t>
        </is>
      </c>
      <c r="F6807" s="0" t="inlineStr">
        <is>
          <t>'000000000000</t>
        </is>
      </c>
      <c r="G6807" s="0" t="inlineStr">
        <is>
          <t>MENS</t>
        </is>
      </c>
      <c r="H6807" s="0" t="inlineStr">
        <is>
          <t>S</t>
        </is>
      </c>
      <c r="I6807" s="0">
        <v>22.99</v>
      </c>
      <c r="J6807" s="0">
        <v>64</v>
      </c>
    </row>
    <row r="6808" spans="1:10" customHeight="0">
      <c r="A6808" s="0">
        <f>HYPERLINK("https://dl.dropboxusercontent.com/scl/fi/677hgu7vz3j4kq0q1i428/95307af.jpg?rlkey=dhi5noj5lrzyaqwhzlumro6hk&amp;dl=0","Click to download Image")</f>
      </c>
      <c r="B6808" s="0">
        <f>HYPERLINK("https://dl.dropboxusercontent.com/scl/fi/45zt2dp159jhr4adkzbxy/mens-a.jpg?rlkey=oalltlrknucejktho3lq8j5tg&amp;dl=0","Click to download SizeChart")</f>
      </c>
      <c r="C6808" s="0" t="inlineStr">
        <is>
          <t>Dillard Men's Basketball Jersey</t>
        </is>
      </c>
      <c r="D6808" s="0" t="inlineStr">
        <is>
          <t>'95307</t>
        </is>
      </c>
      <c r="E6808" s="0" t="inlineStr">
        <is>
          <t>DILLARD JERSEY:95307B-AM</t>
        </is>
      </c>
      <c r="F6808" s="0" t="inlineStr">
        <is>
          <t>'000000000000</t>
        </is>
      </c>
      <c r="G6808" s="0" t="inlineStr">
        <is>
          <t>MENS</t>
        </is>
      </c>
      <c r="H6808" s="0" t="inlineStr">
        <is>
          <t>M</t>
        </is>
      </c>
      <c r="I6808" s="0">
        <v>22.99</v>
      </c>
      <c r="J6808" s="0">
        <v>67</v>
      </c>
    </row>
    <row r="6809" spans="1:10" customHeight="0">
      <c r="A6809" s="0">
        <f>HYPERLINK("https://dl.dropboxusercontent.com/scl/fi/rr0rj5r1ub69m2nw2rwks/96714af.jpg?rlkey=qw245zpd4vhhzsce8hu9cgw34&amp;dl=0","Click to download Image")</f>
      </c>
      <c r="B6809" s="0">
        <f>HYPERLINK("https://dl.dropboxusercontent.com/scl/fi/6t35nzj79f7qv45f9brkz/size-chartyouth-c.jpg?rlkey=6mfiabcvmja6bjg54uvy8g2ce&amp;dl=0","Click to download SizeChart")</f>
      </c>
      <c r="C6809" s="0" t="inlineStr">
        <is>
          <t>Dexter Youth Basketball Jersey</t>
        </is>
      </c>
      <c r="D6809" s="0" t="inlineStr">
        <is>
          <t>'96719</t>
        </is>
      </c>
      <c r="E6809" s="0" t="inlineStr">
        <is>
          <t>DEXTER JERSEY:96719A-S</t>
        </is>
      </c>
      <c r="F6809" s="0" t="inlineStr">
        <is>
          <t>'000000000000</t>
        </is>
      </c>
      <c r="G6809" s="0" t="inlineStr">
        <is>
          <t>YOUTH</t>
        </is>
      </c>
      <c r="H6809" s="0" t="inlineStr">
        <is>
          <t>YS</t>
        </is>
      </c>
      <c r="I6809" s="0">
        <v>34.99</v>
      </c>
      <c r="J6809" s="0">
        <v>50</v>
      </c>
    </row>
    <row r="6810" spans="1:10" customHeight="0">
      <c r="A6810" s="0">
        <f>HYPERLINK("https://dl.dropboxusercontent.com/scl/fi/rr0rj5r1ub69m2nw2rwks/96714af.jpg?rlkey=qw245zpd4vhhzsce8hu9cgw34&amp;dl=0","Click to download Image")</f>
      </c>
      <c r="B6810" s="0">
        <f>HYPERLINK("https://dl.dropboxusercontent.com/scl/fi/6t35nzj79f7qv45f9brkz/size-chartyouth-c.jpg?rlkey=6mfiabcvmja6bjg54uvy8g2ce&amp;dl=0","Click to download SizeChart")</f>
      </c>
      <c r="C6810" s="0" t="inlineStr">
        <is>
          <t>Dexter Youth Basketball Jersey</t>
        </is>
      </c>
      <c r="D6810" s="0" t="inlineStr">
        <is>
          <t>'96719</t>
        </is>
      </c>
      <c r="E6810" s="0" t="inlineStr">
        <is>
          <t>DEXTER JERSEY:96719B-M</t>
        </is>
      </c>
      <c r="F6810" s="0" t="inlineStr">
        <is>
          <t>'000000000000</t>
        </is>
      </c>
      <c r="G6810" s="0" t="inlineStr">
        <is>
          <t>YOUTH</t>
        </is>
      </c>
      <c r="H6810" s="0" t="inlineStr">
        <is>
          <t>YM</t>
        </is>
      </c>
      <c r="I6810" s="0">
        <v>34.99</v>
      </c>
      <c r="J6810" s="0">
        <v>62</v>
      </c>
    </row>
    <row r="6811" spans="1:10" customHeight="0">
      <c r="A6811" s="0">
        <f>HYPERLINK("https://dl.dropboxusercontent.com/scl/fi/rr0rj5r1ub69m2nw2rwks/96714af.jpg?rlkey=qw245zpd4vhhzsce8hu9cgw34&amp;dl=0","Click to download Image")</f>
      </c>
      <c r="B6811" s="0">
        <f>HYPERLINK("https://dl.dropboxusercontent.com/scl/fi/6t35nzj79f7qv45f9brkz/size-chartyouth-c.jpg?rlkey=6mfiabcvmja6bjg54uvy8g2ce&amp;dl=0","Click to download SizeChart")</f>
      </c>
      <c r="C6811" s="0" t="inlineStr">
        <is>
          <t>Dexter Youth Basketball Jersey</t>
        </is>
      </c>
      <c r="D6811" s="0" t="inlineStr">
        <is>
          <t>'96719</t>
        </is>
      </c>
      <c r="E6811" s="0" t="inlineStr">
        <is>
          <t>DEXTER JERSEY:96719C-L</t>
        </is>
      </c>
      <c r="F6811" s="0" t="inlineStr">
        <is>
          <t>'000000000000</t>
        </is>
      </c>
      <c r="G6811" s="0" t="inlineStr">
        <is>
          <t>YOUTH</t>
        </is>
      </c>
      <c r="H6811" s="0" t="inlineStr">
        <is>
          <t>YL</t>
        </is>
      </c>
      <c r="I6811" s="0">
        <v>34.99</v>
      </c>
      <c r="J6811" s="0">
        <v>49</v>
      </c>
    </row>
    <row r="6812" spans="1:10" customHeight="0">
      <c r="A6812" s="0">
        <f>HYPERLINK("https://dl.dropboxusercontent.com/scl/fi/rr0rj5r1ub69m2nw2rwks/96714af.jpg?rlkey=qw245zpd4vhhzsce8hu9cgw34&amp;dl=0","Click to download Image")</f>
      </c>
      <c r="B6812" s="0">
        <f>HYPERLINK("https://dl.dropboxusercontent.com/scl/fi/6t35nzj79f7qv45f9brkz/size-chartyouth-c.jpg?rlkey=6mfiabcvmja6bjg54uvy8g2ce&amp;dl=0","Click to download SizeChart")</f>
      </c>
      <c r="C6812" s="0" t="inlineStr">
        <is>
          <t>Dexter Youth Basketball Jersey</t>
        </is>
      </c>
      <c r="D6812" s="0" t="inlineStr">
        <is>
          <t>'96719</t>
        </is>
      </c>
      <c r="E6812" s="0" t="inlineStr">
        <is>
          <t>DEXTER JERSEY:96719D-XL</t>
        </is>
      </c>
      <c r="F6812" s="0" t="inlineStr">
        <is>
          <t>'000000000000</t>
        </is>
      </c>
      <c r="G6812" s="0" t="inlineStr">
        <is>
          <t>YOUTH</t>
        </is>
      </c>
      <c r="H6812" s="0" t="inlineStr">
        <is>
          <t>YXL</t>
        </is>
      </c>
      <c r="I6812" s="0">
        <v>34.99</v>
      </c>
      <c r="J6812" s="0">
        <v>55</v>
      </c>
    </row>
    <row r="6813" spans="1:10" customHeight="0">
      <c r="A6813" s="0">
        <f>HYPERLINK("https://dl.dropboxusercontent.com/scl/fi/sxmimzyyl6dlxe3u4joa2/97287af.jpg?rlkey=en517n739gmewh67zrc6dy7r6&amp;dl=0","Click to download Image")</f>
      </c>
      <c r="B6813" s="0">
        <f>HYPERLINK("https://dl.dropboxusercontent.com/scl/fi/6t35nzj79f7qv45f9brkz/size-chartyouth-c.jpg?rlkey=6mfiabcvmja6bjg54uvy8g2ce&amp;dl=0","Click to download SizeChart")</f>
      </c>
      <c r="C6813" s="0" t="inlineStr">
        <is>
          <t>Dexter Youth Basketball Jersey</t>
        </is>
      </c>
      <c r="D6813" s="0" t="inlineStr">
        <is>
          <t>'97287</t>
        </is>
      </c>
      <c r="E6813" s="0" t="inlineStr">
        <is>
          <t>DEXTER JERSEY:97287A-S</t>
        </is>
      </c>
      <c r="F6813" s="0" t="inlineStr">
        <is>
          <t>'000000000000</t>
        </is>
      </c>
      <c r="G6813" s="0" t="inlineStr">
        <is>
          <t>YOUTH</t>
        </is>
      </c>
      <c r="H6813" s="0" t="inlineStr">
        <is>
          <t>YS</t>
        </is>
      </c>
      <c r="I6813" s="0">
        <v>34.99</v>
      </c>
      <c r="J6813" s="0">
        <v>18</v>
      </c>
    </row>
    <row r="6814" spans="1:10" customHeight="0">
      <c r="A6814" s="0">
        <f>HYPERLINK("https://dl.dropboxusercontent.com/scl/fi/sxmimzyyl6dlxe3u4joa2/97287af.jpg?rlkey=en517n739gmewh67zrc6dy7r6&amp;dl=0","Click to download Image")</f>
      </c>
      <c r="B6814" s="0">
        <f>HYPERLINK("https://dl.dropboxusercontent.com/scl/fi/6t35nzj79f7qv45f9brkz/size-chartyouth-c.jpg?rlkey=6mfiabcvmja6bjg54uvy8g2ce&amp;dl=0","Click to download SizeChart")</f>
      </c>
      <c r="C6814" s="0" t="inlineStr">
        <is>
          <t>Dexter Youth Basketball Jersey</t>
        </is>
      </c>
      <c r="D6814" s="0" t="inlineStr">
        <is>
          <t>'97287</t>
        </is>
      </c>
      <c r="E6814" s="0" t="inlineStr">
        <is>
          <t>DEXTER JERSEY:97287B-M</t>
        </is>
      </c>
      <c r="F6814" s="0" t="inlineStr">
        <is>
          <t>'000000000000</t>
        </is>
      </c>
      <c r="G6814" s="0" t="inlineStr">
        <is>
          <t>YOUTH</t>
        </is>
      </c>
      <c r="H6814" s="0" t="inlineStr">
        <is>
          <t>YM</t>
        </is>
      </c>
      <c r="I6814" s="0">
        <v>34.99</v>
      </c>
      <c r="J6814" s="0">
        <v>20</v>
      </c>
    </row>
    <row r="6815" spans="1:10" customHeight="0">
      <c r="A6815" s="0">
        <f>HYPERLINK("https://dl.dropboxusercontent.com/scl/fi/sxmimzyyl6dlxe3u4joa2/97287af.jpg?rlkey=en517n739gmewh67zrc6dy7r6&amp;dl=0","Click to download Image")</f>
      </c>
      <c r="B6815" s="0">
        <f>HYPERLINK("https://dl.dropboxusercontent.com/scl/fi/6t35nzj79f7qv45f9brkz/size-chartyouth-c.jpg?rlkey=6mfiabcvmja6bjg54uvy8g2ce&amp;dl=0","Click to download SizeChart")</f>
      </c>
      <c r="C6815" s="0" t="inlineStr">
        <is>
          <t>Dexter Youth Basketball Jersey</t>
        </is>
      </c>
      <c r="D6815" s="0" t="inlineStr">
        <is>
          <t>'97287</t>
        </is>
      </c>
      <c r="E6815" s="0" t="inlineStr">
        <is>
          <t>DEXTER JERSEY:97287C-L</t>
        </is>
      </c>
      <c r="F6815" s="0" t="inlineStr">
        <is>
          <t>'000000000000</t>
        </is>
      </c>
      <c r="G6815" s="0" t="inlineStr">
        <is>
          <t>YOUTH</t>
        </is>
      </c>
      <c r="H6815" s="0" t="inlineStr">
        <is>
          <t>YL</t>
        </is>
      </c>
      <c r="I6815" s="0">
        <v>34.99</v>
      </c>
      <c r="J6815" s="0">
        <v>20</v>
      </c>
    </row>
    <row r="6816" spans="1:10" customHeight="0">
      <c r="A6816" s="0">
        <f>HYPERLINK("https://dl.dropboxusercontent.com/scl/fi/sxmimzyyl6dlxe3u4joa2/97287af.jpg?rlkey=en517n739gmewh67zrc6dy7r6&amp;dl=0","Click to download Image")</f>
      </c>
      <c r="B6816" s="0">
        <f>HYPERLINK("https://dl.dropboxusercontent.com/scl/fi/6t35nzj79f7qv45f9brkz/size-chartyouth-c.jpg?rlkey=6mfiabcvmja6bjg54uvy8g2ce&amp;dl=0","Click to download SizeChart")</f>
      </c>
      <c r="C6816" s="0" t="inlineStr">
        <is>
          <t>Dexter Youth Basketball Jersey</t>
        </is>
      </c>
      <c r="D6816" s="0" t="inlineStr">
        <is>
          <t>'97287</t>
        </is>
      </c>
      <c r="E6816" s="0" t="inlineStr">
        <is>
          <t>DEXTER JERSEY:97287D-XL</t>
        </is>
      </c>
      <c r="F6816" s="0" t="inlineStr">
        <is>
          <t>'000000000000</t>
        </is>
      </c>
      <c r="G6816" s="0" t="inlineStr">
        <is>
          <t>YOUTH</t>
        </is>
      </c>
      <c r="H6816" s="0" t="inlineStr">
        <is>
          <t>YXL</t>
        </is>
      </c>
      <c r="I6816" s="0">
        <v>34.99</v>
      </c>
      <c r="J6816" s="0">
        <v>22</v>
      </c>
    </row>
    <row r="6817" spans="1:10" customHeight="0">
      <c r="A6817" s="0">
        <f>HYPERLINK("https://dl.dropboxusercontent.com/scl/fi/k9m7oa9tswry11tmrqev0/96714af.jpg?rlkey=5zuyu806dw6ycjtxbgexinbtx&amp;dl=0","Click to download Image")</f>
      </c>
      <c r="B6817" s="0">
        <f>HYPERLINK("https://dl.dropboxusercontent.com/scl/fi/423c4pxl196i0omojzcb4/mens-a.jpg?rlkey=2jtrl7lm2ff3tx83jmnnltndw&amp;dl=0","Click to download SizeChart")</f>
      </c>
      <c r="C6817" s="0" t="inlineStr">
        <is>
          <t>Dexter Men's Basketball Jersey</t>
        </is>
      </c>
      <c r="D6817" s="0" t="inlineStr">
        <is>
          <t>'96714</t>
        </is>
      </c>
      <c r="E6817" s="0" t="inlineStr">
        <is>
          <t>DEXTER JERSEY:96714A-S</t>
        </is>
      </c>
      <c r="F6817" s="0" t="inlineStr">
        <is>
          <t>'000000000000</t>
        </is>
      </c>
      <c r="G6817" s="0" t="inlineStr">
        <is>
          <t>MENS</t>
        </is>
      </c>
      <c r="H6817" s="0" t="inlineStr">
        <is>
          <t>S</t>
        </is>
      </c>
      <c r="I6817" s="0">
        <v>34.99</v>
      </c>
      <c r="J6817" s="0">
        <v>25</v>
      </c>
    </row>
    <row r="6818" spans="1:10" customHeight="0">
      <c r="A6818" s="0">
        <f>HYPERLINK("https://dl.dropboxusercontent.com/scl/fi/k9m7oa9tswry11tmrqev0/96714af.jpg?rlkey=5zuyu806dw6ycjtxbgexinbtx&amp;dl=0","Click to download Image")</f>
      </c>
      <c r="B6818" s="0">
        <f>HYPERLINK("https://dl.dropboxusercontent.com/scl/fi/423c4pxl196i0omojzcb4/mens-a.jpg?rlkey=2jtrl7lm2ff3tx83jmnnltndw&amp;dl=0","Click to download SizeChart")</f>
      </c>
      <c r="C6818" s="0" t="inlineStr">
        <is>
          <t>Dexter Men's Basketball Jersey</t>
        </is>
      </c>
      <c r="D6818" s="0" t="inlineStr">
        <is>
          <t>'96714</t>
        </is>
      </c>
      <c r="E6818" s="0" t="inlineStr">
        <is>
          <t>DEXTER JERSEY:96714B-M</t>
        </is>
      </c>
      <c r="F6818" s="0" t="inlineStr">
        <is>
          <t>'000000000000</t>
        </is>
      </c>
      <c r="G6818" s="0" t="inlineStr">
        <is>
          <t>MENS</t>
        </is>
      </c>
      <c r="H6818" s="0" t="inlineStr">
        <is>
          <t>M</t>
        </is>
      </c>
      <c r="I6818" s="0">
        <v>34.99</v>
      </c>
      <c r="J6818" s="0">
        <v>29</v>
      </c>
    </row>
    <row r="6819" spans="1:10" customHeight="0">
      <c r="A6819" s="0">
        <f>HYPERLINK("https://dl.dropboxusercontent.com/scl/fi/daqznme74q99socbkl8u3/97287af.jpg?rlkey=artbwt1hsea7me2d75vhp0e1h&amp;dl=0","Click to download Image")</f>
      </c>
      <c r="B6819" s="0">
        <f>HYPERLINK("https://dl.dropboxusercontent.com/scl/fi/423c4pxl196i0omojzcb4/mens-a.jpg?rlkey=2jtrl7lm2ff3tx83jmnnltndw&amp;dl=0","Click to download SizeChart")</f>
      </c>
      <c r="C6819" s="0" t="inlineStr">
        <is>
          <t>Dexter Men's Basketball Jersey</t>
        </is>
      </c>
      <c r="D6819" s="0" t="inlineStr">
        <is>
          <t>'97306</t>
        </is>
      </c>
      <c r="E6819" s="0" t="inlineStr">
        <is>
          <t>DEXTER JERSEY:97306A-S</t>
        </is>
      </c>
      <c r="F6819" s="0" t="inlineStr">
        <is>
          <t>'000000000000</t>
        </is>
      </c>
      <c r="G6819" s="0" t="inlineStr">
        <is>
          <t>MENS</t>
        </is>
      </c>
      <c r="H6819" s="0" t="inlineStr">
        <is>
          <t>S</t>
        </is>
      </c>
      <c r="I6819" s="0">
        <v>34.99</v>
      </c>
      <c r="J6819" s="0">
        <v>23</v>
      </c>
    </row>
    <row r="6820" spans="1:10" customHeight="0">
      <c r="A6820" s="0">
        <f>HYPERLINK("https://dl.dropboxusercontent.com/scl/fi/daqznme74q99socbkl8u3/97287af.jpg?rlkey=artbwt1hsea7me2d75vhp0e1h&amp;dl=0","Click to download Image")</f>
      </c>
      <c r="B6820" s="0">
        <f>HYPERLINK("https://dl.dropboxusercontent.com/scl/fi/423c4pxl196i0omojzcb4/mens-a.jpg?rlkey=2jtrl7lm2ff3tx83jmnnltndw&amp;dl=0","Click to download SizeChart")</f>
      </c>
      <c r="C6820" s="0" t="inlineStr">
        <is>
          <t>Dexter Men's Basketball Jersey</t>
        </is>
      </c>
      <c r="D6820" s="0" t="inlineStr">
        <is>
          <t>'97306</t>
        </is>
      </c>
      <c r="E6820" s="0" t="inlineStr">
        <is>
          <t>DEXTER JERSEY:97306B-M</t>
        </is>
      </c>
      <c r="F6820" s="0" t="inlineStr">
        <is>
          <t>'000000000000</t>
        </is>
      </c>
      <c r="G6820" s="0" t="inlineStr">
        <is>
          <t>MENS</t>
        </is>
      </c>
      <c r="H6820" s="0" t="inlineStr">
        <is>
          <t>M</t>
        </is>
      </c>
      <c r="I6820" s="0">
        <v>34.99</v>
      </c>
      <c r="J6820" s="0">
        <v>21</v>
      </c>
    </row>
    <row r="6821" spans="1:10" customHeight="0">
      <c r="A6821" s="0">
        <f>HYPERLINK("https://dl.dropboxusercontent.com/scl/fi/bvbl4toh5kug6jgbq77sv/96716af.jpg?rlkey=ygn0rxajvc36rf5mas5lgtc6w&amp;dl=0","Click to download Image")</f>
      </c>
      <c r="C6821" s="0" t="inlineStr">
        <is>
          <t>Dexter Youth Basketball Shorts</t>
        </is>
      </c>
      <c r="D6821" s="0" t="inlineStr">
        <is>
          <t>'97288</t>
        </is>
      </c>
      <c r="E6821" s="0" t="inlineStr">
        <is>
          <t>DEXTER SHORTS:96717A-S</t>
        </is>
      </c>
      <c r="F6821" s="0" t="inlineStr">
        <is>
          <t>'000000000000</t>
        </is>
      </c>
      <c r="G6821" s="0" t="inlineStr">
        <is>
          <t>YOUTH</t>
        </is>
      </c>
      <c r="H6821" s="0" t="inlineStr">
        <is>
          <t>YS</t>
        </is>
      </c>
      <c r="I6821" s="0">
        <v>34.99</v>
      </c>
      <c r="J6821" s="0">
        <v>38</v>
      </c>
    </row>
    <row r="6822" spans="1:10" customHeight="0">
      <c r="A6822" s="0">
        <f>HYPERLINK("https://dl.dropboxusercontent.com/scl/fi/bvbl4toh5kug6jgbq77sv/96716af.jpg?rlkey=ygn0rxajvc36rf5mas5lgtc6w&amp;dl=0","Click to download Image")</f>
      </c>
      <c r="C6822" s="0" t="inlineStr">
        <is>
          <t>Dexter Youth Basketball Shorts</t>
        </is>
      </c>
      <c r="D6822" s="0" t="inlineStr">
        <is>
          <t>'97288</t>
        </is>
      </c>
      <c r="E6822" s="0" t="inlineStr">
        <is>
          <t>DEXTER SHORTS:96717B-M</t>
        </is>
      </c>
      <c r="F6822" s="0" t="inlineStr">
        <is>
          <t>'000000000000</t>
        </is>
      </c>
      <c r="G6822" s="0" t="inlineStr">
        <is>
          <t>YOUTH</t>
        </is>
      </c>
      <c r="H6822" s="0" t="inlineStr">
        <is>
          <t>YM</t>
        </is>
      </c>
      <c r="I6822" s="0">
        <v>34.99</v>
      </c>
      <c r="J6822" s="0">
        <v>41</v>
      </c>
    </row>
    <row r="6823" spans="1:10" customHeight="0">
      <c r="A6823" s="0">
        <f>HYPERLINK("https://dl.dropboxusercontent.com/scl/fi/bvbl4toh5kug6jgbq77sv/96716af.jpg?rlkey=ygn0rxajvc36rf5mas5lgtc6w&amp;dl=0","Click to download Image")</f>
      </c>
      <c r="C6823" s="0" t="inlineStr">
        <is>
          <t>Dexter Youth Basketball Shorts</t>
        </is>
      </c>
      <c r="D6823" s="0" t="inlineStr">
        <is>
          <t>'97288</t>
        </is>
      </c>
      <c r="E6823" s="0" t="inlineStr">
        <is>
          <t>DEXTER SHORTS:96717C-L</t>
        </is>
      </c>
      <c r="F6823" s="0" t="inlineStr">
        <is>
          <t>'000000000000</t>
        </is>
      </c>
      <c r="G6823" s="0" t="inlineStr">
        <is>
          <t>YOUTH</t>
        </is>
      </c>
      <c r="H6823" s="0" t="inlineStr">
        <is>
          <t>YL</t>
        </is>
      </c>
      <c r="I6823" s="0">
        <v>34.99</v>
      </c>
      <c r="J6823" s="0">
        <v>36</v>
      </c>
    </row>
    <row r="6824" spans="1:10" customHeight="0">
      <c r="A6824" s="0">
        <f>HYPERLINK("https://dl.dropboxusercontent.com/scl/fi/bvbl4toh5kug6jgbq77sv/96716af.jpg?rlkey=ygn0rxajvc36rf5mas5lgtc6w&amp;dl=0","Click to download Image")</f>
      </c>
      <c r="C6824" s="0" t="inlineStr">
        <is>
          <t>Dexter Youth Basketball Shorts</t>
        </is>
      </c>
      <c r="D6824" s="0" t="inlineStr">
        <is>
          <t>'97288</t>
        </is>
      </c>
      <c r="E6824" s="0" t="inlineStr">
        <is>
          <t>DEXTER SHORTS:96717D-XL</t>
        </is>
      </c>
      <c r="F6824" s="0" t="inlineStr">
        <is>
          <t>'000000000000</t>
        </is>
      </c>
      <c r="G6824" s="0" t="inlineStr">
        <is>
          <t>YOUTH</t>
        </is>
      </c>
      <c r="H6824" s="0" t="inlineStr">
        <is>
          <t>YXL</t>
        </is>
      </c>
      <c r="I6824" s="0">
        <v>34.99</v>
      </c>
      <c r="J6824" s="0">
        <v>42</v>
      </c>
    </row>
    <row r="6825" spans="1:10" customHeight="0">
      <c r="A6825" s="0">
        <f>HYPERLINK("https://dl.dropboxusercontent.com/scl/fi/o4qbwg8jhf69ycl36n38g/97288af.jpg?rlkey=rwskgr6zmrukirvqx5oe9btya&amp;dl=0","Click to download Image")</f>
      </c>
      <c r="C6825" s="0" t="inlineStr">
        <is>
          <t>Dexter Youth Basketball Shorts</t>
        </is>
      </c>
      <c r="D6825" s="0" t="inlineStr">
        <is>
          <t>'97288</t>
        </is>
      </c>
      <c r="E6825" s="0" t="inlineStr">
        <is>
          <t>DEXTER SHORTS:97288A-S</t>
        </is>
      </c>
      <c r="F6825" s="0" t="inlineStr">
        <is>
          <t>'000000000000</t>
        </is>
      </c>
      <c r="G6825" s="0" t="inlineStr">
        <is>
          <t>YOUTH</t>
        </is>
      </c>
      <c r="H6825" s="0" t="inlineStr">
        <is>
          <t>YS</t>
        </is>
      </c>
      <c r="I6825" s="0">
        <v>34.99</v>
      </c>
      <c r="J6825" s="0">
        <v>27</v>
      </c>
    </row>
    <row r="6826" spans="1:10" customHeight="0">
      <c r="A6826" s="0">
        <f>HYPERLINK("https://dl.dropboxusercontent.com/scl/fi/o4qbwg8jhf69ycl36n38g/97288af.jpg?rlkey=rwskgr6zmrukirvqx5oe9btya&amp;dl=0","Click to download Image")</f>
      </c>
      <c r="C6826" s="0" t="inlineStr">
        <is>
          <t>Dexter Youth Basketball Shorts</t>
        </is>
      </c>
      <c r="D6826" s="0" t="inlineStr">
        <is>
          <t>'97288</t>
        </is>
      </c>
      <c r="E6826" s="0" t="inlineStr">
        <is>
          <t>DEXTER SHORTS:97288B-M</t>
        </is>
      </c>
      <c r="F6826" s="0" t="inlineStr">
        <is>
          <t>'000000000000</t>
        </is>
      </c>
      <c r="G6826" s="0" t="inlineStr">
        <is>
          <t>YOUTH</t>
        </is>
      </c>
      <c r="H6826" s="0" t="inlineStr">
        <is>
          <t>YM</t>
        </is>
      </c>
      <c r="I6826" s="0">
        <v>34.99</v>
      </c>
      <c r="J6826" s="0">
        <v>31</v>
      </c>
    </row>
    <row r="6827" spans="1:10" customHeight="0">
      <c r="A6827" s="0">
        <f>HYPERLINK("https://dl.dropboxusercontent.com/scl/fi/o4qbwg8jhf69ycl36n38g/97288af.jpg?rlkey=rwskgr6zmrukirvqx5oe9btya&amp;dl=0","Click to download Image")</f>
      </c>
      <c r="C6827" s="0" t="inlineStr">
        <is>
          <t>Dexter Youth Basketball Shorts</t>
        </is>
      </c>
      <c r="D6827" s="0" t="inlineStr">
        <is>
          <t>'97288</t>
        </is>
      </c>
      <c r="E6827" s="0" t="inlineStr">
        <is>
          <t>DEXTER SHORTS:97288C-L</t>
        </is>
      </c>
      <c r="F6827" s="0" t="inlineStr">
        <is>
          <t>'000000000000</t>
        </is>
      </c>
      <c r="G6827" s="0" t="inlineStr">
        <is>
          <t>YOUTH</t>
        </is>
      </c>
      <c r="H6827" s="0" t="inlineStr">
        <is>
          <t>YL</t>
        </is>
      </c>
      <c r="I6827" s="0">
        <v>34.99</v>
      </c>
      <c r="J6827" s="0">
        <v>30</v>
      </c>
    </row>
    <row r="6828" spans="1:10" customHeight="0">
      <c r="A6828" s="0">
        <f>HYPERLINK("https://dl.dropboxusercontent.com/scl/fi/o4qbwg8jhf69ycl36n38g/97288af.jpg?rlkey=rwskgr6zmrukirvqx5oe9btya&amp;dl=0","Click to download Image")</f>
      </c>
      <c r="C6828" s="0" t="inlineStr">
        <is>
          <t>Dexter Youth Basketball Shorts</t>
        </is>
      </c>
      <c r="D6828" s="0" t="inlineStr">
        <is>
          <t>'97288</t>
        </is>
      </c>
      <c r="E6828" s="0" t="inlineStr">
        <is>
          <t>DEXTER SHORTS:97288D-XL</t>
        </is>
      </c>
      <c r="F6828" s="0" t="inlineStr">
        <is>
          <t>'000000000000</t>
        </is>
      </c>
      <c r="G6828" s="0" t="inlineStr">
        <is>
          <t>YOUTH</t>
        </is>
      </c>
      <c r="H6828" s="0" t="inlineStr">
        <is>
          <t>YXL</t>
        </is>
      </c>
      <c r="I6828" s="0">
        <v>34.99</v>
      </c>
      <c r="J6828" s="0">
        <v>31</v>
      </c>
    </row>
    <row r="6829" spans="1:10" customHeight="0">
      <c r="A6829" s="0">
        <f>HYPERLINK("https://dl.dropboxusercontent.com/scl/fi/674zbjtsn2t8gaiq0lsuy/96716af.jpg?rlkey=yf0xidr19y6wrb7543zg8k2r4&amp;dl=0","Click to download Image")</f>
      </c>
      <c r="C6829" s="0" t="inlineStr">
        <is>
          <t>Dexter Men's Basketball Shorts</t>
        </is>
      </c>
      <c r="D6829" s="0" t="inlineStr">
        <is>
          <t>'96716</t>
        </is>
      </c>
      <c r="E6829" s="0" t="inlineStr">
        <is>
          <t>DEXTER SHORTS:96716A-S</t>
        </is>
      </c>
      <c r="F6829" s="0" t="inlineStr">
        <is>
          <t>'000000000000</t>
        </is>
      </c>
      <c r="G6829" s="0" t="inlineStr">
        <is>
          <t>MENS</t>
        </is>
      </c>
      <c r="H6829" s="0" t="inlineStr">
        <is>
          <t>S</t>
        </is>
      </c>
      <c r="I6829" s="0">
        <v>34.99</v>
      </c>
      <c r="J6829" s="0">
        <v>28</v>
      </c>
    </row>
    <row r="6830" spans="1:10" customHeight="0">
      <c r="A6830" s="0">
        <f>HYPERLINK("https://dl.dropboxusercontent.com/scl/fi/674zbjtsn2t8gaiq0lsuy/96716af.jpg?rlkey=yf0xidr19y6wrb7543zg8k2r4&amp;dl=0","Click to download Image")</f>
      </c>
      <c r="C6830" s="0" t="inlineStr">
        <is>
          <t>Dexter Men's Basketball Shorts</t>
        </is>
      </c>
      <c r="D6830" s="0" t="inlineStr">
        <is>
          <t>'96716</t>
        </is>
      </c>
      <c r="E6830" s="0" t="inlineStr">
        <is>
          <t>DEXTER SHORTS:96716B-M</t>
        </is>
      </c>
      <c r="F6830" s="0" t="inlineStr">
        <is>
          <t>'000000000000</t>
        </is>
      </c>
      <c r="G6830" s="0" t="inlineStr">
        <is>
          <t>MENS</t>
        </is>
      </c>
      <c r="H6830" s="0" t="inlineStr">
        <is>
          <t>M</t>
        </is>
      </c>
      <c r="I6830" s="0">
        <v>34.99</v>
      </c>
      <c r="J6830" s="0">
        <v>21</v>
      </c>
    </row>
    <row r="6831" spans="1:10" customHeight="0">
      <c r="A6831" s="0">
        <f>HYPERLINK("https://dl.dropboxusercontent.com/scl/fi/2w6wc5b4cvmkwupmb5htt/97288af.jpg?rlkey=gpvq3kezam4whiqv4vchogqa2&amp;dl=0","Click to download Image")</f>
      </c>
      <c r="C6831" s="0" t="inlineStr">
        <is>
          <t>Dexter Men's Basketball Shorts</t>
        </is>
      </c>
      <c r="D6831" s="0" t="inlineStr">
        <is>
          <t>'97313</t>
        </is>
      </c>
      <c r="E6831" s="0" t="inlineStr">
        <is>
          <t>DEXTER SHORTS:97313A-S</t>
        </is>
      </c>
      <c r="F6831" s="0" t="inlineStr">
        <is>
          <t>'000000000000</t>
        </is>
      </c>
      <c r="G6831" s="0" t="inlineStr">
        <is>
          <t>MENS</t>
        </is>
      </c>
      <c r="H6831" s="0" t="inlineStr">
        <is>
          <t>S</t>
        </is>
      </c>
      <c r="I6831" s="0">
        <v>34.99</v>
      </c>
      <c r="J6831" s="0">
        <v>21</v>
      </c>
    </row>
    <row r="6832" spans="1:10" customHeight="0">
      <c r="A6832" s="0">
        <f>HYPERLINK("https://dl.dropboxusercontent.com/scl/fi/2w6wc5b4cvmkwupmb5htt/97288af.jpg?rlkey=gpvq3kezam4whiqv4vchogqa2&amp;dl=0","Click to download Image")</f>
      </c>
      <c r="C6832" s="0" t="inlineStr">
        <is>
          <t>Dexter Men's Basketball Shorts</t>
        </is>
      </c>
      <c r="D6832" s="0" t="inlineStr">
        <is>
          <t>'97313</t>
        </is>
      </c>
      <c r="E6832" s="0" t="inlineStr">
        <is>
          <t>DEXTER SHORTS:97313B-M</t>
        </is>
      </c>
      <c r="F6832" s="0" t="inlineStr">
        <is>
          <t>'000000000000</t>
        </is>
      </c>
      <c r="G6832" s="0" t="inlineStr">
        <is>
          <t>MENS</t>
        </is>
      </c>
      <c r="H6832" s="0" t="inlineStr">
        <is>
          <t>M</t>
        </is>
      </c>
      <c r="I6832" s="0">
        <v>34.99</v>
      </c>
      <c r="J6832" s="0">
        <v>13</v>
      </c>
    </row>
    <row r="6833" spans="1:10" customHeight="0">
      <c r="A6833" s="0">
        <f>HYPERLINK("https://dl.dropboxusercontent.com/scl/fi/pi9i09g8m587kswkhm53t/af.jpg?rlkey=5p578goxuozdyxzi8v8dbed4b&amp;dl=0","Click to download Image")</f>
      </c>
      <c r="C6833" s="0" t="inlineStr">
        <is>
          <t>Pink Enzyme Wash Breast Cancer Cap</t>
        </is>
      </c>
      <c r="D6833" s="0" t="inlineStr">
        <is>
          <t>'99615</t>
        </is>
      </c>
      <c r="E6833" s="0" t="inlineStr">
        <is>
          <t>THINK PINK:99615</t>
        </is>
      </c>
      <c r="F6833" s="0" t="inlineStr">
        <is>
          <t>'700099615016</t>
        </is>
      </c>
      <c r="G6833" s="0" t="inlineStr">
        <is>
          <t>WOMENS</t>
        </is>
      </c>
      <c r="H6833" s="0" t="inlineStr">
        <is>
          <t>WOMENS</t>
        </is>
      </c>
      <c r="I6833" s="0">
        <v>15.99</v>
      </c>
      <c r="J6833" s="0">
        <v>277</v>
      </c>
    </row>
    <row r="6834" spans="1:10" customHeight="0">
      <c r="A6834" s="0">
        <f>HYPERLINK("https://dl.dropboxusercontent.com/scl/fi/g6s9g640zxd6e4vr8hlq4/ns.jpg?rlkey=za3paf44mb5ecje1zidre24rq&amp;dl=0","Click to download Image")</f>
      </c>
      <c r="C6834" s="0" t="inlineStr">
        <is>
          <t>Licensed Youth Neck Sleeves</t>
        </is>
      </c>
      <c r="D6834" s="0" t="inlineStr">
        <is>
          <t>'119354</t>
        </is>
      </c>
      <c r="E6834" s="0" t="inlineStr">
        <is>
          <t>IOWA YOUTH NECK SLEEVE:119354OSFM</t>
        </is>
      </c>
      <c r="F6834" s="0" t="inlineStr">
        <is>
          <t>'800119354342</t>
        </is>
      </c>
      <c r="H6834" s="0" t="inlineStr">
        <is>
          <t>OSFM</t>
        </is>
      </c>
      <c r="I6834" s="0">
        <v>19.99</v>
      </c>
      <c r="J6834" s="0">
        <v>300</v>
      </c>
    </row>
    <row r="6835" spans="1:10" customHeight="0">
      <c r="A6835" s="0">
        <f>HYPERLINK("https://dl.dropboxusercontent.com/scl/fi/by0l9ovgqu1pka1j8zsrz/licensed-ns-a-03.jpg?rlkey=9j072ilurtna6ww7cfddozbau&amp;dl=0","Click to download Image")</f>
      </c>
      <c r="C6835" s="0" t="inlineStr">
        <is>
          <t>Licensed Youth Neck Sleeves</t>
        </is>
      </c>
      <c r="D6835" s="0" t="inlineStr">
        <is>
          <t>'119357</t>
        </is>
      </c>
      <c r="E6835" s="0" t="inlineStr">
        <is>
          <t>IOWA YOUTH NECK SLEEVE:119357OSFM</t>
        </is>
      </c>
      <c r="F6835" s="0" t="inlineStr">
        <is>
          <t>'800119354342</t>
        </is>
      </c>
      <c r="H6835" s="0" t="inlineStr">
        <is>
          <t>OSFM</t>
        </is>
      </c>
      <c r="I6835" s="0">
        <v>19.99</v>
      </c>
      <c r="J6835" s="0">
        <v>108</v>
      </c>
    </row>
    <row r="6836" spans="1:10" customHeight="0">
      <c r="A6836" s="0">
        <f>HYPERLINK("https://dl.dropboxusercontent.com/scl/fi/ckonz0c87jfwfvedmp3ns/licensed-ns-a-04.jpg?rlkey=34ufxxcvfgexh738hlz9xfbbm&amp;dl=0","Click to download Image")</f>
      </c>
      <c r="C6836" s="0" t="inlineStr">
        <is>
          <t>Licensed Youth Neck Sleeves</t>
        </is>
      </c>
      <c r="D6836" s="0" t="inlineStr">
        <is>
          <t>'119360</t>
        </is>
      </c>
      <c r="E6836" s="0" t="inlineStr">
        <is>
          <t>IOWA YOUTH NECK SLEEVE:119360OSFM</t>
        </is>
      </c>
      <c r="F6836" s="0" t="inlineStr">
        <is>
          <t>'800119354342</t>
        </is>
      </c>
      <c r="H6836" s="0" t="inlineStr">
        <is>
          <t>OSFM</t>
        </is>
      </c>
      <c r="I6836" s="0">
        <v>19.99</v>
      </c>
      <c r="J6836" s="0">
        <v>245</v>
      </c>
    </row>
    <row r="6837" spans="1:10" customHeight="0">
      <c r="A6837" s="0">
        <f>HYPERLINK("https://dl.dropboxusercontent.com/scl/fi/wghwfjwyxw5e3jent96fm/licensed-ns-a-05.jpg?rlkey=dgsrh50zzjpaintbvbmf4no7u&amp;dl=0","Click to download Image")</f>
      </c>
      <c r="C6837" s="0" t="inlineStr">
        <is>
          <t>Licensed Youth Neck Sleeves</t>
        </is>
      </c>
      <c r="D6837" s="0" t="inlineStr">
        <is>
          <t>'119364</t>
        </is>
      </c>
      <c r="E6837" s="0" t="inlineStr">
        <is>
          <t>IOWA YOUTH NECK SLEEVE:119364OSFM</t>
        </is>
      </c>
      <c r="F6837" s="0" t="inlineStr">
        <is>
          <t>'800119354342</t>
        </is>
      </c>
      <c r="H6837" s="0" t="inlineStr">
        <is>
          <t>OSFM</t>
        </is>
      </c>
      <c r="I6837" s="0">
        <v>19.99</v>
      </c>
      <c r="J6837" s="0">
        <v>277</v>
      </c>
    </row>
    <row r="6838" spans="1:10" customHeight="0">
      <c r="A6838" s="0">
        <f>HYPERLINK("https://dl.dropboxusercontent.com/scl/fi/4yzvi5y8z5rwrjie2lxli/licensed-ns-a-06.jpg?rlkey=wizv1xkpysg1gzhb4jbr26nsh&amp;dl=0","Click to download Image")</f>
      </c>
      <c r="C6838" s="0" t="inlineStr">
        <is>
          <t>Licensed Youth Neck Sleeves</t>
        </is>
      </c>
      <c r="D6838" s="0" t="inlineStr">
        <is>
          <t>'119351</t>
        </is>
      </c>
      <c r="E6838" s="0" t="inlineStr">
        <is>
          <t>IOWA YOUTH NECK SLEEVE:119351OSFM</t>
        </is>
      </c>
      <c r="F6838" s="0" t="inlineStr">
        <is>
          <t>'800119354342</t>
        </is>
      </c>
      <c r="H6838" s="0" t="inlineStr">
        <is>
          <t>OSFM</t>
        </is>
      </c>
      <c r="I6838" s="0">
        <v>19.99</v>
      </c>
      <c r="J6838" s="0">
        <v>245</v>
      </c>
    </row>
    <row r="6839" spans="1:10" customHeight="0">
      <c r="A6839" s="0">
        <f>HYPERLINK("https://dl.dropboxusercontent.com/scl/fi/zzv7jdlzio7mw63t1dini/ns.jpg?rlkey=484ja78t29kj851crky54k4ki&amp;dl=0","Click to download Image")</f>
      </c>
      <c r="C6839" s="0" t="inlineStr">
        <is>
          <t>Licensed Youth Neck Sleeves</t>
        </is>
      </c>
      <c r="D6839" s="0" t="inlineStr">
        <is>
          <t>'119355</t>
        </is>
      </c>
      <c r="E6839" s="0" t="inlineStr">
        <is>
          <t>ISU YOUTH NECK SLEEVE:119355OSFM</t>
        </is>
      </c>
      <c r="F6839" s="0" t="inlineStr">
        <is>
          <t>'801119358347</t>
        </is>
      </c>
      <c r="H6839" s="0" t="inlineStr">
        <is>
          <t>OSFM</t>
        </is>
      </c>
      <c r="I6839" s="0">
        <v>19.99</v>
      </c>
      <c r="J6839" s="0">
        <v>227</v>
      </c>
    </row>
    <row r="6840" spans="1:10" customHeight="0">
      <c r="A6840" s="0">
        <f>HYPERLINK("https://dl.dropboxusercontent.com/scl/fi/jwj4qzgasq26hbpl999h8/licensed-ns-a-07.jpg?rlkey=ovc8trujf7z87703doowsvxms&amp;dl=0","Click to download Image")</f>
      </c>
      <c r="C6840" s="0" t="inlineStr">
        <is>
          <t>Licensed Youth Neck Sleeves</t>
        </is>
      </c>
      <c r="D6840" s="0" t="inlineStr">
        <is>
          <t>'119358</t>
        </is>
      </c>
      <c r="E6840" s="0" t="inlineStr">
        <is>
          <t>ISU YOUTH NECK SLEEVE:119358OSFM</t>
        </is>
      </c>
      <c r="F6840" s="0" t="inlineStr">
        <is>
          <t>'801119358347</t>
        </is>
      </c>
      <c r="H6840" s="0" t="inlineStr">
        <is>
          <t>OSFM</t>
        </is>
      </c>
      <c r="I6840" s="0">
        <v>19.99</v>
      </c>
      <c r="J6840" s="0">
        <v>119</v>
      </c>
    </row>
    <row r="6841" spans="1:10" customHeight="0">
      <c r="A6841" s="0">
        <f>HYPERLINK("https://dl.dropboxusercontent.com/scl/fi/eaaaktmkl3bthjg51t6aw/licensed-ns-a-09.jpg?rlkey=98cfmckz1agcpmsr09r5dezbn&amp;dl=0","Click to download Image")</f>
      </c>
      <c r="C6841" s="0" t="inlineStr">
        <is>
          <t>Licensed Youth Neck Sleeves</t>
        </is>
      </c>
      <c r="D6841" s="0" t="inlineStr">
        <is>
          <t>'119361</t>
        </is>
      </c>
      <c r="E6841" s="0" t="inlineStr">
        <is>
          <t>ISU YOUTH NECK SLEEVE:119361OSFM</t>
        </is>
      </c>
      <c r="F6841" s="0" t="inlineStr">
        <is>
          <t>'801119358347</t>
        </is>
      </c>
      <c r="H6841" s="0" t="inlineStr">
        <is>
          <t>OSFM</t>
        </is>
      </c>
      <c r="I6841" s="0">
        <v>19.99</v>
      </c>
      <c r="J6841" s="0">
        <v>251</v>
      </c>
    </row>
    <row r="6842" spans="1:10" customHeight="0">
      <c r="A6842" s="0">
        <f>HYPERLINK("https://dl.dropboxusercontent.com/scl/fi/9pj4h3cvbrzes5nonbmuo/licensed-ns-a-52.jpg?rlkey=luxjgniebpsqneopeh0dac1ou&amp;dl=0","Click to download Image")</f>
      </c>
      <c r="C6842" s="0" t="inlineStr">
        <is>
          <t>Licensed Youth Neck Sleeves</t>
        </is>
      </c>
      <c r="D6842" s="0" t="inlineStr">
        <is>
          <t>'119365</t>
        </is>
      </c>
      <c r="E6842" s="0" t="inlineStr">
        <is>
          <t>ISU YOUTH NECK SLEEVE:119365OSFM</t>
        </is>
      </c>
      <c r="F6842" s="0" t="inlineStr">
        <is>
          <t>'801119358347</t>
        </is>
      </c>
      <c r="H6842" s="0" t="inlineStr">
        <is>
          <t>OSFM</t>
        </is>
      </c>
      <c r="I6842" s="0">
        <v>19.99</v>
      </c>
      <c r="J6842" s="0">
        <v>192</v>
      </c>
    </row>
    <row r="6843" spans="1:10" customHeight="0">
      <c r="A6843" s="0">
        <f>HYPERLINK("https://dl.dropboxusercontent.com/scl/fi/9dvt4rg18enad97rll56g/licensed-ns-a-10.jpg?rlkey=rne2ij8676qdxc3zomf3v2dpt&amp;dl=0","Click to download Image")</f>
      </c>
      <c r="C6843" s="0" t="inlineStr">
        <is>
          <t>Licensed Youth Neck Sleeves</t>
        </is>
      </c>
      <c r="D6843" s="0" t="inlineStr">
        <is>
          <t>'119352</t>
        </is>
      </c>
      <c r="E6843" s="0" t="inlineStr">
        <is>
          <t>ISU YOUTH NECK SLEEVE:119352OSFM</t>
        </is>
      </c>
      <c r="F6843" s="0" t="inlineStr">
        <is>
          <t>'801119358347</t>
        </is>
      </c>
      <c r="H6843" s="0" t="inlineStr">
        <is>
          <t>OSFM</t>
        </is>
      </c>
      <c r="I6843" s="0">
        <v>19.99</v>
      </c>
      <c r="J6843" s="0">
        <v>250</v>
      </c>
    </row>
    <row r="6844" spans="1:10" customHeight="0">
      <c r="A6844" s="0">
        <f>HYPERLINK("https://dl.dropboxusercontent.com/scl/fi/2g9urwgkxt8ze2sx1v3v1/licensed-ns-a-11.jpg?rlkey=uqsy3g82oaj1myr7tw9tcktz8&amp;dl=0","Click to download Image")</f>
      </c>
      <c r="C6844" s="0" t="inlineStr">
        <is>
          <t>Licensed Youth Neck Sleeves</t>
        </is>
      </c>
      <c r="D6844" s="0" t="inlineStr">
        <is>
          <t>'119356</t>
        </is>
      </c>
      <c r="E6844" s="0" t="inlineStr">
        <is>
          <t>UNI YOUTH NECK SLEEVE:119356OSFM</t>
        </is>
      </c>
      <c r="F6844" s="0" t="inlineStr">
        <is>
          <t>'802119359341</t>
        </is>
      </c>
      <c r="H6844" s="0" t="inlineStr">
        <is>
          <t>OSFM</t>
        </is>
      </c>
      <c r="I6844" s="0">
        <v>19.99</v>
      </c>
      <c r="J6844" s="0">
        <v>91</v>
      </c>
    </row>
    <row r="6845" spans="1:10" customHeight="0">
      <c r="A6845" s="0">
        <f>HYPERLINK("https://dl.dropboxusercontent.com/scl/fi/i42h1h6wylh521pul6m5v/licensed-ns-a-12.jpg?rlkey=qyrge8v88kq5zm9ei0dd2xwvv&amp;dl=0","Click to download Image")</f>
      </c>
      <c r="C6845" s="0" t="inlineStr">
        <is>
          <t>Licensed Youth Neck Sleeves</t>
        </is>
      </c>
      <c r="D6845" s="0" t="inlineStr">
        <is>
          <t>'119359</t>
        </is>
      </c>
      <c r="E6845" s="0" t="inlineStr">
        <is>
          <t>UNI YOUTH NECK SLEEVE:119359OSFM</t>
        </is>
      </c>
      <c r="F6845" s="0" t="inlineStr">
        <is>
          <t>'802119359341</t>
        </is>
      </c>
      <c r="H6845" s="0" t="inlineStr">
        <is>
          <t>OSFM</t>
        </is>
      </c>
      <c r="I6845" s="0">
        <v>19.99</v>
      </c>
      <c r="J6845" s="0">
        <v>91</v>
      </c>
    </row>
    <row r="6846" spans="1:10" customHeight="0">
      <c r="A6846" s="0">
        <f>HYPERLINK("https://dl.dropboxusercontent.com/scl/fi/33krmnmp07o2o1euzj7ab/licensed-ns-a-13.jpg?rlkey=5p3gau60q0kh52nn6d4a0t06j&amp;dl=0","Click to download Image")</f>
      </c>
      <c r="C6846" s="0" t="inlineStr">
        <is>
          <t>Licensed Youth Neck Sleeves</t>
        </is>
      </c>
      <c r="D6846" s="0" t="inlineStr">
        <is>
          <t>'119362</t>
        </is>
      </c>
      <c r="E6846" s="0" t="inlineStr">
        <is>
          <t>UNI YOUTH NECK SLEEVE:119362OSFM</t>
        </is>
      </c>
      <c r="F6846" s="0" t="inlineStr">
        <is>
          <t>'802119359341</t>
        </is>
      </c>
      <c r="H6846" s="0" t="inlineStr">
        <is>
          <t>OSFM</t>
        </is>
      </c>
      <c r="I6846" s="0">
        <v>19.99</v>
      </c>
      <c r="J6846" s="0">
        <v>86</v>
      </c>
    </row>
    <row r="6847" spans="1:10" customHeight="0">
      <c r="A6847" s="0">
        <f>HYPERLINK("https://dl.dropboxusercontent.com/scl/fi/85i6tazz6hqc36io40lo3/licensed-ns-a-14.jpg?rlkey=mmur0aczb8y2x2hijpqutvlu6&amp;dl=0","Click to download Image")</f>
      </c>
      <c r="C6847" s="0" t="inlineStr">
        <is>
          <t>Licensed Youth Neck Sleeves</t>
        </is>
      </c>
      <c r="D6847" s="0" t="inlineStr">
        <is>
          <t>'119366</t>
        </is>
      </c>
      <c r="E6847" s="0" t="inlineStr">
        <is>
          <t>UNI YOUTH NECK SLEEVE:119366OSFM</t>
        </is>
      </c>
      <c r="F6847" s="0" t="inlineStr">
        <is>
          <t>'802119359341</t>
        </is>
      </c>
      <c r="H6847" s="0" t="inlineStr">
        <is>
          <t>OSFM</t>
        </is>
      </c>
      <c r="I6847" s="0">
        <v>19.99</v>
      </c>
      <c r="J6847" s="0">
        <v>80</v>
      </c>
    </row>
    <row r="6848" spans="1:10" customHeight="0">
      <c r="A6848" s="0">
        <f>HYPERLINK("https://dl.dropboxusercontent.com/scl/fi/z32ldbmdsrdlrhkqj0qq7/licensed-ns-a-15.jpg?rlkey=f597bv4n51bf2u8spme0y8unx&amp;dl=0","Click to download Image")</f>
      </c>
      <c r="C6848" s="0" t="inlineStr">
        <is>
          <t>Licensed Youth Neck Sleeves</t>
        </is>
      </c>
      <c r="D6848" s="0" t="inlineStr">
        <is>
          <t>'119353</t>
        </is>
      </c>
      <c r="E6848" s="0" t="inlineStr">
        <is>
          <t>UNI YOUTH NECK SLEEVE:119353OSFM</t>
        </is>
      </c>
      <c r="F6848" s="0" t="inlineStr">
        <is>
          <t>'802119359341</t>
        </is>
      </c>
      <c r="H6848" s="0" t="inlineStr">
        <is>
          <t>OSFM</t>
        </is>
      </c>
      <c r="I6848" s="0">
        <v>19.99</v>
      </c>
      <c r="J6848" s="0">
        <v>83</v>
      </c>
    </row>
    <row r="6849" spans="1:10" customHeight="0">
      <c r="A6849" s="0">
        <f>HYPERLINK("https://dl.dropboxusercontent.com/scl/fi/k4obamvsmpubgpiy44v2q/ns71831.jpg?rlkey=kq0tpn4a4iqznzz3rrve7yog5&amp;dl=0","Click to download Image")</f>
      </c>
      <c r="C6849" s="0" t="inlineStr">
        <is>
          <t>Licensed Youth Neck Sleeves</t>
        </is>
      </c>
      <c r="D6849" s="0" t="inlineStr">
        <is>
          <t>'119945</t>
        </is>
      </c>
      <c r="E6849" s="0" t="inlineStr">
        <is>
          <t>KSU YOUTH NECK SLEEVE:119945OSFM</t>
        </is>
      </c>
      <c r="F6849" s="0" t="inlineStr">
        <is>
          <t>'805119933344</t>
        </is>
      </c>
      <c r="H6849" s="0" t="inlineStr">
        <is>
          <t>OSFM</t>
        </is>
      </c>
      <c r="I6849" s="0">
        <v>19.99</v>
      </c>
      <c r="J6849" s="0">
        <v>83</v>
      </c>
    </row>
    <row r="6850" spans="1:10" customHeight="0">
      <c r="A6850" s="0">
        <f>HYPERLINK("https://dl.dropboxusercontent.com/scl/fi/jtlhdf74pa5ytaethaq5s/licensed-ns-a-22.jpg?rlkey=a9n3ejzivt73bwj2g8hk5aome&amp;dl=0","Click to download Image")</f>
      </c>
      <c r="C6850" s="0" t="inlineStr">
        <is>
          <t>Licensed Youth Neck Sleeves</t>
        </is>
      </c>
      <c r="D6850" s="0" t="inlineStr">
        <is>
          <t>'119949</t>
        </is>
      </c>
      <c r="E6850" s="0" t="inlineStr">
        <is>
          <t>KSU YOUTH NECK SLEEVE:119949OSFM</t>
        </is>
      </c>
      <c r="F6850" s="0" t="inlineStr">
        <is>
          <t>'805119933344</t>
        </is>
      </c>
      <c r="H6850" s="0" t="inlineStr">
        <is>
          <t>OSFM</t>
        </is>
      </c>
      <c r="I6850" s="0">
        <v>19.99</v>
      </c>
      <c r="J6850" s="0">
        <v>84</v>
      </c>
    </row>
    <row r="6851" spans="1:10" customHeight="0">
      <c r="A6851" s="0">
        <f>HYPERLINK("https://dl.dropboxusercontent.com/scl/fi/gvycowfb171ieykz5y108/licensed-ns-a-23.jpg?rlkey=ipafqctjcgmcvaih9es6rdn1v&amp;dl=0","Click to download Image")</f>
      </c>
      <c r="C6851" s="0" t="inlineStr">
        <is>
          <t>Licensed Youth Neck Sleeves</t>
        </is>
      </c>
      <c r="D6851" s="0" t="inlineStr">
        <is>
          <t>'119937</t>
        </is>
      </c>
      <c r="E6851" s="0" t="inlineStr">
        <is>
          <t>KSU YOUTH NECK SLEEVE:119937OSFM</t>
        </is>
      </c>
      <c r="F6851" s="0" t="inlineStr">
        <is>
          <t>'805119933344</t>
        </is>
      </c>
      <c r="H6851" s="0" t="inlineStr">
        <is>
          <t>OSFM</t>
        </is>
      </c>
      <c r="I6851" s="0">
        <v>19.99</v>
      </c>
      <c r="J6851" s="0">
        <v>89</v>
      </c>
    </row>
    <row r="6852" spans="1:10" customHeight="0">
      <c r="A6852" s="0">
        <f>HYPERLINK("https://dl.dropboxusercontent.com/scl/fi/ldtr6rcr5nw8j4yz92ery/licensed-ns-a-24.jpg?rlkey=xyx7x5bh1nhavffsk848mm6k3&amp;dl=0","Click to download Image")</f>
      </c>
      <c r="C6852" s="0" t="inlineStr">
        <is>
          <t>Licensed Youth Neck Sleeves</t>
        </is>
      </c>
      <c r="D6852" s="0" t="inlineStr">
        <is>
          <t>'119941</t>
        </is>
      </c>
      <c r="E6852" s="0" t="inlineStr">
        <is>
          <t>KSU YOUTH NECK SLEEVE:119941OSFM</t>
        </is>
      </c>
      <c r="F6852" s="0" t="inlineStr">
        <is>
          <t>'805119933344</t>
        </is>
      </c>
      <c r="H6852" s="0" t="inlineStr">
        <is>
          <t>OSFM</t>
        </is>
      </c>
      <c r="I6852" s="0">
        <v>19.99</v>
      </c>
      <c r="J6852" s="0">
        <v>100</v>
      </c>
    </row>
    <row r="6853" spans="1:10" customHeight="0">
      <c r="A6853" s="0">
        <f>HYPERLINK("https://dl.dropboxusercontent.com/scl/fi/yeej4excz2e9yhecrp571/licensed-ns-a-25.jpg?rlkey=7ishep4pvvyslvawml9uw459k&amp;dl=0","Click to download Image")</f>
      </c>
      <c r="C6853" s="0" t="inlineStr">
        <is>
          <t>Licensed Youth Neck Sleeves</t>
        </is>
      </c>
      <c r="D6853" s="0" t="inlineStr">
        <is>
          <t>'119933</t>
        </is>
      </c>
      <c r="E6853" s="0" t="inlineStr">
        <is>
          <t>KSU YOUTH NECK SLEEVE:119933OSFM</t>
        </is>
      </c>
      <c r="F6853" s="0" t="inlineStr">
        <is>
          <t>'805119933344</t>
        </is>
      </c>
      <c r="H6853" s="0" t="inlineStr">
        <is>
          <t>OSFM</t>
        </is>
      </c>
      <c r="I6853" s="0">
        <v>19.99</v>
      </c>
      <c r="J6853" s="0">
        <v>99</v>
      </c>
    </row>
    <row r="6854" spans="1:10" customHeight="0">
      <c r="A6854" s="0">
        <f>HYPERLINK("https://dl.dropboxusercontent.com/scl/fi/zog5u3cdtzunesfwj64uu/necksleeveimages-0650396.jpg?rlkey=fyic5yscd0s6cikcxrycbdfxs&amp;dl=0","Click to download Image")</f>
      </c>
      <c r="C6854" s="0" t="inlineStr">
        <is>
          <t>Licensed Youth Neck Sleeves</t>
        </is>
      </c>
      <c r="D6854" s="0" t="inlineStr">
        <is>
          <t>'119947</t>
        </is>
      </c>
      <c r="E6854" s="0" t="inlineStr">
        <is>
          <t>MU YOUTH NECK SLEEVE:119947OSFM</t>
        </is>
      </c>
      <c r="F6854" s="0" t="inlineStr">
        <is>
          <t>'000000000000</t>
        </is>
      </c>
      <c r="H6854" s="0" t="inlineStr">
        <is>
          <t>OSFM</t>
        </is>
      </c>
      <c r="I6854" s="0">
        <v>19.99</v>
      </c>
      <c r="J6854" s="0">
        <v>100</v>
      </c>
    </row>
    <row r="6855" spans="1:10" customHeight="0">
      <c r="A6855" s="0">
        <f>HYPERLINK("https://dl.dropboxusercontent.com/scl/fi/fqq98xbpdo4xrhlcquj62/necksleeveimages-0508498.jpg?rlkey=z4f2ui19rfdtljvplwfbblyir&amp;dl=0","Click to download Image")</f>
      </c>
      <c r="C6855" s="0" t="inlineStr">
        <is>
          <t>Licensed Youth Neck Sleeves</t>
        </is>
      </c>
      <c r="D6855" s="0" t="inlineStr">
        <is>
          <t>'119951</t>
        </is>
      </c>
      <c r="E6855" s="0" t="inlineStr">
        <is>
          <t>MU YOUTH NECK SLEEVE:119951OSFM</t>
        </is>
      </c>
      <c r="F6855" s="0" t="inlineStr">
        <is>
          <t>'803119935344</t>
        </is>
      </c>
      <c r="H6855" s="0" t="inlineStr">
        <is>
          <t>OSFM</t>
        </is>
      </c>
      <c r="I6855" s="0">
        <v>19.99</v>
      </c>
      <c r="J6855" s="0">
        <v>100</v>
      </c>
    </row>
    <row r="6856" spans="1:10" customHeight="0">
      <c r="A6856" s="0">
        <f>HYPERLINK("https://dl.dropboxusercontent.com/scl/fi/qvk25f6hkkryix79l8lfg/necksleeveimages-0185592.jpg?rlkey=nv51r9lk0woxj1pppsszettfn&amp;dl=0","Click to download Image")</f>
      </c>
      <c r="C6856" s="0" t="inlineStr">
        <is>
          <t>Licensed Youth Neck Sleeves</t>
        </is>
      </c>
      <c r="D6856" s="0" t="inlineStr">
        <is>
          <t>'119939</t>
        </is>
      </c>
      <c r="E6856" s="0" t="inlineStr">
        <is>
          <t>MU YOUTH NECK SLEEVE:119939OSFM</t>
        </is>
      </c>
      <c r="F6856" s="0" t="inlineStr">
        <is>
          <t>'803119935344</t>
        </is>
      </c>
      <c r="H6856" s="0" t="inlineStr">
        <is>
          <t>OSFM</t>
        </is>
      </c>
      <c r="I6856" s="0">
        <v>19.99</v>
      </c>
      <c r="J6856" s="0">
        <v>100</v>
      </c>
    </row>
    <row r="6857" spans="1:10" customHeight="0">
      <c r="A6857" s="0">
        <f>HYPERLINK("https://dl.dropboxusercontent.com/scl/fi/aibb443d9ynfqwfpibryk/necksleeveimages-0235698.jpg?rlkey=fxty9158nmd80dz7pq3gjmt04&amp;dl=0","Click to download Image")</f>
      </c>
      <c r="C6857" s="0" t="inlineStr">
        <is>
          <t>Licensed Youth Neck Sleeves</t>
        </is>
      </c>
      <c r="D6857" s="0" t="inlineStr">
        <is>
          <t>'119943</t>
        </is>
      </c>
      <c r="E6857" s="0" t="inlineStr">
        <is>
          <t>MU YOUTH NECK SLEEVE:119943OSFM</t>
        </is>
      </c>
      <c r="F6857" s="0" t="inlineStr">
        <is>
          <t>'803119935344</t>
        </is>
      </c>
      <c r="H6857" s="0" t="inlineStr">
        <is>
          <t>OSFM</t>
        </is>
      </c>
      <c r="I6857" s="0">
        <v>19.99</v>
      </c>
      <c r="J6857" s="0">
        <v>100</v>
      </c>
    </row>
    <row r="6858" spans="1:10" customHeight="0">
      <c r="A6858" s="0">
        <f>HYPERLINK("https://dl.dropboxusercontent.com/scl/fi/vjfyhb59em5xxpljcfcfr/necksleeveimages-0352275.jpg?rlkey=xt8nqy2pj0qlv0ap2pos2j1eo&amp;dl=0","Click to download Image")</f>
      </c>
      <c r="C6858" s="0" t="inlineStr">
        <is>
          <t>Licensed Youth Neck Sleeves</t>
        </is>
      </c>
      <c r="D6858" s="0" t="inlineStr">
        <is>
          <t>'119935</t>
        </is>
      </c>
      <c r="E6858" s="0" t="inlineStr">
        <is>
          <t>MU YOUTH NECK SLEEVE:119935OSFM</t>
        </is>
      </c>
      <c r="F6858" s="0" t="inlineStr">
        <is>
          <t>'803119935344</t>
        </is>
      </c>
      <c r="H6858" s="0" t="inlineStr">
        <is>
          <t>OSFM</t>
        </is>
      </c>
      <c r="I6858" s="0">
        <v>19.99</v>
      </c>
      <c r="J6858" s="0">
        <v>100</v>
      </c>
    </row>
    <row r="6859" spans="1:10" customHeight="0">
      <c r="A6859" s="0">
        <f>HYPERLINK("https://dl.dropboxusercontent.com/scl/fi/zeacs7c9v8reos8cqx5f0/ns55093.jpg?rlkey=pow7t2cnl4tx88xwz35f11e9s&amp;dl=0","Click to download Image")</f>
      </c>
      <c r="C6859" s="0" t="inlineStr">
        <is>
          <t>Licensed Youth Neck Sleeves</t>
        </is>
      </c>
      <c r="D6859" s="0" t="inlineStr">
        <is>
          <t>'119946</t>
        </is>
      </c>
      <c r="E6859" s="0" t="inlineStr">
        <is>
          <t>NDSU YOUTH NECK SLEEVE:119946OSFM</t>
        </is>
      </c>
      <c r="F6859" s="0" t="inlineStr">
        <is>
          <t>'813119934346</t>
        </is>
      </c>
      <c r="H6859" s="0" t="inlineStr">
        <is>
          <t>OSFM</t>
        </is>
      </c>
      <c r="I6859" s="0">
        <v>19.99</v>
      </c>
      <c r="J6859" s="0">
        <v>75</v>
      </c>
    </row>
    <row r="6860" spans="1:10" customHeight="0">
      <c r="A6860" s="0">
        <f>HYPERLINK("https://dl.dropboxusercontent.com/scl/fi/tdkit3vump64xawvg38f9/licensed-ns-a-27.jpg?rlkey=er3xyizdumhvqxxlqoekf8an8&amp;dl=0","Click to download Image")</f>
      </c>
      <c r="C6860" s="0" t="inlineStr">
        <is>
          <t>Licensed Youth Neck Sleeves</t>
        </is>
      </c>
      <c r="D6860" s="0" t="inlineStr">
        <is>
          <t>'119950</t>
        </is>
      </c>
      <c r="E6860" s="0" t="inlineStr">
        <is>
          <t>NDSU YOUTH NECK SLEEVE:119950OSFM</t>
        </is>
      </c>
      <c r="F6860" s="0" t="inlineStr">
        <is>
          <t>'813119934346</t>
        </is>
      </c>
      <c r="H6860" s="0" t="inlineStr">
        <is>
          <t>OSFM</t>
        </is>
      </c>
      <c r="I6860" s="0">
        <v>19.99</v>
      </c>
      <c r="J6860" s="0">
        <v>81</v>
      </c>
    </row>
    <row r="6861" spans="1:10" customHeight="0">
      <c r="A6861" s="0">
        <f>HYPERLINK("https://dl.dropboxusercontent.com/scl/fi/argq0smpxdft3bugcvlt4/licensed-ns-a-28.jpg?rlkey=x56fjfj6702760pkjl657izs2&amp;dl=0","Click to download Image")</f>
      </c>
      <c r="C6861" s="0" t="inlineStr">
        <is>
          <t>Licensed Youth Neck Sleeves</t>
        </is>
      </c>
      <c r="D6861" s="0" t="inlineStr">
        <is>
          <t>'119938</t>
        </is>
      </c>
      <c r="E6861" s="0" t="inlineStr">
        <is>
          <t>NDSU YOUTH NECK SLEEVE:119938OSFM</t>
        </is>
      </c>
      <c r="F6861" s="0" t="inlineStr">
        <is>
          <t>'813119934346</t>
        </is>
      </c>
      <c r="H6861" s="0" t="inlineStr">
        <is>
          <t>OSFM</t>
        </is>
      </c>
      <c r="I6861" s="0">
        <v>19.99</v>
      </c>
      <c r="J6861" s="0">
        <v>83</v>
      </c>
    </row>
    <row r="6862" spans="1:10" customHeight="0">
      <c r="A6862" s="0">
        <f>HYPERLINK("https://dl.dropboxusercontent.com/scl/fi/9vxafqomppima9r89qj87/licensed-ns-a-29.jpg?rlkey=9rzofdfwxl0maek3a8soklyob&amp;dl=0","Click to download Image")</f>
      </c>
      <c r="C6862" s="0" t="inlineStr">
        <is>
          <t>Licensed Youth Neck Sleeves</t>
        </is>
      </c>
      <c r="D6862" s="0" t="inlineStr">
        <is>
          <t>'119942</t>
        </is>
      </c>
      <c r="E6862" s="0" t="inlineStr">
        <is>
          <t>NDSU YOUTH NECK SLEEVE:119942OSFM</t>
        </is>
      </c>
      <c r="F6862" s="0" t="inlineStr">
        <is>
          <t>'813119934346</t>
        </is>
      </c>
      <c r="H6862" s="0" t="inlineStr">
        <is>
          <t>OSFM</t>
        </is>
      </c>
      <c r="I6862" s="0">
        <v>19.99</v>
      </c>
      <c r="J6862" s="0">
        <v>91</v>
      </c>
    </row>
    <row r="6863" spans="1:10" customHeight="0">
      <c r="A6863" s="0">
        <f>HYPERLINK("https://dl.dropboxusercontent.com/scl/fi/voo6looxw06xhkwd6j9wu/licensed-ns-a-30.jpg?rlkey=7ovcagv3kx056q8mrv42ux9dl&amp;dl=0","Click to download Image")</f>
      </c>
      <c r="C6863" s="0" t="inlineStr">
        <is>
          <t>Licensed Youth Neck Sleeves</t>
        </is>
      </c>
      <c r="D6863" s="0" t="inlineStr">
        <is>
          <t>'119934</t>
        </is>
      </c>
      <c r="E6863" s="0" t="inlineStr">
        <is>
          <t>NDSU YOUTH NECK SLEEVE:119934OSFM</t>
        </is>
      </c>
      <c r="F6863" s="0" t="inlineStr">
        <is>
          <t>'813119934346</t>
        </is>
      </c>
      <c r="H6863" s="0" t="inlineStr">
        <is>
          <t>OSFM</t>
        </is>
      </c>
      <c r="I6863" s="0">
        <v>19.99</v>
      </c>
      <c r="J6863" s="0">
        <v>83</v>
      </c>
    </row>
    <row r="6864" spans="1:10" customHeight="0">
      <c r="A6864" s="0">
        <f>HYPERLINK("https://dl.dropboxusercontent.com/scl/fi/wwdge53z0dzc3njcss78r/ns50492.jpg?rlkey=h64z12n130qb5bqimc0tj1fc8&amp;dl=0","Click to download Image")</f>
      </c>
      <c r="C6864" s="0" t="inlineStr">
        <is>
          <t>Licensed Youth Neck Sleeves</t>
        </is>
      </c>
      <c r="D6864" s="0" t="inlineStr">
        <is>
          <t>'119948</t>
        </is>
      </c>
      <c r="E6864" s="0" t="inlineStr">
        <is>
          <t>SDSU YOUTH NECK SLEEVE:119948OSFM</t>
        </is>
      </c>
      <c r="F6864" s="0" t="inlineStr">
        <is>
          <t>'816119936341</t>
        </is>
      </c>
      <c r="H6864" s="0" t="inlineStr">
        <is>
          <t>OSFM</t>
        </is>
      </c>
      <c r="I6864" s="0">
        <v>19.99</v>
      </c>
      <c r="J6864" s="0">
        <v>83</v>
      </c>
    </row>
    <row r="6865" spans="1:10" customHeight="0">
      <c r="A6865" s="0">
        <f>HYPERLINK("https://dl.dropboxusercontent.com/scl/fi/8fik8c6aw77p4rz0gay3s/licensed-ns-a-37.jpg?rlkey=lauv2u0waoamkzcx0v4p7owjy&amp;dl=0","Click to download Image")</f>
      </c>
      <c r="C6865" s="0" t="inlineStr">
        <is>
          <t>Licensed Youth Neck Sleeves</t>
        </is>
      </c>
      <c r="D6865" s="0" t="inlineStr">
        <is>
          <t>'119952</t>
        </is>
      </c>
      <c r="E6865" s="0" t="inlineStr">
        <is>
          <t>SDSU YOUTH NECK SLEEVE:119952OSFM</t>
        </is>
      </c>
      <c r="F6865" s="0" t="inlineStr">
        <is>
          <t>'816119936341</t>
        </is>
      </c>
      <c r="H6865" s="0" t="inlineStr">
        <is>
          <t>OSFM</t>
        </is>
      </c>
      <c r="I6865" s="0">
        <v>19.99</v>
      </c>
      <c r="J6865" s="0">
        <v>90</v>
      </c>
    </row>
    <row r="6866" spans="1:10" customHeight="0">
      <c r="A6866" s="0">
        <f>HYPERLINK("https://dl.dropboxusercontent.com/scl/fi/adqsbilxdxmjeysd747pq/licensed-ns-a-38.jpg?rlkey=ggoo75gxx6dx20r10qdkcbbb7&amp;dl=0","Click to download Image")</f>
      </c>
      <c r="C6866" s="0" t="inlineStr">
        <is>
          <t>Licensed Youth Neck Sleeves</t>
        </is>
      </c>
      <c r="D6866" s="0" t="inlineStr">
        <is>
          <t>'119940</t>
        </is>
      </c>
      <c r="E6866" s="0" t="inlineStr">
        <is>
          <t>SDSU YOUTH NECK SLEEVE:119940OSFM</t>
        </is>
      </c>
      <c r="F6866" s="0" t="inlineStr">
        <is>
          <t>'816119936341</t>
        </is>
      </c>
      <c r="H6866" s="0" t="inlineStr">
        <is>
          <t>OSFM</t>
        </is>
      </c>
      <c r="I6866" s="0">
        <v>19.99</v>
      </c>
      <c r="J6866" s="0">
        <v>89</v>
      </c>
    </row>
    <row r="6867" spans="1:10" customHeight="0">
      <c r="A6867" s="0">
        <f>HYPERLINK("https://dl.dropboxusercontent.com/scl/fi/1hlv7wc6fkloek1roozah/licensed-ns-a-39.jpg?rlkey=uk2wxsj631pkvu4yvmurrc1do&amp;dl=0","Click to download Image")</f>
      </c>
      <c r="C6867" s="0" t="inlineStr">
        <is>
          <t>Licensed Youth Neck Sleeves</t>
        </is>
      </c>
      <c r="D6867" s="0" t="inlineStr">
        <is>
          <t>'119944</t>
        </is>
      </c>
      <c r="E6867" s="0" t="inlineStr">
        <is>
          <t>SDSU YOUTH NECK SLEEVE:119944OSFM</t>
        </is>
      </c>
      <c r="F6867" s="0" t="inlineStr">
        <is>
          <t>'816119936341</t>
        </is>
      </c>
      <c r="H6867" s="0" t="inlineStr">
        <is>
          <t>OSFM</t>
        </is>
      </c>
      <c r="I6867" s="0">
        <v>19.99</v>
      </c>
      <c r="J6867" s="0">
        <v>35</v>
      </c>
    </row>
    <row r="6868" spans="1:10" customHeight="0">
      <c r="A6868" s="0">
        <f>HYPERLINK("https://dl.dropboxusercontent.com/scl/fi/zitv5flxjawhuekp9k10f/licensed-ns-a-40.jpg?rlkey=6304z5ejtdt58t07wheueax9g&amp;dl=0","Click to download Image")</f>
      </c>
      <c r="C6868" s="0" t="inlineStr">
        <is>
          <t>Licensed Youth Neck Sleeves</t>
        </is>
      </c>
      <c r="D6868" s="0" t="inlineStr">
        <is>
          <t>'119936</t>
        </is>
      </c>
      <c r="E6868" s="0" t="inlineStr">
        <is>
          <t>SDSU YOUTH NECK SLEEVE:119936OSFM</t>
        </is>
      </c>
      <c r="F6868" s="0" t="inlineStr">
        <is>
          <t>'816119936341</t>
        </is>
      </c>
      <c r="H6868" s="0" t="inlineStr">
        <is>
          <t>OSFM</t>
        </is>
      </c>
      <c r="I6868" s="0">
        <v>19.99</v>
      </c>
      <c r="J6868" s="0">
        <v>90</v>
      </c>
    </row>
    <row r="6869" spans="1:10" customHeight="0">
      <c r="A6869" s="0">
        <f>HYPERLINK("https://dl.dropboxusercontent.com/scl/fi/9ddcnhiviu68p2m1xm3p9/ns65075.jpg?rlkey=vx3jbr45ve51jyu6v931fwul4&amp;dl=0","Click to download Image")</f>
      </c>
      <c r="C6869" s="0" t="inlineStr">
        <is>
          <t>Licensed Youth Neck Sleeves</t>
        </is>
      </c>
      <c r="D6869" s="0" t="inlineStr">
        <is>
          <t>'120066</t>
        </is>
      </c>
      <c r="E6869" s="0" t="inlineStr">
        <is>
          <t>UWY YOUTH NECK SLEEVE:120066OSFM</t>
        </is>
      </c>
      <c r="F6869" s="0" t="inlineStr">
        <is>
          <t>'812120035349</t>
        </is>
      </c>
      <c r="H6869" s="0" t="inlineStr">
        <is>
          <t>OSFM</t>
        </is>
      </c>
      <c r="I6869" s="0">
        <v>19.99</v>
      </c>
      <c r="J6869" s="0">
        <v>99</v>
      </c>
    </row>
    <row r="6870" spans="1:10" customHeight="0">
      <c r="A6870" s="0">
        <f>HYPERLINK("https://dl.dropboxusercontent.com/scl/fi/7b14xdvukdo9lab3gxnxq/licensed-ns-a-55.jpg?rlkey=ccxz7fsptp26ubyixysq8t8te&amp;dl=0","Click to download Image")</f>
      </c>
      <c r="C6870" s="0" t="inlineStr">
        <is>
          <t>Licensed Youth Neck Sleeves</t>
        </is>
      </c>
      <c r="D6870" s="0" t="inlineStr">
        <is>
          <t>'120035</t>
        </is>
      </c>
      <c r="E6870" s="0" t="inlineStr">
        <is>
          <t>UWY YOUTH NECK SLEEVE:120035OSFM</t>
        </is>
      </c>
      <c r="F6870" s="0" t="inlineStr">
        <is>
          <t>'812120035349</t>
        </is>
      </c>
      <c r="H6870" s="0" t="inlineStr">
        <is>
          <t>OSFM</t>
        </is>
      </c>
      <c r="I6870" s="0">
        <v>19.99</v>
      </c>
      <c r="J6870" s="0">
        <v>91</v>
      </c>
    </row>
    <row r="6871" spans="1:10" customHeight="0">
      <c r="A6871" s="0">
        <f>HYPERLINK("https://dl.dropboxusercontent.com/scl/fi/za3t7ujwodolqsdtzpc2m/licensed-ns-a-56.jpg?rlkey=tgek56jqp8bk4yc6e7twqwcpz&amp;dl=0","Click to download Image")</f>
      </c>
      <c r="C6871" s="0" t="inlineStr">
        <is>
          <t>Licensed Youth Neck Sleeves</t>
        </is>
      </c>
      <c r="D6871" s="0" t="inlineStr">
        <is>
          <t>'120057</t>
        </is>
      </c>
      <c r="E6871" s="0" t="inlineStr">
        <is>
          <t>UWY YOUTH NECK SLEEVE:120057OSFM</t>
        </is>
      </c>
      <c r="F6871" s="0" t="inlineStr">
        <is>
          <t>'812120035349</t>
        </is>
      </c>
      <c r="H6871" s="0" t="inlineStr">
        <is>
          <t>OSFM</t>
        </is>
      </c>
      <c r="I6871" s="0">
        <v>19.99</v>
      </c>
      <c r="J6871" s="0">
        <v>107</v>
      </c>
    </row>
    <row r="6872" spans="1:10" customHeight="0">
      <c r="A6872" s="0">
        <f>HYPERLINK("https://dl.dropboxusercontent.com/scl/fi/eiwp3x0sb4o5eawrzp7sc/licensed-ns-a-53.jpg?rlkey=ndr8lj0qu3c09eousilpd8eov&amp;dl=0","Click to download Image")</f>
      </c>
      <c r="C6872" s="0" t="inlineStr">
        <is>
          <t>Licensed Youth Neck Sleeves</t>
        </is>
      </c>
      <c r="D6872" s="0" t="inlineStr">
        <is>
          <t>'120075</t>
        </is>
      </c>
      <c r="E6872" s="0" t="inlineStr">
        <is>
          <t>UWY YOUTH NECK SLEEVE:120075OSFM</t>
        </is>
      </c>
      <c r="F6872" s="0" t="inlineStr">
        <is>
          <t>'812120035349</t>
        </is>
      </c>
      <c r="H6872" s="0" t="inlineStr">
        <is>
          <t>OSFM</t>
        </is>
      </c>
      <c r="I6872" s="0">
        <v>19.99</v>
      </c>
      <c r="J6872" s="0">
        <v>107</v>
      </c>
    </row>
    <row r="6873" spans="1:10" customHeight="0">
      <c r="A6873" s="0">
        <f>HYPERLINK("https://dl.dropboxusercontent.com/scl/fi/vovr8l1zjbzb3oyhevcwq/licensed-ns-a-57.jpg?rlkey=ts6k6wuizckw565s815c6vuc9&amp;dl=0","Click to download Image")</f>
      </c>
      <c r="C6873" s="0" t="inlineStr">
        <is>
          <t>Licensed Youth Neck Sleeves</t>
        </is>
      </c>
      <c r="D6873" s="0" t="inlineStr">
        <is>
          <t>'120048</t>
        </is>
      </c>
      <c r="E6873" s="0" t="inlineStr">
        <is>
          <t>UWY YOUTH NECK SLEEVE:120048OSFM</t>
        </is>
      </c>
      <c r="F6873" s="0" t="inlineStr">
        <is>
          <t>'812120035349</t>
        </is>
      </c>
      <c r="H6873" s="0" t="inlineStr">
        <is>
          <t>OSFM</t>
        </is>
      </c>
      <c r="I6873" s="0">
        <v>19.99</v>
      </c>
      <c r="J6873" s="0">
        <v>107</v>
      </c>
    </row>
    <row r="6874" spans="1:10" customHeight="0">
      <c r="A6874" s="0">
        <f>HYPERLINK("https://dl.dropboxusercontent.com/scl/fi/2pkhhmn31gx6pxg68y8ho/isubb-f.jpg?rlkey=9ugr82nhnnqiyx5q81lkanj0v&amp;dl=0","Click to download Image")</f>
      </c>
      <c r="C6874" s="0" t="inlineStr">
        <is>
          <t>Vintage Cy BB Men's Slate T-Shirt</t>
        </is>
      </c>
      <c r="D6874" s="0" t="inlineStr">
        <is>
          <t>'155896</t>
        </is>
      </c>
      <c r="E6874" s="0" t="inlineStr">
        <is>
          <t>ISU SLATE:155896A-S</t>
        </is>
      </c>
      <c r="F6874" s="0" t="inlineStr">
        <is>
          <t>'801155896049</t>
        </is>
      </c>
      <c r="G6874" s="0" t="inlineStr">
        <is>
          <t>MENS</t>
        </is>
      </c>
      <c r="H6874" s="0" t="inlineStr">
        <is>
          <t>S</t>
        </is>
      </c>
      <c r="I6874" s="0">
        <v>24.99</v>
      </c>
      <c r="J6874" s="0">
        <v>0</v>
      </c>
    </row>
    <row r="6875" spans="1:10" customHeight="0">
      <c r="A6875" s="0">
        <f>HYPERLINK("https://dl.dropboxusercontent.com/scl/fi/2pkhhmn31gx6pxg68y8ho/isubb-f.jpg?rlkey=9ugr82nhnnqiyx5q81lkanj0v&amp;dl=0","Click to download Image")</f>
      </c>
      <c r="C6875" s="0" t="inlineStr">
        <is>
          <t>Vintage Cy BB Men's Slate T-Shirt</t>
        </is>
      </c>
      <c r="D6875" s="0" t="inlineStr">
        <is>
          <t>'155896</t>
        </is>
      </c>
      <c r="E6875" s="0" t="inlineStr">
        <is>
          <t>ISU SLATE:155896B-M</t>
        </is>
      </c>
      <c r="F6875" s="0" t="inlineStr">
        <is>
          <t>'801155896056</t>
        </is>
      </c>
      <c r="G6875" s="0" t="inlineStr">
        <is>
          <t>MENS</t>
        </is>
      </c>
      <c r="H6875" s="0" t="inlineStr">
        <is>
          <t>M</t>
        </is>
      </c>
      <c r="I6875" s="0">
        <v>24.99</v>
      </c>
      <c r="J6875" s="0">
        <v>0</v>
      </c>
    </row>
    <row r="6876" spans="1:10" customHeight="0">
      <c r="A6876" s="0">
        <f>HYPERLINK("https://dl.dropboxusercontent.com/scl/fi/2pkhhmn31gx6pxg68y8ho/isubb-f.jpg?rlkey=9ugr82nhnnqiyx5q81lkanj0v&amp;dl=0","Click to download Image")</f>
      </c>
      <c r="C6876" s="0" t="inlineStr">
        <is>
          <t>Vintage Cy BB Men's Slate T-Shirt</t>
        </is>
      </c>
      <c r="D6876" s="0" t="inlineStr">
        <is>
          <t>'155896</t>
        </is>
      </c>
      <c r="E6876" s="0" t="inlineStr">
        <is>
          <t>ISU SLATE:155896C-L</t>
        </is>
      </c>
      <c r="F6876" s="0" t="inlineStr">
        <is>
          <t>'801155896063</t>
        </is>
      </c>
      <c r="G6876" s="0" t="inlineStr">
        <is>
          <t>MENS</t>
        </is>
      </c>
      <c r="H6876" s="0" t="inlineStr">
        <is>
          <t>L</t>
        </is>
      </c>
      <c r="I6876" s="0">
        <v>24.99</v>
      </c>
      <c r="J6876" s="0">
        <v>0</v>
      </c>
    </row>
    <row r="6877" spans="1:10" customHeight="0">
      <c r="A6877" s="0">
        <f>HYPERLINK("https://dl.dropboxusercontent.com/scl/fi/2pkhhmn31gx6pxg68y8ho/isubb-f.jpg?rlkey=9ugr82nhnnqiyx5q81lkanj0v&amp;dl=0","Click to download Image")</f>
      </c>
      <c r="C6877" s="0" t="inlineStr">
        <is>
          <t>Vintage Cy BB Men's Slate T-Shirt</t>
        </is>
      </c>
      <c r="D6877" s="0" t="inlineStr">
        <is>
          <t>'155896</t>
        </is>
      </c>
      <c r="E6877" s="0" t="inlineStr">
        <is>
          <t>ISU SLATE:155896D-XL</t>
        </is>
      </c>
      <c r="F6877" s="0" t="inlineStr">
        <is>
          <t>'801155896070</t>
        </is>
      </c>
      <c r="G6877" s="0" t="inlineStr">
        <is>
          <t>MENS</t>
        </is>
      </c>
      <c r="H6877" s="0" t="inlineStr">
        <is>
          <t>XL</t>
        </is>
      </c>
      <c r="I6877" s="0">
        <v>24.99</v>
      </c>
      <c r="J6877" s="0">
        <v>16</v>
      </c>
    </row>
    <row r="6878" spans="1:10" customHeight="0">
      <c r="A6878" s="0">
        <f>HYPERLINK("https://dl.dropboxusercontent.com/scl/fi/2pkhhmn31gx6pxg68y8ho/isubb-f.jpg?rlkey=9ugr82nhnnqiyx5q81lkanj0v&amp;dl=0","Click to download Image")</f>
      </c>
      <c r="C6878" s="0" t="inlineStr">
        <is>
          <t>Vintage Cy BB Men's Slate T-Shirt</t>
        </is>
      </c>
      <c r="D6878" s="0" t="inlineStr">
        <is>
          <t>'155896</t>
        </is>
      </c>
      <c r="E6878" s="0" t="inlineStr">
        <is>
          <t>ISU SLATE:155896E-2XL</t>
        </is>
      </c>
      <c r="F6878" s="0" t="inlineStr">
        <is>
          <t>'801155896087</t>
        </is>
      </c>
      <c r="G6878" s="0" t="inlineStr">
        <is>
          <t>MENS</t>
        </is>
      </c>
      <c r="H6878" s="0" t="inlineStr">
        <is>
          <t>2XL</t>
        </is>
      </c>
      <c r="I6878" s="0">
        <v>24.99</v>
      </c>
      <c r="J6878" s="0">
        <v>19</v>
      </c>
    </row>
    <row r="6879" spans="1:10" customHeight="0">
      <c r="A6879" s="0">
        <f>HYPERLINK("https://dl.dropboxusercontent.com/scl/fi/5fjhrwxbwha7xssuf8jep/98861af.jpg?rlkey=3jymttabbcben94u29g04s9hy&amp;dl=0","Click to download Image")</f>
      </c>
      <c r="C6879" s="0" t="inlineStr">
        <is>
          <t>Patrick Men's Cap</t>
        </is>
      </c>
      <c r="D6879" s="0" t="inlineStr">
        <is>
          <t>'98861</t>
        </is>
      </c>
      <c r="E6879" s="0" t="inlineStr">
        <is>
          <t>PATRICK:98861</t>
        </is>
      </c>
      <c r="F6879" s="0" t="inlineStr">
        <is>
          <t>'000000000000</t>
        </is>
      </c>
      <c r="G6879" s="0" t="inlineStr">
        <is>
          <t>MENS</t>
        </is>
      </c>
      <c r="H6879" s="0" t="inlineStr">
        <is>
          <t>STANDARD MENS</t>
        </is>
      </c>
      <c r="I6879" s="0">
        <v>22</v>
      </c>
      <c r="J6879" s="0">
        <v>2</v>
      </c>
    </row>
    <row r="6880" spans="1:10" customHeight="0">
      <c r="A6880" s="0">
        <f>HYPERLINK("https://dl.dropboxusercontent.com/scl/fi/t4v1878wiycnppqa8fb9n/hendrix.jpg?rlkey=pvxb0fhod37jkpzb92ruile4t&amp;dl=0","Click to download Image")</f>
      </c>
      <c r="C6880" s="0" t="inlineStr">
        <is>
          <t>Hendrix Infant Bodysuit And Overalls</t>
        </is>
      </c>
      <c r="D6880" s="0" t="inlineStr">
        <is>
          <t>'115534</t>
        </is>
      </c>
      <c r="E6880" s="0" t="inlineStr">
        <is>
          <t>MU HENDRIX I GREY:115534A-0-3M</t>
        </is>
      </c>
      <c r="F6880" s="0" t="inlineStr">
        <is>
          <t>'803115534008</t>
        </is>
      </c>
      <c r="G6880" s="0" t="inlineStr">
        <is>
          <t>INFANT</t>
        </is>
      </c>
      <c r="H6880" s="0" t="inlineStr">
        <is>
          <t>0-3M</t>
        </is>
      </c>
      <c r="I6880" s="0">
        <v>29.99</v>
      </c>
      <c r="J6880" s="0">
        <v>1</v>
      </c>
    </row>
    <row r="6881" spans="1:10" customHeight="0">
      <c r="A6881" s="0">
        <f>HYPERLINK("https://dl.dropboxusercontent.com/scl/fi/t4v1878wiycnppqa8fb9n/hendrix.jpg?rlkey=pvxb0fhod37jkpzb92ruile4t&amp;dl=0","Click to download Image")</f>
      </c>
      <c r="C6881" s="0" t="inlineStr">
        <is>
          <t>Hendrix Infant Bodysuit And Overalls</t>
        </is>
      </c>
      <c r="D6881" s="0" t="inlineStr">
        <is>
          <t>'115534</t>
        </is>
      </c>
      <c r="E6881" s="0" t="inlineStr">
        <is>
          <t>MU HENDRIX I GREY:115534B-3-6M</t>
        </is>
      </c>
      <c r="F6881" s="0" t="inlineStr">
        <is>
          <t>'803115534015</t>
        </is>
      </c>
      <c r="G6881" s="0" t="inlineStr">
        <is>
          <t>INFANT</t>
        </is>
      </c>
      <c r="H6881" s="0" t="inlineStr">
        <is>
          <t>3-6M</t>
        </is>
      </c>
      <c r="I6881" s="0">
        <v>29.99</v>
      </c>
      <c r="J6881" s="0">
        <v>1</v>
      </c>
    </row>
    <row r="6882" spans="1:10" customHeight="0">
      <c r="A6882" s="0">
        <f>HYPERLINK("https://dl.dropboxusercontent.com/scl/fi/t4v1878wiycnppqa8fb9n/hendrix.jpg?rlkey=pvxb0fhod37jkpzb92ruile4t&amp;dl=0","Click to download Image")</f>
      </c>
      <c r="C6882" s="0" t="inlineStr">
        <is>
          <t>Hendrix Infant Bodysuit And Overalls</t>
        </is>
      </c>
      <c r="D6882" s="0" t="inlineStr">
        <is>
          <t>'115534</t>
        </is>
      </c>
      <c r="E6882" s="0" t="inlineStr">
        <is>
          <t>MU HENDRIX I GREY:115534C-6-9M</t>
        </is>
      </c>
      <c r="F6882" s="0" t="inlineStr">
        <is>
          <t>'803115534022</t>
        </is>
      </c>
      <c r="G6882" s="0" t="inlineStr">
        <is>
          <t>INFANT</t>
        </is>
      </c>
      <c r="H6882" s="0" t="inlineStr">
        <is>
          <t>6-9M</t>
        </is>
      </c>
      <c r="I6882" s="0">
        <v>29.99</v>
      </c>
      <c r="J6882" s="0">
        <v>1</v>
      </c>
    </row>
    <row r="6883" spans="1:10" customHeight="0">
      <c r="A6883" s="0">
        <f>HYPERLINK("https://dl.dropboxusercontent.com/scl/fi/t4v1878wiycnppqa8fb9n/hendrix.jpg?rlkey=pvxb0fhod37jkpzb92ruile4t&amp;dl=0","Click to download Image")</f>
      </c>
      <c r="C6883" s="0" t="inlineStr">
        <is>
          <t>Hendrix Infant Bodysuit And Overalls</t>
        </is>
      </c>
      <c r="D6883" s="0" t="inlineStr">
        <is>
          <t>'115534</t>
        </is>
      </c>
      <c r="E6883" s="0" t="inlineStr">
        <is>
          <t>MU HENDRIX I GREY:115534F-12M</t>
        </is>
      </c>
      <c r="F6883" s="0" t="inlineStr">
        <is>
          <t>'803115534039</t>
        </is>
      </c>
      <c r="G6883" s="0" t="inlineStr">
        <is>
          <t>INFANT</t>
        </is>
      </c>
      <c r="H6883" s="0" t="inlineStr">
        <is>
          <t>12M</t>
        </is>
      </c>
      <c r="I6883" s="0">
        <v>29.99</v>
      </c>
      <c r="J6883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2026-05-26T06:42:45-05:00</dcterms:created>
  <dcterms:modified xsi:type="dcterms:W3CDTF">2026-05-26T06:42:45-05:00</dcterms:modified>
  <cp:revision>0</cp:revision>
</cp:coreProperties>
</file>